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xml" ContentType="application/vnd.openxmlformats-officedocument.drawing+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charts/chart33.xml" ContentType="application/vnd.openxmlformats-officedocument.drawingml.chart+xml"/>
  <Override PartName="/xl/charts/style34.xml" ContentType="application/vnd.ms-office.chartstyle+xml"/>
  <Override PartName="/xl/charts/colors34.xml" ContentType="application/vnd.ms-office.chartcolorstyle+xml"/>
  <Override PartName="/xl/charts/chart34.xml" ContentType="application/vnd.openxmlformats-officedocument.drawingml.chart+xml"/>
  <Override PartName="/xl/charts/style35.xml" ContentType="application/vnd.ms-office.chartstyle+xml"/>
  <Override PartName="/xl/charts/colors35.xml" ContentType="application/vnd.ms-office.chartcolorstyle+xml"/>
  <Override PartName="/xl/charts/chart35.xml" ContentType="application/vnd.openxmlformats-officedocument.drawingml.chart+xml"/>
  <Override PartName="/xl/charts/style36.xml" ContentType="application/vnd.ms-office.chartstyle+xml"/>
  <Override PartName="/xl/charts/colors36.xml" ContentType="application/vnd.ms-office.chartcolorstyle+xml"/>
  <Override PartName="/xl/charts/chart36.xml" ContentType="application/vnd.openxmlformats-officedocument.drawingml.chart+xml"/>
  <Override PartName="/xl/charts/style37.xml" ContentType="application/vnd.ms-office.chartstyle+xml"/>
  <Override PartName="/xl/charts/colors37.xml" ContentType="application/vnd.ms-office.chartcolorstyle+xml"/>
  <Override PartName="/xl/charts/chart3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xml" ContentType="application/vnd.openxmlformats-officedocument.drawing+xml"/>
  <Override PartName="/xl/charts/chart38.xml" ContentType="application/vnd.openxmlformats-officedocument.drawingml.chart+xml"/>
  <Override PartName="/xl/charts/style39.xml" ContentType="application/vnd.ms-office.chartstyle+xml"/>
  <Override PartName="/xl/charts/colors39.xml" ContentType="application/vnd.ms-office.chartcolorstyle+xml"/>
  <Override PartName="/xl/charts/chart39.xml" ContentType="application/vnd.openxmlformats-officedocument.drawingml.chart+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xml" ContentType="application/vnd.openxmlformats-officedocument.drawing+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charts/chart59.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xml" ContentType="application/vnd.openxmlformats-officedocument.drawing+xml"/>
  <Override PartName="/xl/charts/chart60.xml" ContentType="application/vnd.openxmlformats-officedocument.drawingml.chart+xml"/>
  <Override PartName="/xl/charts/style61.xml" ContentType="application/vnd.ms-office.chartstyle+xml"/>
  <Override PartName="/xl/charts/colors61.xml" ContentType="application/vnd.ms-office.chartcolorstyle+xml"/>
  <Override PartName="/xl/charts/chart61.xml" ContentType="application/vnd.openxmlformats-officedocument.drawingml.chart+xml"/>
  <Override PartName="/xl/charts/style62.xml" ContentType="application/vnd.ms-office.chartstyle+xml"/>
  <Override PartName="/xl/charts/colors62.xml" ContentType="application/vnd.ms-office.chartcolorstyle+xml"/>
  <Override PartName="/xl/charts/chart62.xml" ContentType="application/vnd.openxmlformats-officedocument.drawingml.chart+xml"/>
  <Override PartName="/xl/charts/style63.xml" ContentType="application/vnd.ms-office.chartstyle+xml"/>
  <Override PartName="/xl/charts/colors63.xml" ContentType="application/vnd.ms-office.chartcolorstyle+xml"/>
  <Override PartName="/xl/charts/chart63.xml" ContentType="application/vnd.openxmlformats-officedocument.drawingml.chart+xml"/>
  <Override PartName="/xl/charts/style64.xml" ContentType="application/vnd.ms-office.chartstyle+xml"/>
  <Override PartName="/xl/charts/colors64.xml" ContentType="application/vnd.ms-office.chartcolorstyle+xml"/>
  <Override PartName="/xl/charts/chart64.xml" ContentType="application/vnd.openxmlformats-officedocument.drawingml.chart+xml"/>
  <Override PartName="/xl/charts/style65.xml" ContentType="application/vnd.ms-office.chartstyle+xml"/>
  <Override PartName="/xl/charts/colors65.xml" ContentType="application/vnd.ms-office.chartcolorstyle+xml"/>
  <Override PartName="/xl/charts/chart65.xml" ContentType="application/vnd.openxmlformats-officedocument.drawingml.chart+xml"/>
  <Override PartName="/xl/charts/style66.xml" ContentType="application/vnd.ms-office.chartstyle+xml"/>
  <Override PartName="/xl/charts/colors66.xml" ContentType="application/vnd.ms-office.chartcolorstyle+xml"/>
  <Override PartName="/xl/charts/chart66.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8.xml" ContentType="application/vnd.openxmlformats-officedocument.drawing+xml"/>
  <Override PartName="/xl/charts/chart67.xml" ContentType="application/vnd.openxmlformats-officedocument.drawingml.chart+xml"/>
  <Override PartName="/xl/charts/style68.xml" ContentType="application/vnd.ms-office.chartstyle+xml"/>
  <Override PartName="/xl/charts/colors68.xml" ContentType="application/vnd.ms-office.chartcolorstyle+xml"/>
  <Override PartName="/xl/charts/chart68.xml" ContentType="application/vnd.openxmlformats-officedocument.drawingml.chart+xml"/>
  <Override PartName="/xl/charts/style69.xml" ContentType="application/vnd.ms-office.chartstyle+xml"/>
  <Override PartName="/xl/charts/colors69.xml" ContentType="application/vnd.ms-office.chartcolorstyle+xml"/>
  <Override PartName="/xl/charts/chart69.xml" ContentType="application/vnd.openxmlformats-officedocument.drawingml.chart+xml"/>
  <Override PartName="/xl/charts/style70.xml" ContentType="application/vnd.ms-office.chartstyle+xml"/>
  <Override PartName="/xl/charts/colors70.xml" ContentType="application/vnd.ms-office.chartcolorstyle+xml"/>
  <Override PartName="/xl/charts/chart70.xml" ContentType="application/vnd.openxmlformats-officedocument.drawingml.chart+xml"/>
  <Override PartName="/xl/charts/style71.xml" ContentType="application/vnd.ms-office.chartstyle+xml"/>
  <Override PartName="/xl/charts/colors71.xml" ContentType="application/vnd.ms-office.chartcolorstyle+xml"/>
  <Override PartName="/xl/charts/chart71.xml" ContentType="application/vnd.openxmlformats-officedocument.drawingml.chart+xml"/>
  <Override PartName="/xl/charts/style72.xml" ContentType="application/vnd.ms-office.chartstyle+xml"/>
  <Override PartName="/xl/charts/colors72.xml" ContentType="application/vnd.ms-office.chartcolorstyle+xml"/>
  <Override PartName="/xl/charts/chart72.xml" ContentType="application/vnd.openxmlformats-officedocument.drawingml.chart+xml"/>
  <Override PartName="/xl/charts/style73.xml" ContentType="application/vnd.ms-office.chartstyle+xml"/>
  <Override PartName="/xl/charts/colors73.xml" ContentType="application/vnd.ms-office.chartcolorstyle+xml"/>
  <Override PartName="/xl/charts/chart73.xml" ContentType="application/vnd.openxmlformats-officedocument.drawingml.chart+xml"/>
  <Override PartName="/xl/charts/style74.xml" ContentType="application/vnd.ms-office.chartstyle+xml"/>
  <Override PartName="/xl/charts/colors74.xml" ContentType="application/vnd.ms-office.chartcolorstyle+xml"/>
  <Override PartName="/xl/charts/chart74.xml" ContentType="application/vnd.openxmlformats-officedocument.drawingml.chart+xml"/>
  <Override PartName="/xl/charts/style75.xml" ContentType="application/vnd.ms-office.chartstyle+xml"/>
  <Override PartName="/xl/charts/colors75.xml" ContentType="application/vnd.ms-office.chartcolorstyle+xml"/>
  <Override PartName="/xl/charts/chart75.xml" ContentType="application/vnd.openxmlformats-officedocument.drawingml.chart+xml"/>
  <Override PartName="/xl/charts/style76.xml" ContentType="application/vnd.ms-office.chartstyle+xml"/>
  <Override PartName="/xl/charts/colors76.xml" ContentType="application/vnd.ms-office.chartcolorstyle+xml"/>
  <Override PartName="/xl/charts/chart76.xml" ContentType="application/vnd.openxmlformats-officedocument.drawingml.chart+xml"/>
  <Override PartName="/xl/charts/style77.xml" ContentType="application/vnd.ms-office.chartstyle+xml"/>
  <Override PartName="/xl/charts/colors77.xml" ContentType="application/vnd.ms-office.chartcolorstyle+xml"/>
  <Override PartName="/xl/charts/chart77.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9.xml" ContentType="application/vnd.openxmlformats-officedocument.drawing+xml"/>
  <Override PartName="/xl/charts/chart78.xml" ContentType="application/vnd.openxmlformats-officedocument.drawingml.chart+xml"/>
  <Override PartName="/xl/charts/style79.xml" ContentType="application/vnd.ms-office.chartstyle+xml"/>
  <Override PartName="/xl/charts/colors79.xml" ContentType="application/vnd.ms-office.chartcolorstyle+xml"/>
  <Override PartName="/xl/charts/chart79.xml" ContentType="application/vnd.openxmlformats-officedocument.drawingml.chart+xml"/>
  <Override PartName="/xl/charts/style80.xml" ContentType="application/vnd.ms-office.chartstyle+xml"/>
  <Override PartName="/xl/charts/colors80.xml" ContentType="application/vnd.ms-office.chartcolorstyle+xml"/>
  <Override PartName="/xl/charts/chart80.xml" ContentType="application/vnd.openxmlformats-officedocument.drawingml.chart+xml"/>
  <Override PartName="/xl/charts/style81.xml" ContentType="application/vnd.ms-office.chartstyle+xml"/>
  <Override PartName="/xl/charts/colors81.xml" ContentType="application/vnd.ms-office.chartcolorstyle+xml"/>
  <Override PartName="/xl/charts/chart81.xml" ContentType="application/vnd.openxmlformats-officedocument.drawingml.chart+xml"/>
  <Override PartName="/xl/charts/style82.xml" ContentType="application/vnd.ms-office.chartstyle+xml"/>
  <Override PartName="/xl/charts/colors82.xml" ContentType="application/vnd.ms-office.chartcolorstyle+xml"/>
  <Override PartName="/xl/charts/chart82.xml" ContentType="application/vnd.openxmlformats-officedocument.drawingml.chart+xml"/>
  <Override PartName="/xl/charts/style83.xml" ContentType="application/vnd.ms-office.chartstyle+xml"/>
  <Override PartName="/xl/charts/colors83.xml" ContentType="application/vnd.ms-office.chartcolorstyle+xml"/>
  <Override PartName="/xl/charts/chart83.xml" ContentType="application/vnd.openxmlformats-officedocument.drawingml.chart+xml"/>
  <Override PartName="/xl/charts/style84.xml" ContentType="application/vnd.ms-office.chartstyle+xml"/>
  <Override PartName="/xl/charts/colors84.xml" ContentType="application/vnd.ms-office.chartcolorstyle+xml"/>
  <Override PartName="/xl/charts/chart84.xml" ContentType="application/vnd.openxmlformats-officedocument.drawingml.chart+xml"/>
  <Override PartName="/xl/charts/style85.xml" ContentType="application/vnd.ms-office.chartstyle+xml"/>
  <Override PartName="/xl/charts/colors85.xml" ContentType="application/vnd.ms-office.chartcolorstyle+xml"/>
  <Override PartName="/xl/charts/chart85.xml" ContentType="application/vnd.openxmlformats-officedocument.drawingml.chart+xml"/>
  <Override PartName="/xl/charts/style86.xml" ContentType="application/vnd.ms-office.chartstyle+xml"/>
  <Override PartName="/xl/charts/colors86.xml" ContentType="application/vnd.ms-office.chartcolorstyle+xml"/>
  <Override PartName="/xl/charts/chart86.xml" ContentType="application/vnd.openxmlformats-officedocument.drawingml.chart+xml"/>
  <Override PartName="/xl/charts/style87.xml" ContentType="application/vnd.ms-office.chartstyle+xml"/>
  <Override PartName="/xl/charts/colors87.xml" ContentType="application/vnd.ms-office.chartcolorstyle+xml"/>
  <Override PartName="/xl/charts/chart87.xml" ContentType="application/vnd.openxmlformats-officedocument.drawingml.chart+xml"/>
  <Override PartName="/xl/charts/style88.xml" ContentType="application/vnd.ms-office.chartstyle+xml"/>
  <Override PartName="/xl/charts/colors88.xml" ContentType="application/vnd.ms-office.chartcolorstyle+xml"/>
  <Override PartName="/xl/charts/chart88.xml" ContentType="application/vnd.openxmlformats-officedocument.drawingml.chart+xml"/>
  <Override PartName="/xl/charts/style89.xml" ContentType="application/vnd.ms-office.chartstyle+xml"/>
  <Override PartName="/xl/charts/colors89.xml" ContentType="application/vnd.ms-office.chartcolorstyle+xml"/>
  <Override PartName="/xl/charts/chart89.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0.xml" ContentType="application/vnd.openxmlformats-officedocument.drawing+xml"/>
  <Override PartName="/xl/charts/chart90.xml" ContentType="application/vnd.openxmlformats-officedocument.drawingml.chart+xml"/>
  <Override PartName="/xl/charts/style91.xml" ContentType="application/vnd.ms-office.chartstyle+xml"/>
  <Override PartName="/xl/charts/colors91.xml" ContentType="application/vnd.ms-office.chartcolorstyle+xml"/>
  <Override PartName="/xl/charts/chart91.xml" ContentType="application/vnd.openxmlformats-officedocument.drawingml.chart+xml"/>
  <Override PartName="/xl/charts/style92.xml" ContentType="application/vnd.ms-office.chartstyle+xml"/>
  <Override PartName="/xl/charts/colors92.xml" ContentType="application/vnd.ms-office.chartcolorstyle+xml"/>
  <Override PartName="/xl/charts/chart92.xml" ContentType="application/vnd.openxmlformats-officedocument.drawingml.chart+xml"/>
  <Override PartName="/xl/charts/style93.xml" ContentType="application/vnd.ms-office.chartstyle+xml"/>
  <Override PartName="/xl/charts/colors93.xml" ContentType="application/vnd.ms-office.chartcolorstyle+xml"/>
  <Override PartName="/xl/charts/chart93.xml" ContentType="application/vnd.openxmlformats-officedocument.drawingml.chart+xml"/>
  <Override PartName="/xl/charts/style94.xml" ContentType="application/vnd.ms-office.chartstyle+xml"/>
  <Override PartName="/xl/charts/colors94.xml" ContentType="application/vnd.ms-office.chartcolorstyle+xml"/>
  <Override PartName="/xl/charts/chart94.xml" ContentType="application/vnd.openxmlformats-officedocument.drawingml.chart+xml"/>
  <Override PartName="/xl/charts/style95.xml" ContentType="application/vnd.ms-office.chartstyle+xml"/>
  <Override PartName="/xl/charts/colors95.xml" ContentType="application/vnd.ms-office.chartcolorstyle+xml"/>
  <Override PartName="/xl/charts/chart95.xml" ContentType="application/vnd.openxmlformats-officedocument.drawingml.chart+xml"/>
  <Override PartName="/xl/charts/style96.xml" ContentType="application/vnd.ms-office.chartstyle+xml"/>
  <Override PartName="/xl/charts/colors96.xml" ContentType="application/vnd.ms-office.chartcolorstyle+xml"/>
  <Override PartName="/xl/charts/chart96.xml" ContentType="application/vnd.openxmlformats-officedocument.drawingml.chart+xml"/>
  <Override PartName="/xl/charts/style97.xml" ContentType="application/vnd.ms-office.chartstyle+xml"/>
  <Override PartName="/xl/charts/colors97.xml" ContentType="application/vnd.ms-office.chartcolorstyle+xml"/>
  <Override PartName="/xl/charts/chart97.xml" ContentType="application/vnd.openxmlformats-officedocument.drawingml.chart+xml"/>
  <Override PartName="/xl/charts/style98.xml" ContentType="application/vnd.ms-office.chartstyle+xml"/>
  <Override PartName="/xl/charts/colors98.xml" ContentType="application/vnd.ms-office.chartcolorstyle+xml"/>
  <Override PartName="/xl/charts/chart98.xml" ContentType="application/vnd.openxmlformats-officedocument.drawingml.chart+xml"/>
  <Override PartName="/xl/charts/style99.xml" ContentType="application/vnd.ms-office.chartstyle+xml"/>
  <Override PartName="/xl/charts/colors99.xml" ContentType="application/vnd.ms-office.chartcolorstyle+xml"/>
  <Override PartName="/xl/charts/chart99.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0.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1.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2.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3.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4.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5.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6.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7.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xml" ContentType="application/vnd.openxmlformats-officedocument.drawing+xml"/>
  <Override PartName="/xl/charts/chart108.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09.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0.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1.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2.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3.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4.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5.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6.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7.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xml" ContentType="application/vnd.openxmlformats-officedocument.drawing+xml"/>
  <Override PartName="/xl/charts/chart118.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19.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0.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1.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2.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3.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4.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5.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6.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7.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8.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29.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0.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1.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2.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3.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4.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5.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6.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7.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8.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39.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0.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1.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2.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3.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4.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3.xml" ContentType="application/vnd.openxmlformats-officedocument.drawing+xml"/>
  <Override PartName="/xl/charts/chart145.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6.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7.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8.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49.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0.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1.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4.xml" ContentType="application/vnd.openxmlformats-officedocument.drawing+xml"/>
  <Override PartName="/xl/charts/chart152.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3.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4.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5.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6.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7.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8.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59.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15.xml" ContentType="application/vnd.openxmlformats-officedocument.drawing+xml"/>
  <Override PartName="/xl/charts/chart160.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1.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2.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3.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4.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5.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6.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7.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8.xml" ContentType="application/vnd.openxmlformats-officedocument.drawingml.chart+xml"/>
  <Override PartName="/xl/charts/style169.xml" ContentType="application/vnd.ms-office.chartstyle+xml"/>
  <Override PartName="/xl/charts/colors169.xml" ContentType="application/vnd.ms-office.chartcolorstyle+xml"/>
  <Override PartName="/xl/drawings/drawing16.xml" ContentType="application/vnd.openxmlformats-officedocument.drawing+xml"/>
  <Override PartName="/xl/charts/chart169.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0.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1.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2.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3.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4.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5.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6.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7.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8.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79.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0.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1.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2.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3.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4.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5.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6.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7.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8.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89.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0.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1.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2.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3.xml" ContentType="application/vnd.openxmlformats-officedocument.drawingml.chart+xml"/>
  <Override PartName="/xl/charts/style194.xml" ContentType="application/vnd.ms-office.chartstyle+xml"/>
  <Override PartName="/xl/charts/colors194.xml" ContentType="application/vnd.ms-office.chartcolorstyle+xml"/>
  <Override PartName="/xl/drawings/drawing17.xml" ContentType="application/vnd.openxmlformats-officedocument.drawing+xml"/>
  <Override PartName="/xl/charts/chart194.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5.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6.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7.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8.xml" ContentType="application/vnd.openxmlformats-officedocument.drawingml.chart+xml"/>
  <Override PartName="/xl/charts/style199.xml" ContentType="application/vnd.ms-office.chartstyle+xml"/>
  <Override PartName="/xl/charts/colors199.xml" ContentType="application/vnd.ms-office.chartcolorstyle+xml"/>
  <Override PartName="/xl/charts/chart199.xml" ContentType="application/vnd.openxmlformats-officedocument.drawingml.chart+xml"/>
  <Override PartName="/xl/charts/style200.xml" ContentType="application/vnd.ms-office.chartstyle+xml"/>
  <Override PartName="/xl/charts/colors200.xml" ContentType="application/vnd.ms-office.chartcolorstyle+xml"/>
  <Override PartName="/xl/drawings/drawing18.xml" ContentType="application/vnd.openxmlformats-officedocument.drawing+xml"/>
  <Override PartName="/xl/charts/chart200.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1.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2.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3.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4.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5.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6.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7.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8.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09.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0.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1.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2.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3.xml" ContentType="application/vnd.openxmlformats-officedocument.drawingml.chart+xml"/>
  <Override PartName="/xl/charts/style214.xml" ContentType="application/vnd.ms-office.chartstyle+xml"/>
  <Override PartName="/xl/charts/colors214.xml" ContentType="application/vnd.ms-office.chartcolorstyle+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hidePivotFieldList="1" defaultThemeVersion="166925"/>
  <mc:AlternateContent xmlns:mc="http://schemas.openxmlformats.org/markup-compatibility/2006">
    <mc:Choice Requires="x15">
      <x15ac:absPath xmlns:x15ac="http://schemas.microsoft.com/office/spreadsheetml/2010/11/ac" url="C:\Users\Isabelle\Documents\Q-CoFa\survey\results survey\"/>
    </mc:Choice>
  </mc:AlternateContent>
  <xr:revisionPtr revIDLastSave="0" documentId="13_ncr:1_{5274622A-A5B0-439B-84BB-4C6F0F09CEB8}" xr6:coauthVersionLast="45" xr6:coauthVersionMax="45" xr10:uidLastSave="{00000000-0000-0000-0000-000000000000}"/>
  <bookViews>
    <workbookView xWindow="120" yWindow="90" windowWidth="22455" windowHeight="14355" tabRatio="878" xr2:uid="{00000000-000D-0000-FFFF-FFFF00000000}"/>
  </bookViews>
  <sheets>
    <sheet name="Introduction" sheetId="17" r:id="rId1"/>
    <sheet name="Q-CoFa Survey 1" sheetId="1" r:id="rId2"/>
    <sheet name="Q-CoFa survey 2" sheetId="15" r:id="rId3"/>
    <sheet name="1" sheetId="2" r:id="rId4"/>
    <sheet name="1bis" sheetId="19" r:id="rId5"/>
    <sheet name="2" sheetId="3" r:id="rId6"/>
    <sheet name="2bis" sheetId="24" r:id="rId7"/>
    <sheet name="3" sheetId="25" r:id="rId8"/>
    <sheet name="4" sheetId="26" r:id="rId9"/>
    <sheet name="5" sheetId="27" r:id="rId10"/>
    <sheet name="6" sheetId="28" r:id="rId11"/>
    <sheet name="6bis" sheetId="37" r:id="rId12"/>
    <sheet name="7a" sheetId="29" r:id="rId13"/>
    <sheet name="7b" sheetId="30" r:id="rId14"/>
    <sheet name="7c" sheetId="31" r:id="rId15"/>
    <sheet name="8" sheetId="32" r:id="rId16"/>
    <sheet name="9" sheetId="33" r:id="rId17"/>
    <sheet name="10" sheetId="34" r:id="rId18"/>
    <sheet name="10bis" sheetId="35" r:id="rId19"/>
    <sheet name="combined figure" sheetId="36" r:id="rId20"/>
    <sheet name="explanations" sheetId="38" r:id="rId21"/>
  </sheets>
  <definedNames>
    <definedName name="_xlnm._FilterDatabase" localSheetId="4" hidden="1">'1bis'!$A$1:$D$466</definedName>
    <definedName name="_xlchart.v1.0" hidden="1">'Q-CoFa survey 2'!$HR$2:$HR$217</definedName>
    <definedName name="_xlcn.WorksheetConnection_1AH24AH271" hidden="1">'1'!$BO$24:$BO$27</definedName>
  </definedNames>
  <calcPr calcId="191029"/>
  <extLst>
    <ext xmlns:x15="http://schemas.microsoft.com/office/spreadsheetml/2010/11/main" uri="{FCE2AD5D-F65C-4FA6-A056-5C36A1767C68}">
      <x15:dataModel>
        <x15:modelTables>
          <x15:modelTable id="Range" name="Range" connection="WorksheetConnection_1!$AH$24:$AH$27"/>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4" i="36" l="1"/>
  <c r="AK5" i="36"/>
  <c r="AK6" i="36"/>
  <c r="AK7" i="36"/>
  <c r="AK8" i="36"/>
  <c r="AK9" i="36"/>
  <c r="AK10" i="36"/>
  <c r="AK11" i="36"/>
  <c r="AK12" i="36"/>
  <c r="AK13" i="36"/>
  <c r="AK14" i="36"/>
  <c r="AK3" i="36"/>
  <c r="U2" i="26" l="1"/>
  <c r="Y2" i="26"/>
  <c r="S2" i="26"/>
  <c r="EC18" i="34" l="1"/>
  <c r="EC16" i="34"/>
  <c r="EC17" i="34"/>
  <c r="EC15" i="34"/>
  <c r="EC14" i="34"/>
  <c r="EC13" i="34"/>
  <c r="EC10" i="34"/>
  <c r="EC9" i="34"/>
  <c r="EC12" i="34"/>
  <c r="EC11" i="34"/>
  <c r="EC8" i="34"/>
  <c r="EC7" i="34"/>
  <c r="EC6" i="34"/>
  <c r="EC5" i="34"/>
  <c r="EC4" i="34"/>
  <c r="EC3" i="34"/>
  <c r="EC2" i="34"/>
  <c r="DZ12" i="34"/>
  <c r="DZ13" i="34"/>
  <c r="DZ14" i="34"/>
  <c r="DZ15" i="34"/>
  <c r="DZ16" i="34"/>
  <c r="DZ11" i="34"/>
  <c r="DZ10" i="34"/>
  <c r="DZ9" i="34"/>
  <c r="DZ8" i="34"/>
  <c r="DZ7" i="34"/>
  <c r="DZ6" i="34"/>
  <c r="DZ5" i="34"/>
  <c r="DZ3" i="34"/>
  <c r="DZ4" i="34"/>
  <c r="DZ2" i="34"/>
  <c r="BW3" i="30" l="1"/>
  <c r="BW2" i="30"/>
  <c r="BV3" i="30"/>
  <c r="BV2" i="30"/>
  <c r="BU3" i="30"/>
  <c r="BU2" i="30"/>
  <c r="BT3" i="30"/>
  <c r="BT2" i="30"/>
  <c r="BS3" i="30"/>
  <c r="BS2" i="30"/>
  <c r="BR3" i="30"/>
  <c r="BR2" i="30"/>
  <c r="BQ3" i="30"/>
  <c r="BQ2" i="30"/>
  <c r="BP3" i="30"/>
  <c r="BP2" i="30"/>
  <c r="DW7" i="34" l="1"/>
  <c r="DW5" i="34"/>
  <c r="DW3" i="34"/>
  <c r="AU15" i="28"/>
  <c r="X13" i="25"/>
  <c r="AU14" i="28"/>
  <c r="AU6" i="28"/>
  <c r="CP7" i="3" l="1"/>
  <c r="CP6" i="3"/>
  <c r="CP3" i="3"/>
  <c r="AU7" i="28" l="1"/>
  <c r="AU5" i="28"/>
  <c r="AU21" i="28"/>
  <c r="AU20" i="28"/>
  <c r="AU19" i="28"/>
  <c r="AU18" i="28"/>
  <c r="AU17" i="28"/>
  <c r="AU16" i="28"/>
  <c r="AU12" i="28"/>
  <c r="AU13" i="28"/>
  <c r="AU11" i="28"/>
  <c r="AU6" i="31" l="1"/>
  <c r="AT6" i="31"/>
  <c r="AS6" i="31"/>
  <c r="AR6" i="31"/>
  <c r="AQ6" i="31"/>
  <c r="AP6" i="31"/>
  <c r="AU5" i="31"/>
  <c r="AT5" i="31"/>
  <c r="AS5" i="31"/>
  <c r="AR5" i="31"/>
  <c r="AQ5" i="31"/>
  <c r="AP5" i="31"/>
  <c r="AU4" i="31"/>
  <c r="AT4" i="31"/>
  <c r="AS4" i="31"/>
  <c r="AR4" i="31"/>
  <c r="AQ4" i="31"/>
  <c r="AP4" i="31"/>
  <c r="AU3" i="31"/>
  <c r="AT3" i="31"/>
  <c r="AS3" i="31"/>
  <c r="AR3" i="31"/>
  <c r="AQ3" i="31"/>
  <c r="AP3" i="31"/>
  <c r="AU2" i="31"/>
  <c r="AT2" i="31"/>
  <c r="AS2" i="31"/>
  <c r="AR2" i="31"/>
  <c r="AQ2" i="31"/>
  <c r="AP2" i="31"/>
  <c r="BP4" i="37"/>
  <c r="BQ6" i="37"/>
  <c r="BQ5" i="37"/>
  <c r="BQ4" i="37"/>
  <c r="BQ3" i="37"/>
  <c r="BP6" i="37"/>
  <c r="BP5" i="37"/>
  <c r="BP3" i="37"/>
  <c r="BO6" i="37"/>
  <c r="BO5" i="37"/>
  <c r="BO4" i="37"/>
  <c r="BO3" i="37"/>
  <c r="BQ2" i="37"/>
  <c r="BP2" i="37"/>
  <c r="BO2" i="37"/>
  <c r="BK6" i="37"/>
  <c r="BL6" i="37"/>
  <c r="BL5" i="37"/>
  <c r="BL4" i="37"/>
  <c r="BL3" i="37"/>
  <c r="BK5" i="37"/>
  <c r="BK4" i="37"/>
  <c r="BK3" i="37"/>
  <c r="BL2" i="37"/>
  <c r="BK2" i="37"/>
  <c r="BJ6" i="37"/>
  <c r="BJ5" i="37"/>
  <c r="BJ4" i="37"/>
  <c r="BJ3" i="37"/>
  <c r="BJ2" i="37"/>
  <c r="BH4" i="30" l="1"/>
  <c r="BG4" i="30"/>
  <c r="BF4" i="30"/>
  <c r="BE4" i="30"/>
  <c r="BD4" i="30"/>
  <c r="BC4" i="30"/>
  <c r="BB4" i="30"/>
  <c r="BA4" i="30"/>
  <c r="AY4" i="30"/>
  <c r="AX4" i="30"/>
  <c r="AW4" i="30"/>
  <c r="AV4" i="30"/>
  <c r="BH3" i="30"/>
  <c r="BG3" i="30"/>
  <c r="BF3" i="30"/>
  <c r="BE3" i="30"/>
  <c r="BD3" i="30"/>
  <c r="BC3" i="30"/>
  <c r="BB3" i="30"/>
  <c r="BA3" i="30"/>
  <c r="AY3" i="30"/>
  <c r="AX3" i="30"/>
  <c r="AW3" i="30"/>
  <c r="AV3" i="30"/>
  <c r="EF11" i="34"/>
  <c r="EF10" i="34"/>
  <c r="EF9" i="34"/>
  <c r="EF12" i="34"/>
  <c r="BM244" i="2" l="1"/>
  <c r="BL244" i="2"/>
  <c r="BK244" i="2"/>
  <c r="BI244" i="2"/>
  <c r="BH244" i="2"/>
  <c r="BJ244" i="2" s="1"/>
  <c r="N3" i="2"/>
  <c r="N16" i="2"/>
  <c r="N15" i="2"/>
  <c r="N14" i="2"/>
  <c r="N13" i="2"/>
  <c r="N12" i="2"/>
  <c r="N11" i="2"/>
  <c r="N10" i="2"/>
  <c r="N9" i="2"/>
  <c r="N8" i="2"/>
  <c r="N7" i="2"/>
  <c r="N6" i="2"/>
  <c r="N5" i="2"/>
  <c r="N4" i="2"/>
  <c r="HQ217" i="15" l="1"/>
  <c r="HR217" i="15" s="1"/>
  <c r="BP9" i="3" l="1"/>
  <c r="BG12" i="37" l="1"/>
  <c r="BF12" i="37"/>
  <c r="BE12" i="37"/>
  <c r="BD12" i="37"/>
  <c r="BC12" i="37"/>
  <c r="BB12" i="37"/>
  <c r="BA12" i="37"/>
  <c r="AZ12" i="37"/>
  <c r="AX12" i="37"/>
  <c r="AW12" i="37"/>
  <c r="AV12" i="37"/>
  <c r="BG11" i="37"/>
  <c r="BF11" i="37"/>
  <c r="BE11" i="37"/>
  <c r="BD11" i="37"/>
  <c r="BC11" i="37"/>
  <c r="BB11" i="37"/>
  <c r="BA11" i="37"/>
  <c r="AZ11" i="37"/>
  <c r="AX11" i="37"/>
  <c r="AW11" i="37"/>
  <c r="AV11" i="37"/>
  <c r="BG10" i="37"/>
  <c r="BF10" i="37"/>
  <c r="BE10" i="37"/>
  <c r="BD10" i="37"/>
  <c r="BC10" i="37"/>
  <c r="BB10" i="37"/>
  <c r="BA10" i="37"/>
  <c r="AZ10" i="37"/>
  <c r="AX10" i="37"/>
  <c r="AW10" i="37"/>
  <c r="AV10" i="37"/>
  <c r="BG9" i="37"/>
  <c r="BF9" i="37"/>
  <c r="BE9" i="37"/>
  <c r="BD9" i="37"/>
  <c r="BC9" i="37"/>
  <c r="BB9" i="37"/>
  <c r="BA9" i="37"/>
  <c r="AZ9" i="37"/>
  <c r="AX9" i="37"/>
  <c r="AW9" i="37"/>
  <c r="AV9" i="37"/>
  <c r="BG8" i="37"/>
  <c r="BF8" i="37"/>
  <c r="BE8" i="37"/>
  <c r="BD8" i="37"/>
  <c r="BC8" i="37"/>
  <c r="BB8" i="37"/>
  <c r="BA8" i="37"/>
  <c r="AZ8" i="37"/>
  <c r="AX8" i="37"/>
  <c r="AW8" i="37"/>
  <c r="AV8" i="37"/>
  <c r="AP12" i="37"/>
  <c r="AO12" i="37"/>
  <c r="AN12" i="37"/>
  <c r="AM12" i="37"/>
  <c r="AL12" i="37"/>
  <c r="AK12" i="37"/>
  <c r="AJ12" i="37"/>
  <c r="AI12" i="37"/>
  <c r="AG12" i="37"/>
  <c r="AF12" i="37"/>
  <c r="AE12" i="37"/>
  <c r="AP11" i="37"/>
  <c r="AO11" i="37"/>
  <c r="AN11" i="37"/>
  <c r="AM11" i="37"/>
  <c r="AL11" i="37"/>
  <c r="AK11" i="37"/>
  <c r="AJ11" i="37"/>
  <c r="AI11" i="37"/>
  <c r="AG11" i="37"/>
  <c r="AF11" i="37"/>
  <c r="AE11" i="37"/>
  <c r="AP10" i="37"/>
  <c r="AO10" i="37"/>
  <c r="AN10" i="37"/>
  <c r="AM10" i="37"/>
  <c r="AL10" i="37"/>
  <c r="AK10" i="37"/>
  <c r="AJ10" i="37"/>
  <c r="AI10" i="37"/>
  <c r="AG10" i="37"/>
  <c r="AF10" i="37"/>
  <c r="AE10" i="37"/>
  <c r="AP9" i="37"/>
  <c r="AO9" i="37"/>
  <c r="AN9" i="37"/>
  <c r="AM9" i="37"/>
  <c r="AL9" i="37"/>
  <c r="AK9" i="37"/>
  <c r="AJ9" i="37"/>
  <c r="AI9" i="37"/>
  <c r="AG9" i="37"/>
  <c r="AF9" i="37"/>
  <c r="AE9" i="37"/>
  <c r="AP8" i="37"/>
  <c r="AO8" i="37"/>
  <c r="AN8" i="37"/>
  <c r="AM8" i="37"/>
  <c r="AL8" i="37"/>
  <c r="AK8" i="37"/>
  <c r="AJ8" i="37"/>
  <c r="AI8" i="37"/>
  <c r="AG8" i="37"/>
  <c r="AF8" i="37"/>
  <c r="AE8" i="37"/>
  <c r="BG6" i="37"/>
  <c r="BF6" i="37"/>
  <c r="BE6" i="37"/>
  <c r="BD6" i="37"/>
  <c r="BC6" i="37"/>
  <c r="BB6" i="37"/>
  <c r="BA6" i="37"/>
  <c r="AZ6" i="37"/>
  <c r="AX6" i="37"/>
  <c r="AW6" i="37"/>
  <c r="AV6" i="37"/>
  <c r="BG5" i="37"/>
  <c r="BF5" i="37"/>
  <c r="BE5" i="37"/>
  <c r="BD5" i="37"/>
  <c r="BC5" i="37"/>
  <c r="BB5" i="37"/>
  <c r="BA5" i="37"/>
  <c r="AZ5" i="37"/>
  <c r="AX5" i="37"/>
  <c r="AW5" i="37"/>
  <c r="AV5" i="37"/>
  <c r="BG4" i="37"/>
  <c r="BF4" i="37"/>
  <c r="BE4" i="37"/>
  <c r="BD4" i="37"/>
  <c r="BC4" i="37"/>
  <c r="BB4" i="37"/>
  <c r="BA4" i="37"/>
  <c r="AZ4" i="37"/>
  <c r="AX4" i="37"/>
  <c r="AW4" i="37"/>
  <c r="AV4" i="37"/>
  <c r="BG3" i="37"/>
  <c r="BF3" i="37"/>
  <c r="BE3" i="37"/>
  <c r="BD3" i="37"/>
  <c r="BC3" i="37"/>
  <c r="BB3" i="37"/>
  <c r="BA3" i="37"/>
  <c r="AZ3" i="37"/>
  <c r="AX3" i="37"/>
  <c r="AW3" i="37"/>
  <c r="AV3" i="37"/>
  <c r="BG2" i="37"/>
  <c r="BF2" i="37"/>
  <c r="BE2" i="37"/>
  <c r="BD2" i="37"/>
  <c r="BC2" i="37"/>
  <c r="BB2" i="37"/>
  <c r="BA2" i="37"/>
  <c r="AZ2" i="37"/>
  <c r="AX2" i="37"/>
  <c r="AW2" i="37"/>
  <c r="AV2" i="37"/>
  <c r="AP6" i="37"/>
  <c r="AO6" i="37"/>
  <c r="AN6" i="37"/>
  <c r="AM6" i="37"/>
  <c r="AL6" i="37"/>
  <c r="AK6" i="37"/>
  <c r="AJ6" i="37"/>
  <c r="AI6" i="37"/>
  <c r="AG6" i="37"/>
  <c r="AF6" i="37"/>
  <c r="AE6" i="37"/>
  <c r="AP5" i="37"/>
  <c r="AO5" i="37"/>
  <c r="AN5" i="37"/>
  <c r="AM5" i="37"/>
  <c r="AL5" i="37"/>
  <c r="AK5" i="37"/>
  <c r="AJ5" i="37"/>
  <c r="AI5" i="37"/>
  <c r="AG5" i="37"/>
  <c r="AF5" i="37"/>
  <c r="AE5" i="37"/>
  <c r="AP4" i="37"/>
  <c r="AO4" i="37"/>
  <c r="AN4" i="37"/>
  <c r="AM4" i="37"/>
  <c r="AL4" i="37"/>
  <c r="AK4" i="37"/>
  <c r="AJ4" i="37"/>
  <c r="AI4" i="37"/>
  <c r="AG4" i="37"/>
  <c r="AF4" i="37"/>
  <c r="AE4" i="37"/>
  <c r="AP3" i="37"/>
  <c r="AO3" i="37"/>
  <c r="AN3" i="37"/>
  <c r="AM3" i="37"/>
  <c r="AL3" i="37"/>
  <c r="AK3" i="37"/>
  <c r="AJ3" i="37"/>
  <c r="AI3" i="37"/>
  <c r="AG3" i="37"/>
  <c r="AF3" i="37"/>
  <c r="AE3" i="37"/>
  <c r="AP2" i="37"/>
  <c r="AO2" i="37"/>
  <c r="AN2" i="37"/>
  <c r="AM2" i="37"/>
  <c r="AL2" i="37"/>
  <c r="AK2" i="37"/>
  <c r="AJ2" i="37"/>
  <c r="AI2" i="37"/>
  <c r="AG2" i="37"/>
  <c r="AF2" i="37"/>
  <c r="AE2" i="37"/>
  <c r="Y12" i="37"/>
  <c r="X12" i="37"/>
  <c r="W12" i="37"/>
  <c r="V12" i="37"/>
  <c r="U12" i="37"/>
  <c r="T12" i="37"/>
  <c r="S12" i="37"/>
  <c r="R12" i="37"/>
  <c r="Y11" i="37"/>
  <c r="X11" i="37"/>
  <c r="W11" i="37"/>
  <c r="V11" i="37"/>
  <c r="U11" i="37"/>
  <c r="T11" i="37"/>
  <c r="S11" i="37"/>
  <c r="R11" i="37"/>
  <c r="Y10" i="37"/>
  <c r="X10" i="37"/>
  <c r="W10" i="37"/>
  <c r="V10" i="37"/>
  <c r="U10" i="37"/>
  <c r="T10" i="37"/>
  <c r="S10" i="37"/>
  <c r="R10" i="37"/>
  <c r="Y9" i="37"/>
  <c r="X9" i="37"/>
  <c r="W9" i="37"/>
  <c r="V9" i="37"/>
  <c r="U9" i="37"/>
  <c r="T9" i="37"/>
  <c r="S9" i="37"/>
  <c r="R9" i="37"/>
  <c r="Y8" i="37"/>
  <c r="X8" i="37"/>
  <c r="W8" i="37"/>
  <c r="V8" i="37"/>
  <c r="U8" i="37"/>
  <c r="T8" i="37"/>
  <c r="S8" i="37"/>
  <c r="R8" i="37"/>
  <c r="Y2" i="37"/>
  <c r="X2" i="37"/>
  <c r="W2" i="37"/>
  <c r="V2" i="37"/>
  <c r="U2" i="37"/>
  <c r="T2" i="37"/>
  <c r="S2" i="37"/>
  <c r="Y3" i="37"/>
  <c r="X3" i="37"/>
  <c r="W3" i="37"/>
  <c r="V3" i="37"/>
  <c r="U3" i="37"/>
  <c r="T3" i="37"/>
  <c r="S3" i="37"/>
  <c r="Y4" i="37"/>
  <c r="X4" i="37"/>
  <c r="W4" i="37"/>
  <c r="V4" i="37"/>
  <c r="U4" i="37"/>
  <c r="T4" i="37"/>
  <c r="S4" i="37"/>
  <c r="Y5" i="37"/>
  <c r="X5" i="37"/>
  <c r="W5" i="37"/>
  <c r="V5" i="37"/>
  <c r="U5" i="37"/>
  <c r="T5" i="37"/>
  <c r="S5" i="37"/>
  <c r="Y6" i="37"/>
  <c r="X6" i="37"/>
  <c r="W6" i="37"/>
  <c r="V6" i="37"/>
  <c r="U6" i="37"/>
  <c r="T6" i="37"/>
  <c r="S6" i="37"/>
  <c r="R6" i="37"/>
  <c r="R5" i="37"/>
  <c r="R4" i="37"/>
  <c r="R3" i="37"/>
  <c r="R2" i="37"/>
  <c r="P12" i="37"/>
  <c r="O12" i="37"/>
  <c r="P11" i="37"/>
  <c r="O11" i="37"/>
  <c r="P10" i="37"/>
  <c r="O10" i="37"/>
  <c r="P9" i="37"/>
  <c r="O9" i="37"/>
  <c r="P8" i="37"/>
  <c r="O8" i="37"/>
  <c r="N12" i="37"/>
  <c r="N11" i="37"/>
  <c r="N10" i="37"/>
  <c r="N9" i="37"/>
  <c r="N8" i="37"/>
  <c r="P6" i="37"/>
  <c r="P5" i="37"/>
  <c r="P4" i="37"/>
  <c r="P3" i="37"/>
  <c r="O6" i="37"/>
  <c r="O5" i="37"/>
  <c r="O4" i="37"/>
  <c r="O3" i="37"/>
  <c r="N6" i="37"/>
  <c r="N5" i="37"/>
  <c r="N4" i="37"/>
  <c r="N3" i="37"/>
  <c r="P2" i="37"/>
  <c r="O2" i="37"/>
  <c r="N2" i="37"/>
  <c r="L6" i="37"/>
  <c r="L5" i="37"/>
  <c r="L4" i="37"/>
  <c r="L2" i="37"/>
  <c r="L3" i="37"/>
  <c r="K6" i="37"/>
  <c r="K5" i="37"/>
  <c r="K4" i="37"/>
  <c r="K3" i="37"/>
  <c r="K2" i="37"/>
  <c r="AT6" i="37"/>
  <c r="AS6" i="37"/>
  <c r="AC6" i="37"/>
  <c r="AB6" i="37"/>
  <c r="AT5" i="37"/>
  <c r="AS5" i="37"/>
  <c r="AC5" i="37"/>
  <c r="AB5" i="37"/>
  <c r="AT4" i="37"/>
  <c r="AS4" i="37"/>
  <c r="AC4" i="37"/>
  <c r="AB4" i="37"/>
  <c r="AT3" i="37"/>
  <c r="AS3" i="37"/>
  <c r="AC3" i="37"/>
  <c r="AB3" i="37"/>
  <c r="AT2" i="37"/>
  <c r="AS2" i="37"/>
  <c r="AC2" i="37"/>
  <c r="AB2" i="37"/>
  <c r="L7" i="37" l="1"/>
  <c r="K7" i="37"/>
  <c r="AS7" i="37"/>
  <c r="AC7" i="37"/>
  <c r="AT7" i="37"/>
  <c r="AB7" i="37"/>
  <c r="BS4" i="34"/>
  <c r="BR4" i="34"/>
  <c r="BQ4" i="34"/>
  <c r="BP4" i="34"/>
  <c r="BS3" i="34"/>
  <c r="BR3" i="34"/>
  <c r="BQ3" i="34"/>
  <c r="BP3" i="34"/>
  <c r="BS2" i="34"/>
  <c r="BR2" i="34"/>
  <c r="BQ2" i="34"/>
  <c r="BP2" i="34"/>
  <c r="Y10" i="35"/>
  <c r="AS10" i="35" l="1"/>
  <c r="AA15" i="25"/>
  <c r="AA14" i="25"/>
  <c r="AA13" i="25"/>
  <c r="AA12" i="25"/>
  <c r="AA11" i="25"/>
  <c r="AA10" i="25"/>
  <c r="AA9" i="25"/>
  <c r="AA8" i="25"/>
  <c r="AA7" i="25"/>
  <c r="AA6" i="25"/>
  <c r="AA5" i="25"/>
  <c r="AA4" i="25"/>
  <c r="AA3" i="25"/>
  <c r="AA2" i="25"/>
  <c r="Z15" i="25"/>
  <c r="Z14" i="25"/>
  <c r="Z13" i="25"/>
  <c r="Z12" i="25"/>
  <c r="Z11" i="25"/>
  <c r="Z10" i="25"/>
  <c r="Z9" i="25"/>
  <c r="Z8" i="25"/>
  <c r="Z7" i="25"/>
  <c r="Z6" i="25"/>
  <c r="Z5" i="25"/>
  <c r="Z4" i="25"/>
  <c r="Z3" i="25"/>
  <c r="Z2" i="25"/>
  <c r="AB15" i="25"/>
  <c r="AB14" i="25"/>
  <c r="AB13" i="25"/>
  <c r="AB12" i="25"/>
  <c r="AB11" i="25"/>
  <c r="AB10" i="25"/>
  <c r="AB9" i="25"/>
  <c r="AB8" i="25"/>
  <c r="AB7" i="25"/>
  <c r="AB6" i="25"/>
  <c r="AB5" i="25"/>
  <c r="AB4" i="25"/>
  <c r="AB3" i="25"/>
  <c r="AB2" i="25"/>
  <c r="AN14" i="36" l="1"/>
  <c r="AN13" i="36"/>
  <c r="AN12" i="36"/>
  <c r="AN11" i="36"/>
  <c r="AN10" i="36"/>
  <c r="AN9" i="36"/>
  <c r="AN8" i="36"/>
  <c r="AN7" i="36"/>
  <c r="AN6" i="36"/>
  <c r="AN4" i="36"/>
  <c r="AM14" i="36"/>
  <c r="AM13" i="36"/>
  <c r="AM12" i="36"/>
  <c r="AM11" i="36"/>
  <c r="AM10" i="36"/>
  <c r="AM9" i="36"/>
  <c r="AM8" i="36"/>
  <c r="AM7" i="36"/>
  <c r="AM6" i="36"/>
  <c r="AM4" i="36"/>
  <c r="AL14" i="36"/>
  <c r="AL13" i="36"/>
  <c r="AL12" i="36"/>
  <c r="AL11" i="36"/>
  <c r="AL10" i="36"/>
  <c r="AL9" i="36"/>
  <c r="AL8" i="36"/>
  <c r="AL7" i="36"/>
  <c r="AL6" i="36"/>
  <c r="AL4" i="36"/>
  <c r="Y12" i="35" l="1"/>
  <c r="AS12" i="35" s="1"/>
  <c r="X12" i="35"/>
  <c r="AR12" i="35" s="1"/>
  <c r="Y11" i="35"/>
  <c r="AS11" i="35" s="1"/>
  <c r="X11" i="35"/>
  <c r="AR11" i="35" s="1"/>
  <c r="X10" i="35"/>
  <c r="AR10" i="35" s="1"/>
  <c r="Y9" i="35"/>
  <c r="AS9" i="35" s="1"/>
  <c r="X9" i="35"/>
  <c r="AR9" i="35" s="1"/>
  <c r="Y8" i="35"/>
  <c r="AS8" i="35" s="1"/>
  <c r="X8" i="35"/>
  <c r="AR8" i="35" s="1"/>
  <c r="Y5" i="35"/>
  <c r="AS5" i="35" s="1"/>
  <c r="X5" i="35"/>
  <c r="AR5" i="35" s="1"/>
  <c r="X6" i="35"/>
  <c r="AR6" i="35" s="1"/>
  <c r="Y6" i="35"/>
  <c r="AS6" i="35" s="1"/>
  <c r="X7" i="35"/>
  <c r="AR7" i="35" s="1"/>
  <c r="Y7" i="35"/>
  <c r="AS7" i="35" s="1"/>
  <c r="Y4" i="35"/>
  <c r="AS4" i="35" s="1"/>
  <c r="X4" i="35"/>
  <c r="AR4" i="35" s="1"/>
  <c r="Y3" i="35"/>
  <c r="AS3" i="35" s="1"/>
  <c r="X3" i="35"/>
  <c r="AR3" i="35" s="1"/>
  <c r="Y2" i="35"/>
  <c r="AS2" i="35" s="1"/>
  <c r="X2" i="35"/>
  <c r="AR2" i="35" s="1"/>
  <c r="BL4" i="34"/>
  <c r="BL3" i="34"/>
  <c r="BL2" i="34"/>
  <c r="BK4" i="34"/>
  <c r="BK3" i="34"/>
  <c r="BK2" i="34"/>
  <c r="BJ4" i="34"/>
  <c r="BJ3" i="34"/>
  <c r="BJ2" i="34"/>
  <c r="BI4" i="34"/>
  <c r="BI3" i="34"/>
  <c r="BI2" i="34"/>
  <c r="BH4" i="34"/>
  <c r="BH3" i="34"/>
  <c r="BH2" i="34"/>
  <c r="BG4" i="34"/>
  <c r="BG3" i="34"/>
  <c r="BG2" i="34"/>
  <c r="BF4" i="34"/>
  <c r="BF3" i="34"/>
  <c r="BF2" i="34"/>
  <c r="BC4" i="34"/>
  <c r="BC3" i="34"/>
  <c r="BC2" i="34"/>
  <c r="BB4" i="34"/>
  <c r="BB3" i="34"/>
  <c r="BB2" i="34"/>
  <c r="BE4" i="34"/>
  <c r="BE3" i="34"/>
  <c r="BE2" i="34"/>
  <c r="BA4" i="34"/>
  <c r="BA3" i="34"/>
  <c r="BP6" i="34" s="1"/>
  <c r="BA2" i="34"/>
  <c r="AL2" i="34"/>
  <c r="AZ4" i="34"/>
  <c r="AZ3" i="34"/>
  <c r="EN3" i="30"/>
  <c r="EN2" i="30"/>
  <c r="EH3" i="30"/>
  <c r="EH2" i="30"/>
  <c r="EM3" i="30"/>
  <c r="EM2" i="30"/>
  <c r="EG3" i="30"/>
  <c r="EG2" i="30"/>
  <c r="EL3" i="30"/>
  <c r="EK3" i="30"/>
  <c r="EL2" i="30"/>
  <c r="EK2" i="30"/>
  <c r="EF3" i="30"/>
  <c r="EF2" i="30"/>
  <c r="EE3" i="30"/>
  <c r="DB4" i="30"/>
  <c r="DB3" i="30"/>
  <c r="DB2" i="30"/>
  <c r="DC4" i="30"/>
  <c r="DC3" i="30"/>
  <c r="DC2" i="30"/>
  <c r="DD4" i="30"/>
  <c r="DD3" i="30"/>
  <c r="DD2" i="30"/>
  <c r="AD3" i="30" l="1"/>
  <c r="AC3" i="30"/>
  <c r="AB3" i="30"/>
  <c r="AA3" i="30"/>
  <c r="Z3" i="30"/>
  <c r="Y3" i="30"/>
  <c r="X3" i="30"/>
  <c r="W3" i="30"/>
  <c r="U3" i="30"/>
  <c r="T3" i="30"/>
  <c r="S3" i="30"/>
  <c r="R3" i="30"/>
  <c r="AD4" i="30"/>
  <c r="AC4" i="30"/>
  <c r="AB4" i="30"/>
  <c r="AA4" i="30"/>
  <c r="Z4" i="30"/>
  <c r="Y4" i="30"/>
  <c r="X4" i="30"/>
  <c r="W4" i="30"/>
  <c r="U4" i="30"/>
  <c r="T4" i="30"/>
  <c r="S4" i="30"/>
  <c r="R4" i="30"/>
  <c r="AJ6" i="29"/>
  <c r="AJ5" i="29"/>
  <c r="AJ4" i="29"/>
  <c r="AJ3" i="29"/>
  <c r="AJ2" i="29"/>
  <c r="AI6" i="29"/>
  <c r="AI5" i="29"/>
  <c r="AI4" i="29"/>
  <c r="AI3" i="29"/>
  <c r="AI2" i="29"/>
  <c r="AH6" i="29"/>
  <c r="AH5" i="29"/>
  <c r="AH4" i="29"/>
  <c r="AH3" i="29"/>
  <c r="AH2" i="29"/>
  <c r="V3" i="27"/>
  <c r="U3" i="27"/>
  <c r="T3" i="27"/>
  <c r="S3" i="27"/>
  <c r="R3" i="27"/>
  <c r="Q3" i="27"/>
  <c r="P3" i="27"/>
  <c r="O3" i="27"/>
  <c r="M3" i="27"/>
  <c r="L3" i="27"/>
  <c r="K3" i="27"/>
  <c r="V2" i="27"/>
  <c r="U2" i="27"/>
  <c r="T2" i="27"/>
  <c r="S2" i="27"/>
  <c r="R2" i="27"/>
  <c r="Q2" i="27"/>
  <c r="P2" i="27"/>
  <c r="O2" i="27"/>
  <c r="M2" i="27"/>
  <c r="L2" i="27"/>
  <c r="K2" i="27"/>
  <c r="U4" i="26"/>
  <c r="U3" i="26"/>
  <c r="V4" i="26"/>
  <c r="V3" i="26"/>
  <c r="V2" i="26"/>
  <c r="W4" i="26"/>
  <c r="W3" i="26"/>
  <c r="W2" i="26"/>
  <c r="BT8" i="3" l="1"/>
  <c r="BT7" i="3"/>
  <c r="BT6" i="3"/>
  <c r="BT5" i="3"/>
  <c r="BT4" i="3"/>
  <c r="BT3" i="3"/>
  <c r="BT2" i="3"/>
  <c r="BU8" i="3"/>
  <c r="BU7" i="3"/>
  <c r="BU6" i="3"/>
  <c r="BU5" i="3"/>
  <c r="BU4" i="3"/>
  <c r="BU3" i="3"/>
  <c r="BU2" i="3"/>
  <c r="BV8" i="3"/>
  <c r="BV7" i="3"/>
  <c r="BV6" i="3"/>
  <c r="BV5" i="3"/>
  <c r="BV4" i="3"/>
  <c r="BV3" i="3"/>
  <c r="BV2" i="3"/>
  <c r="BE4" i="3"/>
  <c r="BE3" i="3"/>
  <c r="BD4" i="3"/>
  <c r="BD3" i="3"/>
  <c r="BC4" i="3"/>
  <c r="BC3" i="3"/>
  <c r="Z10" i="3"/>
  <c r="Z9" i="3"/>
  <c r="Z8" i="3"/>
  <c r="Z7" i="3"/>
  <c r="Z6" i="3"/>
  <c r="Z5" i="3"/>
  <c r="Z4" i="3"/>
  <c r="Z3" i="3"/>
  <c r="Z2" i="3"/>
  <c r="BE2" i="3"/>
  <c r="AN3" i="3"/>
  <c r="AN2" i="3"/>
  <c r="BD2" i="3"/>
  <c r="AM3" i="3"/>
  <c r="AM2" i="3"/>
  <c r="Y10" i="3"/>
  <c r="Y9" i="3"/>
  <c r="Y8" i="3"/>
  <c r="Y7" i="3"/>
  <c r="Y6" i="3"/>
  <c r="Y5" i="3"/>
  <c r="Y4" i="3"/>
  <c r="Y3" i="3"/>
  <c r="Y2" i="3"/>
  <c r="BC2" i="3"/>
  <c r="X10" i="3"/>
  <c r="X9" i="3"/>
  <c r="X8" i="3"/>
  <c r="X7" i="3"/>
  <c r="X6" i="3"/>
  <c r="X5" i="3"/>
  <c r="X4" i="3"/>
  <c r="X3" i="3"/>
  <c r="X2" i="3"/>
  <c r="AL3" i="3"/>
  <c r="AL2" i="3"/>
  <c r="AJ6" i="2"/>
  <c r="AI6" i="2"/>
  <c r="AH6" i="2"/>
  <c r="AG6" i="2"/>
  <c r="AF6" i="2"/>
  <c r="AE6" i="2"/>
  <c r="AD6" i="2"/>
  <c r="AC6" i="2"/>
  <c r="AJ7" i="2"/>
  <c r="AI7" i="2"/>
  <c r="AH7" i="2"/>
  <c r="AG7" i="2"/>
  <c r="AF7" i="2"/>
  <c r="AE7" i="2"/>
  <c r="AD7" i="2"/>
  <c r="AC7" i="2"/>
  <c r="AB7" i="2"/>
  <c r="AB6" i="2"/>
  <c r="AB25" i="2"/>
  <c r="AC14" i="36" l="1"/>
  <c r="AB14" i="36"/>
  <c r="AC13" i="36"/>
  <c r="AB13" i="36"/>
  <c r="AC12" i="36"/>
  <c r="AB12" i="36"/>
  <c r="AC11" i="36"/>
  <c r="AB11" i="36"/>
  <c r="AC10" i="36"/>
  <c r="AB10" i="36"/>
  <c r="AC9" i="36"/>
  <c r="AB9" i="36"/>
  <c r="AC8" i="36"/>
  <c r="AB8" i="36"/>
  <c r="AC7" i="36"/>
  <c r="AB7" i="36"/>
  <c r="AC6" i="36"/>
  <c r="AB6" i="36"/>
  <c r="AC4" i="36"/>
  <c r="AB4" i="36"/>
  <c r="S14" i="36"/>
  <c r="R14" i="36"/>
  <c r="S13" i="36"/>
  <c r="R13" i="36"/>
  <c r="S12" i="36"/>
  <c r="R12" i="36"/>
  <c r="S11" i="36"/>
  <c r="R11" i="36"/>
  <c r="S10" i="36"/>
  <c r="R10" i="36"/>
  <c r="S9" i="36"/>
  <c r="R9" i="36"/>
  <c r="S8" i="36"/>
  <c r="R8" i="36"/>
  <c r="S7" i="36"/>
  <c r="R7" i="36"/>
  <c r="S6" i="36"/>
  <c r="R6" i="36"/>
  <c r="S4" i="36"/>
  <c r="R4" i="36"/>
  <c r="I14" i="36"/>
  <c r="H14" i="36"/>
  <c r="I13" i="36"/>
  <c r="H13" i="36"/>
  <c r="I12" i="36"/>
  <c r="H12" i="36"/>
  <c r="I11" i="36"/>
  <c r="H11" i="36"/>
  <c r="I10" i="36"/>
  <c r="H10" i="36"/>
  <c r="I9" i="36"/>
  <c r="H9" i="36"/>
  <c r="I8" i="36"/>
  <c r="H8" i="36"/>
  <c r="I7" i="36"/>
  <c r="H7" i="36"/>
  <c r="I6" i="36"/>
  <c r="H6" i="36"/>
  <c r="I4" i="36"/>
  <c r="H4" i="36"/>
  <c r="DO3" i="36"/>
  <c r="DN3" i="36"/>
  <c r="DE3" i="36"/>
  <c r="DD3" i="36"/>
  <c r="CU3" i="36"/>
  <c r="CT3" i="36"/>
  <c r="CK3" i="36"/>
  <c r="CJ3" i="36"/>
  <c r="CA3" i="36"/>
  <c r="BZ3" i="36"/>
  <c r="BQ3" i="36"/>
  <c r="BP3" i="36"/>
  <c r="BG3" i="36"/>
  <c r="BF3" i="36"/>
  <c r="AW3" i="36"/>
  <c r="AV3" i="36"/>
  <c r="DO14" i="36"/>
  <c r="DN14" i="36"/>
  <c r="DO13" i="36"/>
  <c r="DN13" i="36"/>
  <c r="DO12" i="36"/>
  <c r="DN12" i="36"/>
  <c r="DO11" i="36"/>
  <c r="DN11" i="36"/>
  <c r="DO10" i="36"/>
  <c r="DN10" i="36"/>
  <c r="DO9" i="36"/>
  <c r="DN9" i="36"/>
  <c r="DO8" i="36"/>
  <c r="DN8" i="36"/>
  <c r="DO7" i="36"/>
  <c r="DN7" i="36"/>
  <c r="DO6" i="36"/>
  <c r="DN6" i="36"/>
  <c r="DO5" i="36"/>
  <c r="DN5" i="36"/>
  <c r="DO4" i="36"/>
  <c r="DN4" i="36"/>
  <c r="DE14" i="36"/>
  <c r="DD14" i="36"/>
  <c r="DE13" i="36"/>
  <c r="DD13" i="36"/>
  <c r="DE12" i="36"/>
  <c r="DD12" i="36"/>
  <c r="DE11" i="36"/>
  <c r="DD11" i="36"/>
  <c r="DE10" i="36"/>
  <c r="DD10" i="36"/>
  <c r="DE9" i="36"/>
  <c r="DD9" i="36"/>
  <c r="DE8" i="36"/>
  <c r="DD8" i="36"/>
  <c r="DE7" i="36"/>
  <c r="DD7" i="36"/>
  <c r="DE6" i="36"/>
  <c r="DD6" i="36"/>
  <c r="DE5" i="36"/>
  <c r="DD5" i="36"/>
  <c r="DE4" i="36"/>
  <c r="DD4" i="36"/>
  <c r="CU14" i="36"/>
  <c r="CT14" i="36"/>
  <c r="CU13" i="36"/>
  <c r="CT13" i="36"/>
  <c r="CU12" i="36"/>
  <c r="CT12" i="36"/>
  <c r="CU11" i="36"/>
  <c r="CT11" i="36"/>
  <c r="CU10" i="36"/>
  <c r="CT10" i="36"/>
  <c r="CU9" i="36"/>
  <c r="CT9" i="36"/>
  <c r="CU8" i="36"/>
  <c r="CT8" i="36"/>
  <c r="CU7" i="36"/>
  <c r="CT7" i="36"/>
  <c r="CU6" i="36"/>
  <c r="CT6" i="36"/>
  <c r="CU5" i="36"/>
  <c r="CT5" i="36"/>
  <c r="CU4" i="36"/>
  <c r="CT4" i="36"/>
  <c r="CK14" i="36"/>
  <c r="CJ14" i="36"/>
  <c r="CK13" i="36"/>
  <c r="CJ13" i="36"/>
  <c r="CK12" i="36"/>
  <c r="CJ12" i="36"/>
  <c r="CK11" i="36"/>
  <c r="CJ11" i="36"/>
  <c r="CK10" i="36"/>
  <c r="CJ10" i="36"/>
  <c r="CK9" i="36"/>
  <c r="CJ9" i="36"/>
  <c r="CK8" i="36"/>
  <c r="CJ8" i="36"/>
  <c r="CK7" i="36"/>
  <c r="CJ7" i="36"/>
  <c r="CK6" i="36"/>
  <c r="CJ6" i="36"/>
  <c r="CK5" i="36"/>
  <c r="CJ5" i="36"/>
  <c r="CK4" i="36"/>
  <c r="CJ4" i="36"/>
  <c r="CA14" i="36"/>
  <c r="BZ14" i="36"/>
  <c r="CA13" i="36"/>
  <c r="BZ13" i="36"/>
  <c r="CA12" i="36"/>
  <c r="BZ12" i="36"/>
  <c r="CA11" i="36"/>
  <c r="BZ11" i="36"/>
  <c r="CA10" i="36"/>
  <c r="BZ10" i="36"/>
  <c r="CA9" i="36"/>
  <c r="BZ9" i="36"/>
  <c r="CA8" i="36"/>
  <c r="BZ8" i="36"/>
  <c r="CA7" i="36"/>
  <c r="BZ7" i="36"/>
  <c r="CA6" i="36"/>
  <c r="BZ6" i="36"/>
  <c r="CA5" i="36"/>
  <c r="BZ5" i="36"/>
  <c r="CA4" i="36"/>
  <c r="BZ4" i="36"/>
  <c r="BQ14" i="36"/>
  <c r="BP14" i="36"/>
  <c r="BQ13" i="36"/>
  <c r="BP13" i="36"/>
  <c r="BQ12" i="36"/>
  <c r="BP12" i="36"/>
  <c r="BQ11" i="36"/>
  <c r="BP11" i="36"/>
  <c r="BQ10" i="36"/>
  <c r="BP10" i="36"/>
  <c r="BQ9" i="36"/>
  <c r="BP9" i="36"/>
  <c r="BQ8" i="36"/>
  <c r="BP8" i="36"/>
  <c r="BQ7" i="36"/>
  <c r="BP7" i="36"/>
  <c r="BQ6" i="36"/>
  <c r="BP6" i="36"/>
  <c r="BQ5" i="36"/>
  <c r="BP5" i="36"/>
  <c r="BQ4" i="36"/>
  <c r="BP4" i="36"/>
  <c r="BG14" i="36"/>
  <c r="BF14" i="36"/>
  <c r="BG13" i="36"/>
  <c r="BF13" i="36"/>
  <c r="BG12" i="36"/>
  <c r="BF12" i="36"/>
  <c r="BG11" i="36"/>
  <c r="BF11" i="36"/>
  <c r="BG10" i="36"/>
  <c r="BF10" i="36"/>
  <c r="BG9" i="36"/>
  <c r="BF9" i="36"/>
  <c r="BG8" i="36"/>
  <c r="BF8" i="36"/>
  <c r="BG7" i="36"/>
  <c r="BF7" i="36"/>
  <c r="BG6" i="36"/>
  <c r="BF6" i="36"/>
  <c r="BG5" i="36"/>
  <c r="BF5" i="36"/>
  <c r="BG4" i="36"/>
  <c r="BF4" i="36"/>
  <c r="AW12" i="36"/>
  <c r="AV12" i="36"/>
  <c r="AW10" i="36"/>
  <c r="AV10" i="36"/>
  <c r="AD4" i="29"/>
  <c r="AD3" i="29"/>
  <c r="K4" i="32"/>
  <c r="J4" i="32"/>
  <c r="I4" i="32"/>
  <c r="K3" i="32"/>
  <c r="J3" i="32"/>
  <c r="I3" i="32"/>
  <c r="AW14" i="36"/>
  <c r="AV14" i="36"/>
  <c r="AW13" i="36"/>
  <c r="AV13" i="36"/>
  <c r="AW11" i="36"/>
  <c r="AV11" i="36"/>
  <c r="AW9" i="36"/>
  <c r="AV9" i="36"/>
  <c r="AW8" i="36"/>
  <c r="AV8" i="36"/>
  <c r="AW7" i="36"/>
  <c r="AV7" i="36"/>
  <c r="EE2" i="30"/>
  <c r="AW6" i="36"/>
  <c r="AV6" i="36"/>
  <c r="AW4" i="36"/>
  <c r="AV4" i="36"/>
  <c r="AW5" i="36"/>
  <c r="AV5" i="36"/>
  <c r="H2" i="25"/>
  <c r="H3" i="25"/>
  <c r="L3" i="33"/>
  <c r="K3" i="33"/>
  <c r="J3" i="33"/>
  <c r="L2" i="33"/>
  <c r="K2" i="33"/>
  <c r="J2" i="33"/>
  <c r="DM4" i="30"/>
  <c r="DM3" i="30"/>
  <c r="DM2" i="30"/>
  <c r="DL4" i="30"/>
  <c r="DL3" i="30"/>
  <c r="DL2" i="30"/>
  <c r="DK4" i="30"/>
  <c r="DK3" i="30"/>
  <c r="DK2" i="30"/>
  <c r="DJ4" i="30"/>
  <c r="DJ3" i="30"/>
  <c r="DJ2" i="30"/>
  <c r="DI4" i="30"/>
  <c r="DI3" i="30"/>
  <c r="DI2" i="30"/>
  <c r="DH4" i="30"/>
  <c r="DH3" i="30"/>
  <c r="DH2" i="30"/>
  <c r="DG4" i="30"/>
  <c r="DG3" i="30"/>
  <c r="DG2" i="30"/>
  <c r="DF4" i="30"/>
  <c r="DF3" i="30"/>
  <c r="DF2" i="30"/>
  <c r="DA4" i="30"/>
  <c r="DA3" i="30"/>
  <c r="DA2" i="30"/>
  <c r="BI3" i="29"/>
  <c r="BI2" i="29"/>
  <c r="BH3" i="29"/>
  <c r="BH2" i="29"/>
  <c r="BG3" i="29"/>
  <c r="BG2" i="29"/>
  <c r="AX6" i="29"/>
  <c r="AX5" i="29"/>
  <c r="AX4" i="29"/>
  <c r="AX3" i="29"/>
  <c r="AX2" i="29"/>
  <c r="AW6" i="29"/>
  <c r="AW5" i="29"/>
  <c r="AW4" i="29"/>
  <c r="AW3" i="29"/>
  <c r="AW2" i="29"/>
  <c r="AV6" i="29"/>
  <c r="AV5" i="29"/>
  <c r="AV4" i="29"/>
  <c r="AV3" i="29"/>
  <c r="AV2" i="29"/>
  <c r="AU6" i="29"/>
  <c r="AU5" i="29"/>
  <c r="AU4" i="29"/>
  <c r="AU2" i="29"/>
  <c r="AU3" i="29"/>
  <c r="DT3" i="34" l="1"/>
  <c r="DT2" i="34"/>
  <c r="DE3" i="34"/>
  <c r="DE2" i="34"/>
  <c r="CT3" i="34"/>
  <c r="CT2" i="34"/>
  <c r="CI3" i="34"/>
  <c r="CI2" i="34"/>
  <c r="AW3" i="34"/>
  <c r="BL5" i="34" s="1"/>
  <c r="AW2" i="34"/>
  <c r="AH6" i="34"/>
  <c r="AH5" i="34"/>
  <c r="AH4" i="34"/>
  <c r="AH3" i="34"/>
  <c r="AH2" i="34"/>
  <c r="AY3" i="33"/>
  <c r="AY2" i="33"/>
  <c r="AJ6" i="33"/>
  <c r="AJ5" i="33"/>
  <c r="AJ4" i="33"/>
  <c r="AJ3" i="33"/>
  <c r="AJ2" i="33"/>
  <c r="U3" i="33"/>
  <c r="U2" i="33"/>
  <c r="AJ4" i="32"/>
  <c r="AJ3" i="32"/>
  <c r="AJ2" i="32"/>
  <c r="T4" i="32"/>
  <c r="T3" i="32"/>
  <c r="T2" i="32"/>
  <c r="AD2" i="30"/>
  <c r="AC2" i="30"/>
  <c r="AB2" i="30"/>
  <c r="AA2" i="30"/>
  <c r="Z2" i="30"/>
  <c r="Y2" i="30"/>
  <c r="X2" i="30"/>
  <c r="EB3" i="30"/>
  <c r="EB2" i="30"/>
  <c r="CX3" i="30"/>
  <c r="CX2" i="30"/>
  <c r="CL3" i="30"/>
  <c r="CL2" i="30"/>
  <c r="BH5" i="30"/>
  <c r="BH2" i="30"/>
  <c r="AS3" i="30"/>
  <c r="AS2" i="30"/>
  <c r="AS6" i="29"/>
  <c r="AS5" i="29"/>
  <c r="AS4" i="29"/>
  <c r="AS3" i="29"/>
  <c r="AS2" i="29"/>
  <c r="AR3" i="28"/>
  <c r="AR2" i="28"/>
  <c r="AC4" i="28"/>
  <c r="AC3" i="28"/>
  <c r="AC2" i="28"/>
  <c r="BO6" i="27"/>
  <c r="BO5" i="27"/>
  <c r="BO4" i="27"/>
  <c r="BO3" i="27"/>
  <c r="BO2" i="27"/>
  <c r="AZ6" i="27"/>
  <c r="AZ5" i="27"/>
  <c r="AZ4" i="27"/>
  <c r="AZ3" i="27"/>
  <c r="AZ2" i="27"/>
  <c r="AK6" i="27"/>
  <c r="AK5" i="27"/>
  <c r="AK4" i="27"/>
  <c r="AK3" i="27"/>
  <c r="AK2" i="27"/>
  <c r="AG6" i="34"/>
  <c r="AG5" i="34"/>
  <c r="AG4" i="34"/>
  <c r="AG3" i="34"/>
  <c r="AG2" i="34"/>
  <c r="AV3" i="34"/>
  <c r="BK5" i="34" s="1"/>
  <c r="AV2" i="34"/>
  <c r="CH3" i="34"/>
  <c r="CH2" i="34"/>
  <c r="CS3" i="34"/>
  <c r="CS2" i="34"/>
  <c r="DD3" i="34"/>
  <c r="DD2" i="34"/>
  <c r="DS3" i="34"/>
  <c r="DS2" i="34"/>
  <c r="T3" i="33"/>
  <c r="T2" i="33"/>
  <c r="AX3" i="33"/>
  <c r="AX2" i="33"/>
  <c r="AI6" i="33"/>
  <c r="AI5" i="33"/>
  <c r="AI4" i="33"/>
  <c r="AI3" i="33"/>
  <c r="AI2" i="33"/>
  <c r="AI4" i="32"/>
  <c r="AI3" i="32"/>
  <c r="AI2" i="32"/>
  <c r="S4" i="32"/>
  <c r="S3" i="32"/>
  <c r="S2" i="32"/>
  <c r="AR3" i="30"/>
  <c r="AR2" i="30"/>
  <c r="BG5" i="30"/>
  <c r="BG2" i="30"/>
  <c r="CK3" i="30"/>
  <c r="CK2" i="30"/>
  <c r="CW3" i="30"/>
  <c r="CW2" i="30"/>
  <c r="EA3" i="30"/>
  <c r="EA2" i="30"/>
  <c r="AR6" i="29"/>
  <c r="AR5" i="29"/>
  <c r="AR4" i="29"/>
  <c r="AR3" i="29"/>
  <c r="AR2" i="29"/>
  <c r="AQ3" i="28"/>
  <c r="AQ2" i="28"/>
  <c r="AB4" i="28"/>
  <c r="AB3" i="28"/>
  <c r="AB2" i="28"/>
  <c r="AJ6" i="27"/>
  <c r="AJ5" i="27"/>
  <c r="AJ4" i="27"/>
  <c r="AJ3" i="27"/>
  <c r="AJ2" i="27"/>
  <c r="AY6" i="27"/>
  <c r="AY5" i="27"/>
  <c r="AY4" i="27"/>
  <c r="AY3" i="27"/>
  <c r="AY2" i="27"/>
  <c r="BN6" i="27"/>
  <c r="BN5" i="27"/>
  <c r="BN4" i="27"/>
  <c r="BN3" i="27"/>
  <c r="BN2" i="27"/>
  <c r="DR3" i="34"/>
  <c r="DR2" i="34"/>
  <c r="DC3" i="34"/>
  <c r="DC2" i="34"/>
  <c r="CR3" i="34"/>
  <c r="CR2" i="34"/>
  <c r="CG3" i="34"/>
  <c r="CG2" i="34"/>
  <c r="AU3" i="34"/>
  <c r="BJ5" i="34" s="1"/>
  <c r="AU2" i="34"/>
  <c r="AF6" i="34"/>
  <c r="AF5" i="34"/>
  <c r="AF4" i="34"/>
  <c r="AF3" i="34"/>
  <c r="AF2" i="34"/>
  <c r="AW3" i="33"/>
  <c r="AW2" i="33"/>
  <c r="AH6" i="33"/>
  <c r="AH5" i="33"/>
  <c r="AH4" i="33"/>
  <c r="AH3" i="33"/>
  <c r="AH2" i="33"/>
  <c r="S3" i="33"/>
  <c r="S2" i="33"/>
  <c r="AH4" i="32"/>
  <c r="AH3" i="32"/>
  <c r="AH2" i="32"/>
  <c r="R4" i="32"/>
  <c r="R3" i="32"/>
  <c r="R2" i="32"/>
  <c r="DZ3" i="30"/>
  <c r="DZ2" i="30"/>
  <c r="CV3" i="30"/>
  <c r="CV2" i="30"/>
  <c r="CJ3" i="30"/>
  <c r="CJ2" i="30"/>
  <c r="BF5" i="30"/>
  <c r="BF2" i="30"/>
  <c r="AQ3" i="30"/>
  <c r="AQ2" i="30"/>
  <c r="AQ6" i="29"/>
  <c r="AQ5" i="29"/>
  <c r="AQ4" i="29"/>
  <c r="AQ3" i="29"/>
  <c r="AQ2" i="29"/>
  <c r="AP3" i="28"/>
  <c r="AP2" i="28"/>
  <c r="AA4" i="28"/>
  <c r="AA3" i="28"/>
  <c r="AA2" i="28"/>
  <c r="BM6" i="27"/>
  <c r="BM5" i="27"/>
  <c r="BM4" i="27"/>
  <c r="BM3" i="27"/>
  <c r="BM2" i="27"/>
  <c r="AX6" i="27"/>
  <c r="AX5" i="27"/>
  <c r="AX4" i="27"/>
  <c r="AX3" i="27"/>
  <c r="AX2" i="27"/>
  <c r="AI6" i="27"/>
  <c r="AI5" i="27"/>
  <c r="AI4" i="27"/>
  <c r="AI3" i="27"/>
  <c r="AI2" i="27"/>
  <c r="AE6" i="34"/>
  <c r="AE5" i="34"/>
  <c r="AE4" i="34"/>
  <c r="AE3" i="34"/>
  <c r="AE2" i="34"/>
  <c r="AT3" i="34"/>
  <c r="BI5" i="34" s="1"/>
  <c r="AT2" i="34"/>
  <c r="CF3" i="34"/>
  <c r="CF2" i="34"/>
  <c r="CQ3" i="34"/>
  <c r="CQ2" i="34"/>
  <c r="DB3" i="34"/>
  <c r="DB2" i="34"/>
  <c r="DQ3" i="34"/>
  <c r="DQ2" i="34"/>
  <c r="R3" i="33"/>
  <c r="R2" i="33"/>
  <c r="AV3" i="33"/>
  <c r="AV2" i="33"/>
  <c r="AG6" i="33"/>
  <c r="AG5" i="33"/>
  <c r="AG4" i="33"/>
  <c r="AG3" i="33"/>
  <c r="AG2" i="33"/>
  <c r="AG4" i="32"/>
  <c r="AG3" i="32"/>
  <c r="AG2" i="32"/>
  <c r="Q4" i="32"/>
  <c r="Q3" i="32"/>
  <c r="Q2" i="32"/>
  <c r="AP3" i="30"/>
  <c r="AP2" i="30"/>
  <c r="BE5" i="30"/>
  <c r="BE2" i="30"/>
  <c r="CI3" i="30"/>
  <c r="CI2" i="30"/>
  <c r="DY3" i="30"/>
  <c r="DY2" i="30"/>
  <c r="CU3" i="30"/>
  <c r="CU2" i="30"/>
  <c r="AP6" i="29"/>
  <c r="AP5" i="29"/>
  <c r="AP4" i="29"/>
  <c r="AP3" i="29"/>
  <c r="AP2" i="29"/>
  <c r="AO3" i="28"/>
  <c r="AO2" i="28"/>
  <c r="Z4" i="28"/>
  <c r="Z3" i="28"/>
  <c r="Z2" i="28"/>
  <c r="AH6" i="27"/>
  <c r="AH5" i="27"/>
  <c r="AH4" i="27"/>
  <c r="AH3" i="27"/>
  <c r="AH2" i="27"/>
  <c r="BL6" i="27"/>
  <c r="BL5" i="27"/>
  <c r="BL4" i="27"/>
  <c r="BL3" i="27"/>
  <c r="BL2" i="27"/>
  <c r="AW6" i="27"/>
  <c r="AW5" i="27"/>
  <c r="AW4" i="27"/>
  <c r="AW3" i="27"/>
  <c r="AW2" i="27"/>
  <c r="DP3" i="34"/>
  <c r="DP2" i="34"/>
  <c r="DA3" i="34"/>
  <c r="DA2" i="34"/>
  <c r="CP3" i="34"/>
  <c r="CP2" i="34"/>
  <c r="CE3" i="34"/>
  <c r="CE2" i="34"/>
  <c r="AS3" i="34"/>
  <c r="BH5" i="34" s="1"/>
  <c r="AS2" i="34"/>
  <c r="AD6" i="34"/>
  <c r="AD5" i="34"/>
  <c r="AD4" i="34"/>
  <c r="AD3" i="34"/>
  <c r="AD2" i="34"/>
  <c r="AU3" i="33"/>
  <c r="AU2" i="33"/>
  <c r="AF6" i="33"/>
  <c r="AF5" i="33"/>
  <c r="AF4" i="33"/>
  <c r="AF3" i="33"/>
  <c r="AF2" i="33"/>
  <c r="Q3" i="33"/>
  <c r="Q2" i="33"/>
  <c r="AF4" i="32"/>
  <c r="AF3" i="32"/>
  <c r="AF2" i="32"/>
  <c r="P4" i="32"/>
  <c r="P3" i="32"/>
  <c r="P2" i="32"/>
  <c r="DX3" i="30"/>
  <c r="DX2" i="30"/>
  <c r="CT3" i="30"/>
  <c r="CT2" i="30"/>
  <c r="CH3" i="30"/>
  <c r="CH2" i="30"/>
  <c r="BD5" i="30"/>
  <c r="BD2" i="30"/>
  <c r="AO3" i="30"/>
  <c r="AO2" i="30"/>
  <c r="AO6" i="29"/>
  <c r="AO5" i="29"/>
  <c r="AO4" i="29"/>
  <c r="AO3" i="29"/>
  <c r="AO2" i="29"/>
  <c r="AN3" i="28"/>
  <c r="AN2" i="28"/>
  <c r="Y4" i="28"/>
  <c r="Y3" i="28"/>
  <c r="Y2" i="28"/>
  <c r="BK6" i="27"/>
  <c r="BK5" i="27"/>
  <c r="BK4" i="27"/>
  <c r="BK3" i="27"/>
  <c r="BK2" i="27"/>
  <c r="AV6" i="27"/>
  <c r="AV5" i="27"/>
  <c r="AV4" i="27"/>
  <c r="AV3" i="27"/>
  <c r="AV2" i="27"/>
  <c r="AG6" i="27"/>
  <c r="AG5" i="27"/>
  <c r="AG4" i="27"/>
  <c r="AG3" i="27"/>
  <c r="AG2" i="27"/>
  <c r="AC6" i="34"/>
  <c r="AC5" i="34"/>
  <c r="AC4" i="34"/>
  <c r="AC3" i="34"/>
  <c r="AC2" i="34"/>
  <c r="AR3" i="34"/>
  <c r="BG5" i="34" s="1"/>
  <c r="AR2" i="34"/>
  <c r="CD3" i="34"/>
  <c r="CD2" i="34"/>
  <c r="CO3" i="34"/>
  <c r="CO2" i="34"/>
  <c r="CZ3" i="34"/>
  <c r="CZ2" i="34"/>
  <c r="DO3" i="34"/>
  <c r="DO2" i="34"/>
  <c r="P3" i="33"/>
  <c r="P2" i="33"/>
  <c r="AE6" i="33"/>
  <c r="AE5" i="33"/>
  <c r="AE4" i="33"/>
  <c r="AE3" i="33"/>
  <c r="AE2" i="33"/>
  <c r="AT3" i="33"/>
  <c r="AT2" i="33"/>
  <c r="AE4" i="32"/>
  <c r="AE3" i="32"/>
  <c r="AE2" i="32"/>
  <c r="O4" i="32"/>
  <c r="O3" i="32"/>
  <c r="O2" i="32"/>
  <c r="AN3" i="30"/>
  <c r="AN2" i="30"/>
  <c r="BC5" i="30"/>
  <c r="BC2" i="30"/>
  <c r="CG3" i="30"/>
  <c r="CG2" i="30"/>
  <c r="CS3" i="30"/>
  <c r="CS2" i="30"/>
  <c r="DW3" i="30"/>
  <c r="DW2" i="30"/>
  <c r="AN6" i="29"/>
  <c r="AN5" i="29"/>
  <c r="AN4" i="29"/>
  <c r="AN3" i="29"/>
  <c r="AN2" i="29"/>
  <c r="AM3" i="28"/>
  <c r="AM2" i="28"/>
  <c r="X4" i="28"/>
  <c r="X3" i="28"/>
  <c r="X2" i="28"/>
  <c r="AF6" i="27"/>
  <c r="AF5" i="27"/>
  <c r="AF4" i="27"/>
  <c r="AF3" i="27"/>
  <c r="AF2" i="27"/>
  <c r="AU6" i="27"/>
  <c r="AU5" i="27"/>
  <c r="AU4" i="27"/>
  <c r="AU3" i="27"/>
  <c r="AU2" i="27"/>
  <c r="BJ6" i="27"/>
  <c r="BJ5" i="27"/>
  <c r="BJ4" i="27"/>
  <c r="BJ3" i="27"/>
  <c r="BJ2" i="27"/>
  <c r="DN3" i="34"/>
  <c r="DN2" i="34"/>
  <c r="CY3" i="34"/>
  <c r="CY2" i="34"/>
  <c r="CN3" i="34"/>
  <c r="CN2" i="34"/>
  <c r="CC3" i="34"/>
  <c r="CC2" i="34"/>
  <c r="AQ3" i="34"/>
  <c r="BF5" i="34" s="1"/>
  <c r="AQ2" i="34"/>
  <c r="AB6" i="34"/>
  <c r="AB5" i="34"/>
  <c r="AB4" i="34"/>
  <c r="AB3" i="34"/>
  <c r="AB2" i="34"/>
  <c r="AS3" i="33"/>
  <c r="AS2" i="33"/>
  <c r="AD6" i="33"/>
  <c r="AD5" i="33"/>
  <c r="AD4" i="33"/>
  <c r="AD3" i="33"/>
  <c r="AD2" i="33"/>
  <c r="O3" i="33"/>
  <c r="O2" i="33"/>
  <c r="AD4" i="32"/>
  <c r="AD3" i="32"/>
  <c r="AD2" i="32"/>
  <c r="N4" i="32"/>
  <c r="N3" i="32"/>
  <c r="N2" i="32"/>
  <c r="DV3" i="30"/>
  <c r="DV2" i="30"/>
  <c r="CR3" i="30"/>
  <c r="CR2" i="30"/>
  <c r="CF3" i="30"/>
  <c r="CF2" i="30"/>
  <c r="BB5" i="30"/>
  <c r="BB2" i="30"/>
  <c r="AM3" i="30"/>
  <c r="AM2" i="30"/>
  <c r="AM6" i="29"/>
  <c r="AM5" i="29"/>
  <c r="AM4" i="29"/>
  <c r="AM3" i="29"/>
  <c r="AM2" i="29"/>
  <c r="AL3" i="28"/>
  <c r="AL2" i="28"/>
  <c r="W4" i="28"/>
  <c r="W3" i="28"/>
  <c r="W2" i="28"/>
  <c r="BI6" i="27"/>
  <c r="BI5" i="27"/>
  <c r="BI4" i="27"/>
  <c r="BI3" i="27"/>
  <c r="BI2" i="27"/>
  <c r="AT6" i="27"/>
  <c r="AT5" i="27"/>
  <c r="AT4" i="27"/>
  <c r="AT3" i="27"/>
  <c r="AT2" i="27"/>
  <c r="AE6" i="27"/>
  <c r="AE5" i="27"/>
  <c r="AE4" i="27"/>
  <c r="AE3" i="27"/>
  <c r="AE2" i="27"/>
  <c r="DM3" i="34"/>
  <c r="DM2" i="34"/>
  <c r="CX3" i="34"/>
  <c r="CX2" i="34"/>
  <c r="CM3" i="34"/>
  <c r="CM2" i="34"/>
  <c r="CB3" i="34"/>
  <c r="CB2" i="34"/>
  <c r="AP3" i="34"/>
  <c r="BE5" i="34" s="1"/>
  <c r="AP2" i="34"/>
  <c r="AA6" i="34"/>
  <c r="AA5" i="34"/>
  <c r="AA4" i="34"/>
  <c r="AA3" i="34"/>
  <c r="AA2" i="34"/>
  <c r="AR3" i="33"/>
  <c r="AR2" i="33"/>
  <c r="AC6" i="33"/>
  <c r="AC5" i="33"/>
  <c r="AC4" i="33"/>
  <c r="AC3" i="33"/>
  <c r="AC2" i="33"/>
  <c r="N3" i="33"/>
  <c r="N2" i="33"/>
  <c r="AC4" i="32"/>
  <c r="AC3" i="32"/>
  <c r="AC2" i="32"/>
  <c r="M4" i="32"/>
  <c r="M3" i="32"/>
  <c r="M2" i="32"/>
  <c r="DU3" i="30"/>
  <c r="DU2" i="30"/>
  <c r="CQ3" i="30"/>
  <c r="CQ2" i="30"/>
  <c r="CE3" i="30"/>
  <c r="CE2" i="30"/>
  <c r="BA5" i="30"/>
  <c r="BA2" i="30"/>
  <c r="W2" i="30"/>
  <c r="AL3" i="30"/>
  <c r="AL2" i="30"/>
  <c r="AL6" i="29"/>
  <c r="AL5" i="29"/>
  <c r="AL4" i="29"/>
  <c r="AL3" i="29"/>
  <c r="AL2" i="29"/>
  <c r="AK3" i="28"/>
  <c r="AK2" i="28"/>
  <c r="V4" i="28"/>
  <c r="V3" i="28"/>
  <c r="V2" i="28"/>
  <c r="BH6" i="27"/>
  <c r="BH5" i="27"/>
  <c r="BH4" i="27"/>
  <c r="BH3" i="27"/>
  <c r="BH2" i="27"/>
  <c r="AS6" i="27"/>
  <c r="AS5" i="27"/>
  <c r="AS4" i="27"/>
  <c r="AS3" i="27"/>
  <c r="AS2" i="27"/>
  <c r="AD6" i="27"/>
  <c r="AD5" i="27"/>
  <c r="AD4" i="27"/>
  <c r="AD3" i="27"/>
  <c r="AD2" i="27"/>
  <c r="Y6" i="34"/>
  <c r="Y5" i="34"/>
  <c r="Y4" i="34"/>
  <c r="Y3" i="34"/>
  <c r="Y2" i="34"/>
  <c r="AA6" i="33"/>
  <c r="AA5" i="33"/>
  <c r="AA4" i="33"/>
  <c r="AA3" i="33"/>
  <c r="AA2" i="33"/>
  <c r="AJ3" i="30"/>
  <c r="AJ2" i="30"/>
  <c r="AI3" i="28"/>
  <c r="AI2" i="28"/>
  <c r="X6" i="34"/>
  <c r="X5" i="34"/>
  <c r="X4" i="34"/>
  <c r="X3" i="34"/>
  <c r="X2" i="34"/>
  <c r="Z6" i="33"/>
  <c r="Z5" i="33"/>
  <c r="Z4" i="33"/>
  <c r="Z3" i="33"/>
  <c r="Z2" i="33"/>
  <c r="AI3" i="30"/>
  <c r="AI2" i="30"/>
  <c r="AH3" i="28"/>
  <c r="AH2" i="28"/>
  <c r="W6" i="34"/>
  <c r="W5" i="34"/>
  <c r="W4" i="34"/>
  <c r="W3" i="34"/>
  <c r="W2" i="34"/>
  <c r="Y6" i="33"/>
  <c r="Y5" i="33"/>
  <c r="Y4" i="33"/>
  <c r="Y3" i="33"/>
  <c r="Y2" i="33"/>
  <c r="AH3" i="30"/>
  <c r="AH2" i="30"/>
  <c r="AG3" i="28"/>
  <c r="AG2" i="28"/>
  <c r="R2" i="28"/>
  <c r="DH3" i="34"/>
  <c r="DH2" i="34"/>
  <c r="CW3" i="34"/>
  <c r="CW2" i="34"/>
  <c r="CL3" i="34"/>
  <c r="CL2" i="34"/>
  <c r="BW3" i="34"/>
  <c r="BW2" i="34"/>
  <c r="V6" i="34"/>
  <c r="V5" i="34"/>
  <c r="V4" i="34"/>
  <c r="V3" i="34"/>
  <c r="V2" i="34"/>
  <c r="X6" i="33"/>
  <c r="X5" i="33"/>
  <c r="X4" i="33"/>
  <c r="X3" i="33"/>
  <c r="X2" i="33"/>
  <c r="I3" i="33"/>
  <c r="I2" i="33"/>
  <c r="W4" i="32"/>
  <c r="W3" i="32"/>
  <c r="W2" i="32"/>
  <c r="H4" i="32"/>
  <c r="H3" i="32"/>
  <c r="H2" i="32"/>
  <c r="DP3" i="30"/>
  <c r="DP2" i="30"/>
  <c r="CO3" i="30"/>
  <c r="CO2" i="30"/>
  <c r="BZ3" i="30"/>
  <c r="BZ2" i="30"/>
  <c r="AV5" i="30"/>
  <c r="AV2" i="30"/>
  <c r="AG3" i="30"/>
  <c r="AG2" i="30"/>
  <c r="R2" i="30"/>
  <c r="BA3" i="29"/>
  <c r="BA2" i="29"/>
  <c r="AF5" i="29"/>
  <c r="AF4" i="29"/>
  <c r="AF3" i="28"/>
  <c r="AF2" i="28"/>
  <c r="BC6" i="27"/>
  <c r="BC5" i="27"/>
  <c r="BC4" i="27"/>
  <c r="BC3" i="27"/>
  <c r="BC2" i="27"/>
  <c r="AN6" i="27"/>
  <c r="AN5" i="27"/>
  <c r="AN4" i="27"/>
  <c r="AN3" i="27"/>
  <c r="AN2" i="27"/>
  <c r="AK6" i="26" l="1"/>
  <c r="AK5" i="26"/>
  <c r="AK4" i="26"/>
  <c r="AK3" i="26"/>
  <c r="AK2" i="26"/>
  <c r="AL6" i="26"/>
  <c r="AL5" i="26"/>
  <c r="AL4" i="26"/>
  <c r="AL3" i="26"/>
  <c r="AL2" i="26"/>
  <c r="AM6" i="26"/>
  <c r="AM5" i="26"/>
  <c r="AM4" i="26"/>
  <c r="AM3" i="26"/>
  <c r="AM2" i="26"/>
  <c r="AC2" i="26" l="1"/>
  <c r="AV6" i="26"/>
  <c r="AV5" i="26"/>
  <c r="AV4" i="26"/>
  <c r="AV3" i="26"/>
  <c r="AV2" i="26"/>
  <c r="AF4" i="26"/>
  <c r="AF3" i="26"/>
  <c r="AF2" i="26"/>
  <c r="AU6" i="26"/>
  <c r="AU5" i="26"/>
  <c r="AU4" i="26"/>
  <c r="AU3" i="26"/>
  <c r="AU2" i="26"/>
  <c r="AE4" i="26"/>
  <c r="AE3" i="26"/>
  <c r="AE2" i="26"/>
  <c r="AT6" i="26"/>
  <c r="AT5" i="26"/>
  <c r="AT4" i="26"/>
  <c r="AT3" i="26"/>
  <c r="AT2" i="26"/>
  <c r="AD4" i="26"/>
  <c r="AD3" i="26"/>
  <c r="AD2" i="26"/>
  <c r="AS6" i="26"/>
  <c r="AS5" i="26"/>
  <c r="AS4" i="26"/>
  <c r="AS3" i="26"/>
  <c r="AS2" i="26"/>
  <c r="AC4" i="26"/>
  <c r="AC3" i="26"/>
  <c r="AR6" i="26"/>
  <c r="AR5" i="26"/>
  <c r="AR4" i="26"/>
  <c r="AR3" i="26"/>
  <c r="AR2" i="26"/>
  <c r="AB4" i="26"/>
  <c r="AB3" i="26"/>
  <c r="AB2" i="26"/>
  <c r="AQ6" i="26"/>
  <c r="AQ5" i="26"/>
  <c r="AQ4" i="26"/>
  <c r="AQ3" i="26"/>
  <c r="AQ2" i="26"/>
  <c r="AA4" i="26"/>
  <c r="AA3" i="26"/>
  <c r="AA2" i="26"/>
  <c r="AP6" i="26"/>
  <c r="AP5" i="26"/>
  <c r="AP4" i="26"/>
  <c r="AP3" i="26"/>
  <c r="AP2" i="26"/>
  <c r="Z4" i="26"/>
  <c r="Z3" i="26"/>
  <c r="Z2" i="26"/>
  <c r="AO6" i="26"/>
  <c r="AO5" i="26"/>
  <c r="AO4" i="26"/>
  <c r="AO3" i="26"/>
  <c r="AO2" i="26"/>
  <c r="Y4" i="26"/>
  <c r="Y3" i="26"/>
  <c r="AI6" i="26"/>
  <c r="AI5" i="26"/>
  <c r="AI4" i="26"/>
  <c r="AI3" i="26"/>
  <c r="AI2" i="26"/>
  <c r="S4" i="26"/>
  <c r="S3" i="26"/>
  <c r="AX6" i="25"/>
  <c r="AX5" i="25"/>
  <c r="AX4" i="25"/>
  <c r="AX3" i="25"/>
  <c r="AX2" i="25"/>
  <c r="BB6" i="25"/>
  <c r="BB5" i="25"/>
  <c r="BB4" i="25"/>
  <c r="BB3" i="25"/>
  <c r="BB2" i="25"/>
  <c r="BA6" i="25"/>
  <c r="BA5" i="25"/>
  <c r="BA4" i="25"/>
  <c r="BA3" i="25"/>
  <c r="BA2" i="25"/>
  <c r="AZ6" i="25"/>
  <c r="AZ5" i="25"/>
  <c r="AZ4" i="25"/>
  <c r="AZ3" i="25"/>
  <c r="AZ2" i="25"/>
  <c r="AY6" i="25"/>
  <c r="AY5" i="25"/>
  <c r="AY4" i="25"/>
  <c r="AY3" i="25"/>
  <c r="AY2" i="25"/>
  <c r="AW6" i="25"/>
  <c r="AW5" i="25"/>
  <c r="AW4" i="25"/>
  <c r="AW3" i="25"/>
  <c r="AW2" i="25"/>
  <c r="AV6" i="25"/>
  <c r="AV5" i="25"/>
  <c r="AV4" i="25"/>
  <c r="AV3" i="25"/>
  <c r="AV2" i="25"/>
  <c r="AU6" i="25"/>
  <c r="AU5" i="25"/>
  <c r="AU4" i="25"/>
  <c r="AU3" i="25"/>
  <c r="AU2" i="25"/>
  <c r="AD2" i="25"/>
  <c r="AF15" i="25" l="1"/>
  <c r="AF14" i="25"/>
  <c r="AF13" i="25"/>
  <c r="AF12" i="25"/>
  <c r="AF11" i="25"/>
  <c r="AF10" i="25"/>
  <c r="AF9" i="25"/>
  <c r="AF8" i="25"/>
  <c r="AF7" i="25"/>
  <c r="AF6" i="25"/>
  <c r="AF5" i="25"/>
  <c r="AF4" i="25"/>
  <c r="AF3" i="25"/>
  <c r="AF2" i="25"/>
  <c r="AK15" i="25"/>
  <c r="AK14" i="25"/>
  <c r="AK13" i="25"/>
  <c r="AK12" i="25"/>
  <c r="AK11" i="25"/>
  <c r="AK10" i="25"/>
  <c r="AK9" i="25"/>
  <c r="AK8" i="25"/>
  <c r="AK7" i="25"/>
  <c r="AK6" i="25"/>
  <c r="AK5" i="25"/>
  <c r="AK4" i="25"/>
  <c r="AK3" i="25"/>
  <c r="AK2" i="25"/>
  <c r="AJ15" i="25"/>
  <c r="AJ14" i="25"/>
  <c r="AJ13" i="25"/>
  <c r="AJ12" i="25"/>
  <c r="AJ11" i="25"/>
  <c r="AJ10" i="25"/>
  <c r="AJ9" i="25"/>
  <c r="AJ8" i="25"/>
  <c r="AJ7" i="25"/>
  <c r="AJ6" i="25"/>
  <c r="AJ5" i="25"/>
  <c r="AJ4" i="25"/>
  <c r="AJ3" i="25"/>
  <c r="AJ2" i="25"/>
  <c r="AI15" i="25"/>
  <c r="AI14" i="25"/>
  <c r="AI13" i="25"/>
  <c r="AI12" i="25"/>
  <c r="AI11" i="25"/>
  <c r="AI10" i="25"/>
  <c r="AI9" i="25"/>
  <c r="AI8" i="25"/>
  <c r="AI7" i="25"/>
  <c r="AI6" i="25"/>
  <c r="AI5" i="25"/>
  <c r="AI4" i="25"/>
  <c r="AI3" i="25"/>
  <c r="AI2" i="25"/>
  <c r="AH15" i="25"/>
  <c r="AH14" i="25"/>
  <c r="AH13" i="25"/>
  <c r="AH12" i="25"/>
  <c r="AH11" i="25"/>
  <c r="AH10" i="25"/>
  <c r="AH9" i="25"/>
  <c r="AH8" i="25"/>
  <c r="AH7" i="25"/>
  <c r="AH6" i="25"/>
  <c r="AH5" i="25"/>
  <c r="AH4" i="25"/>
  <c r="AH3" i="25"/>
  <c r="AH2" i="25"/>
  <c r="AG15" i="25"/>
  <c r="AG14" i="25"/>
  <c r="AG13" i="25"/>
  <c r="AG12" i="25"/>
  <c r="AG11" i="25"/>
  <c r="AG10" i="25"/>
  <c r="AG9" i="25"/>
  <c r="AG8" i="25"/>
  <c r="AG7" i="25"/>
  <c r="AG6" i="25"/>
  <c r="AG5" i="25"/>
  <c r="AG4" i="25"/>
  <c r="AG3" i="25"/>
  <c r="AG2" i="25"/>
  <c r="AE15" i="25"/>
  <c r="AE14" i="25"/>
  <c r="AE13" i="25"/>
  <c r="AE12" i="25"/>
  <c r="AE11" i="25"/>
  <c r="AE10" i="25"/>
  <c r="AE9" i="25"/>
  <c r="AE8" i="25"/>
  <c r="AE7" i="25"/>
  <c r="AE6" i="25"/>
  <c r="AE5" i="25"/>
  <c r="AE4" i="25"/>
  <c r="AE3" i="25"/>
  <c r="AE2" i="25"/>
  <c r="AD15" i="25"/>
  <c r="AD14" i="25"/>
  <c r="AD13" i="25"/>
  <c r="AD12" i="25"/>
  <c r="AD11" i="25"/>
  <c r="AD10" i="25"/>
  <c r="AD9" i="25"/>
  <c r="AD8" i="25"/>
  <c r="AD7" i="25"/>
  <c r="AD6" i="25"/>
  <c r="AD5" i="25"/>
  <c r="AD4" i="25"/>
  <c r="AD3" i="25"/>
  <c r="N2" i="25"/>
  <c r="X15" i="25"/>
  <c r="X14" i="25"/>
  <c r="X12" i="25"/>
  <c r="X11" i="25"/>
  <c r="X10" i="25"/>
  <c r="X9" i="25"/>
  <c r="X8" i="25"/>
  <c r="X7" i="25"/>
  <c r="X6" i="25"/>
  <c r="X5" i="25"/>
  <c r="X4" i="25"/>
  <c r="X3" i="25"/>
  <c r="X2" i="25"/>
  <c r="U3" i="25"/>
  <c r="T3" i="25"/>
  <c r="S3" i="25"/>
  <c r="R3" i="25"/>
  <c r="Q3" i="25"/>
  <c r="P3" i="25"/>
  <c r="O3" i="25"/>
  <c r="N3" i="25"/>
  <c r="U2" i="25"/>
  <c r="T2" i="25"/>
  <c r="S2" i="25"/>
  <c r="R2" i="25"/>
  <c r="Q2" i="25"/>
  <c r="P2" i="25"/>
  <c r="O2" i="25"/>
  <c r="CD7" i="3"/>
  <c r="CC7" i="3"/>
  <c r="CB7" i="3"/>
  <c r="CA7" i="3"/>
  <c r="BZ7" i="3"/>
  <c r="BY7" i="3"/>
  <c r="BX7" i="3"/>
  <c r="BW7" i="3"/>
  <c r="BP7" i="3"/>
  <c r="AS6" i="25" l="1"/>
  <c r="AR6" i="25"/>
  <c r="AQ6" i="25"/>
  <c r="AS5" i="25"/>
  <c r="AR5" i="25"/>
  <c r="AQ5" i="25"/>
  <c r="AS4" i="25"/>
  <c r="AR4" i="25"/>
  <c r="AQ4" i="25"/>
  <c r="AS3" i="25"/>
  <c r="AR3" i="25"/>
  <c r="AQ3" i="25"/>
  <c r="L3" i="25"/>
  <c r="K3" i="25"/>
  <c r="J3" i="25"/>
  <c r="AS2" i="25"/>
  <c r="AR2" i="25"/>
  <c r="AQ2" i="25"/>
  <c r="L2" i="25"/>
  <c r="K2" i="25"/>
  <c r="J2" i="25"/>
  <c r="DK3" i="34"/>
  <c r="DJ3" i="34"/>
  <c r="DI3" i="34"/>
  <c r="BZ3" i="34"/>
  <c r="BY3" i="34"/>
  <c r="BX3" i="34"/>
  <c r="AN3" i="34"/>
  <c r="BC5" i="34" s="1"/>
  <c r="AM3" i="34"/>
  <c r="BB5" i="34" s="1"/>
  <c r="AL3" i="34"/>
  <c r="BA5" i="34" s="1"/>
  <c r="DK2" i="34"/>
  <c r="DJ2" i="34"/>
  <c r="DI2" i="34"/>
  <c r="BZ2" i="34"/>
  <c r="BY2" i="34"/>
  <c r="BX2" i="34"/>
  <c r="AN2" i="34"/>
  <c r="AM2" i="34"/>
  <c r="AP3" i="33"/>
  <c r="AO3" i="33"/>
  <c r="AN3" i="33"/>
  <c r="AP2" i="33"/>
  <c r="AO2" i="33"/>
  <c r="AN2" i="33"/>
  <c r="Z4" i="32"/>
  <c r="Y4" i="32"/>
  <c r="X4" i="32"/>
  <c r="Z3" i="32"/>
  <c r="Y3" i="32"/>
  <c r="X3" i="32"/>
  <c r="Z2" i="32"/>
  <c r="Y2" i="32"/>
  <c r="X2" i="32"/>
  <c r="K2" i="32"/>
  <c r="J2" i="32"/>
  <c r="I2" i="32"/>
  <c r="AY5" i="30"/>
  <c r="AX5" i="30"/>
  <c r="AW5" i="30"/>
  <c r="DS3" i="30"/>
  <c r="DR3" i="30"/>
  <c r="DQ3" i="30"/>
  <c r="CC3" i="30"/>
  <c r="CB3" i="30"/>
  <c r="CA3" i="30"/>
  <c r="BN3" i="30"/>
  <c r="BM3" i="30"/>
  <c r="BL3" i="30"/>
  <c r="DS2" i="30"/>
  <c r="DR2" i="30"/>
  <c r="DQ2" i="30"/>
  <c r="CC2" i="30"/>
  <c r="CB2" i="30"/>
  <c r="CA2" i="30"/>
  <c r="BN2" i="30"/>
  <c r="BM2" i="30"/>
  <c r="BL2" i="30"/>
  <c r="AY2" i="30"/>
  <c r="AX2" i="30"/>
  <c r="AW2" i="30"/>
  <c r="U2" i="30"/>
  <c r="T2" i="30"/>
  <c r="S2" i="30"/>
  <c r="BD3" i="29"/>
  <c r="BC3" i="29"/>
  <c r="BB3" i="29"/>
  <c r="BD2" i="29"/>
  <c r="BC2" i="29"/>
  <c r="BB2" i="29"/>
  <c r="T4" i="28"/>
  <c r="S4" i="28"/>
  <c r="R4" i="28"/>
  <c r="T3" i="28"/>
  <c r="S3" i="28"/>
  <c r="R3" i="28"/>
  <c r="T2" i="28"/>
  <c r="S2" i="28"/>
  <c r="BF6" i="27"/>
  <c r="BE6" i="27"/>
  <c r="BD6" i="27"/>
  <c r="AQ6" i="27"/>
  <c r="AP6" i="27"/>
  <c r="AO6" i="27"/>
  <c r="AB6" i="27"/>
  <c r="AA6" i="27"/>
  <c r="Z6" i="27"/>
  <c r="BF5" i="27"/>
  <c r="BE5" i="27"/>
  <c r="BD5" i="27"/>
  <c r="AQ5" i="27"/>
  <c r="AP5" i="27"/>
  <c r="AO5" i="27"/>
  <c r="AB5" i="27"/>
  <c r="AA5" i="27"/>
  <c r="Z5" i="27"/>
  <c r="BF4" i="27"/>
  <c r="BE4" i="27"/>
  <c r="BD4" i="27"/>
  <c r="AQ4" i="27"/>
  <c r="AP4" i="27"/>
  <c r="AO4" i="27"/>
  <c r="AB4" i="27"/>
  <c r="AA4" i="27"/>
  <c r="Z4" i="27"/>
  <c r="BF3" i="27"/>
  <c r="BE3" i="27"/>
  <c r="BD3" i="27"/>
  <c r="AQ3" i="27"/>
  <c r="AP3" i="27"/>
  <c r="AO3" i="27"/>
  <c r="AB3" i="27"/>
  <c r="AA3" i="27"/>
  <c r="Z3" i="27"/>
  <c r="BF2" i="27"/>
  <c r="BE2" i="27"/>
  <c r="BD2" i="27"/>
  <c r="AQ2" i="27"/>
  <c r="AP2" i="27"/>
  <c r="AO2" i="27"/>
  <c r="AB2" i="27"/>
  <c r="AA2" i="27"/>
  <c r="Z2" i="27"/>
  <c r="H20" i="35"/>
  <c r="G20" i="35"/>
  <c r="M19" i="35"/>
  <c r="R19" i="35" s="1"/>
  <c r="L19" i="35"/>
  <c r="Q19" i="35" s="1"/>
  <c r="H19" i="35"/>
  <c r="G19" i="35"/>
  <c r="M18" i="35"/>
  <c r="R18" i="35" s="1"/>
  <c r="L18" i="35"/>
  <c r="Q18" i="35" s="1"/>
  <c r="H18" i="35"/>
  <c r="G18" i="35"/>
  <c r="M17" i="35"/>
  <c r="R17" i="35" s="1"/>
  <c r="L17" i="35"/>
  <c r="Q17" i="35" s="1"/>
  <c r="H17" i="35"/>
  <c r="G17" i="35"/>
  <c r="M16" i="35"/>
  <c r="R16" i="35" s="1"/>
  <c r="L16" i="35"/>
  <c r="Q16" i="35" s="1"/>
  <c r="H16" i="35"/>
  <c r="G16" i="35"/>
  <c r="M15" i="35"/>
  <c r="R15" i="35" s="1"/>
  <c r="L15" i="35"/>
  <c r="Q15" i="35" s="1"/>
  <c r="H15" i="35"/>
  <c r="G15" i="35"/>
  <c r="M14" i="35"/>
  <c r="R14" i="35" s="1"/>
  <c r="L14" i="35"/>
  <c r="Q14" i="35" s="1"/>
  <c r="H14" i="35"/>
  <c r="G14" i="35"/>
  <c r="M13" i="35"/>
  <c r="R13" i="35" s="1"/>
  <c r="L13" i="35"/>
  <c r="Q13" i="35" s="1"/>
  <c r="H13" i="35"/>
  <c r="G13" i="35"/>
  <c r="M12" i="35"/>
  <c r="R12" i="35" s="1"/>
  <c r="L12" i="35"/>
  <c r="Q12" i="35" s="1"/>
  <c r="H12" i="35"/>
  <c r="G12" i="35"/>
  <c r="M11" i="35"/>
  <c r="R11" i="35" s="1"/>
  <c r="L11" i="35"/>
  <c r="Q11" i="35" s="1"/>
  <c r="H11" i="35"/>
  <c r="G11" i="35"/>
  <c r="M10" i="35"/>
  <c r="R10" i="35" s="1"/>
  <c r="L10" i="35"/>
  <c r="Q10" i="35" s="1"/>
  <c r="H10" i="35"/>
  <c r="G10" i="35"/>
  <c r="M9" i="35"/>
  <c r="R9" i="35" s="1"/>
  <c r="L9" i="35"/>
  <c r="Q9" i="35" s="1"/>
  <c r="H9" i="35"/>
  <c r="G9" i="35"/>
  <c r="M8" i="35"/>
  <c r="R8" i="35" s="1"/>
  <c r="L8" i="35"/>
  <c r="Q8" i="35" s="1"/>
  <c r="H8" i="35"/>
  <c r="G8" i="35"/>
  <c r="M7" i="35"/>
  <c r="R7" i="35" s="1"/>
  <c r="L7" i="35"/>
  <c r="Q7" i="35" s="1"/>
  <c r="H7" i="35"/>
  <c r="G7" i="35"/>
  <c r="M6" i="35"/>
  <c r="R6" i="35" s="1"/>
  <c r="L6" i="35"/>
  <c r="Q6" i="35" s="1"/>
  <c r="H6" i="35"/>
  <c r="G6" i="35"/>
  <c r="M5" i="35"/>
  <c r="R5" i="35" s="1"/>
  <c r="L5" i="35"/>
  <c r="Q5" i="35" s="1"/>
  <c r="H5" i="35"/>
  <c r="G5" i="35"/>
  <c r="M4" i="35"/>
  <c r="R4" i="35" s="1"/>
  <c r="L4" i="35"/>
  <c r="Q4" i="35" s="1"/>
  <c r="H4" i="35"/>
  <c r="G4" i="35"/>
  <c r="M3" i="35"/>
  <c r="R3" i="35" s="1"/>
  <c r="L3" i="35"/>
  <c r="Q3" i="35" s="1"/>
  <c r="H3" i="35"/>
  <c r="G3" i="35"/>
  <c r="M2" i="35"/>
  <c r="R2" i="35" s="1"/>
  <c r="L2" i="35"/>
  <c r="Q2" i="35" s="1"/>
  <c r="H2" i="35"/>
  <c r="G2" i="35"/>
  <c r="EF19" i="34"/>
  <c r="EF18" i="34"/>
  <c r="EF17" i="34"/>
  <c r="EF16" i="34"/>
  <c r="EF15" i="34"/>
  <c r="EF14" i="34"/>
  <c r="EF13" i="34"/>
  <c r="EF8" i="34"/>
  <c r="DW8" i="34"/>
  <c r="EF7" i="34"/>
  <c r="EF6" i="34"/>
  <c r="DW6" i="34"/>
  <c r="EF5" i="34"/>
  <c r="EF4" i="34"/>
  <c r="DW4" i="34"/>
  <c r="EF3" i="34"/>
  <c r="AK3" i="34"/>
  <c r="AZ5" i="34" s="1"/>
  <c r="EF2" i="34"/>
  <c r="DW2" i="34"/>
  <c r="CW4" i="34"/>
  <c r="CL4" i="34"/>
  <c r="AZ2" i="34"/>
  <c r="AK2" i="34"/>
  <c r="V7" i="34"/>
  <c r="AM3" i="33"/>
  <c r="AM2" i="33"/>
  <c r="X7" i="33"/>
  <c r="W5" i="32"/>
  <c r="AM6" i="31"/>
  <c r="AL6" i="31"/>
  <c r="AI6" i="31"/>
  <c r="AH6" i="31"/>
  <c r="AE6" i="31"/>
  <c r="AD6" i="31"/>
  <c r="AA6" i="31"/>
  <c r="Z6" i="31"/>
  <c r="W6" i="31"/>
  <c r="V6" i="31"/>
  <c r="S6" i="31"/>
  <c r="R6" i="31"/>
  <c r="AM5" i="31"/>
  <c r="AL5" i="31"/>
  <c r="AI5" i="31"/>
  <c r="AH5" i="31"/>
  <c r="AE5" i="31"/>
  <c r="AD5" i="31"/>
  <c r="AA5" i="31"/>
  <c r="Z5" i="31"/>
  <c r="W5" i="31"/>
  <c r="V5" i="31"/>
  <c r="S5" i="31"/>
  <c r="R5" i="31"/>
  <c r="AM4" i="31"/>
  <c r="AL4" i="31"/>
  <c r="AI4" i="31"/>
  <c r="AH4" i="31"/>
  <c r="AE4" i="31"/>
  <c r="AD4" i="31"/>
  <c r="AA4" i="31"/>
  <c r="Z4" i="31"/>
  <c r="W4" i="31"/>
  <c r="V4" i="31"/>
  <c r="S4" i="31"/>
  <c r="R4" i="31"/>
  <c r="AM3" i="31"/>
  <c r="AL3" i="31"/>
  <c r="AI3" i="31"/>
  <c r="AH3" i="31"/>
  <c r="AE3" i="31"/>
  <c r="AD3" i="31"/>
  <c r="AA3" i="31"/>
  <c r="Z3" i="31"/>
  <c r="W3" i="31"/>
  <c r="V3" i="31"/>
  <c r="S3" i="31"/>
  <c r="R3" i="31"/>
  <c r="AM2" i="31"/>
  <c r="AM7" i="31" s="1"/>
  <c r="AL2" i="31"/>
  <c r="AL7" i="31" s="1"/>
  <c r="AI2" i="31"/>
  <c r="AI7" i="31" s="1"/>
  <c r="AH2" i="31"/>
  <c r="AH7" i="31" s="1"/>
  <c r="AE2" i="31"/>
  <c r="AE7" i="31" s="1"/>
  <c r="AD2" i="31"/>
  <c r="AD7" i="31" s="1"/>
  <c r="AA2" i="31"/>
  <c r="AA7" i="31" s="1"/>
  <c r="Z2" i="31"/>
  <c r="Z7" i="31" s="1"/>
  <c r="W2" i="31"/>
  <c r="W7" i="31" s="1"/>
  <c r="V2" i="31"/>
  <c r="V7" i="31" s="1"/>
  <c r="S2" i="31"/>
  <c r="S7" i="31" s="1"/>
  <c r="R2" i="31"/>
  <c r="R7" i="31" s="1"/>
  <c r="BK3" i="30"/>
  <c r="EK4" i="30"/>
  <c r="EE4" i="30"/>
  <c r="CO4" i="30"/>
  <c r="BZ4" i="30"/>
  <c r="BK2" i="30"/>
  <c r="AG4" i="30"/>
  <c r="BL6" i="29"/>
  <c r="AF6" i="29"/>
  <c r="BO5" i="29"/>
  <c r="BL5" i="29"/>
  <c r="AD5" i="29"/>
  <c r="BO4" i="29"/>
  <c r="BL4" i="29"/>
  <c r="BO3" i="29"/>
  <c r="BL3" i="29"/>
  <c r="AF3" i="29"/>
  <c r="BO2" i="29"/>
  <c r="BL2" i="29"/>
  <c r="AF2" i="29"/>
  <c r="AD2" i="29"/>
  <c r="AU8" i="28"/>
  <c r="BK6" i="28"/>
  <c r="BJ6" i="28"/>
  <c r="BG6" i="28"/>
  <c r="BF6" i="28"/>
  <c r="BC6" i="28"/>
  <c r="BB6" i="28"/>
  <c r="BK5" i="28"/>
  <c r="BJ5" i="28"/>
  <c r="BG5" i="28"/>
  <c r="BF5" i="28"/>
  <c r="BC5" i="28"/>
  <c r="BB5" i="28"/>
  <c r="BK4" i="28"/>
  <c r="BJ4" i="28"/>
  <c r="BG4" i="28"/>
  <c r="BF4" i="28"/>
  <c r="BC4" i="28"/>
  <c r="BB4" i="28"/>
  <c r="AU4" i="28"/>
  <c r="Q4" i="28"/>
  <c r="BK3" i="28"/>
  <c r="BJ3" i="28"/>
  <c r="BG3" i="28"/>
  <c r="BF3" i="28"/>
  <c r="BC3" i="28"/>
  <c r="BB3" i="28"/>
  <c r="AX3" i="28"/>
  <c r="AU3" i="28"/>
  <c r="Q3" i="28"/>
  <c r="BK2" i="28"/>
  <c r="BJ2" i="28"/>
  <c r="BG2" i="28"/>
  <c r="BF2" i="28"/>
  <c r="BC2" i="28"/>
  <c r="BB2" i="28"/>
  <c r="BB7" i="28" s="1"/>
  <c r="AX2" i="28"/>
  <c r="AU2" i="28"/>
  <c r="Q2" i="28"/>
  <c r="AN7" i="27"/>
  <c r="Y6" i="27"/>
  <c r="Y5" i="27"/>
  <c r="Y4" i="27"/>
  <c r="Y3" i="27"/>
  <c r="I3" i="27"/>
  <c r="BC7" i="27"/>
  <c r="Y2" i="27"/>
  <c r="I2" i="27"/>
  <c r="S18" i="26"/>
  <c r="S17" i="26"/>
  <c r="S5" i="26"/>
  <c r="AO6" i="25"/>
  <c r="AO5" i="25"/>
  <c r="AO4" i="25"/>
  <c r="AO3" i="25"/>
  <c r="AO2" i="25"/>
  <c r="BF7" i="28" l="1"/>
  <c r="BJ7" i="28"/>
  <c r="AM4" i="33"/>
  <c r="BC7" i="28"/>
  <c r="BK7" i="28"/>
  <c r="BG7" i="28"/>
  <c r="Y7" i="27"/>
  <c r="Q5" i="28"/>
  <c r="D7" i="36" s="1"/>
  <c r="AK4" i="34"/>
  <c r="AZ6" i="34"/>
  <c r="DH4" i="34"/>
  <c r="R5" i="30"/>
  <c r="AV6" i="30"/>
  <c r="DP4" i="30"/>
  <c r="AF4" i="28"/>
  <c r="C14" i="36" s="1"/>
  <c r="AO7" i="25"/>
  <c r="D9" i="36"/>
  <c r="D11" i="36"/>
  <c r="C5" i="36"/>
  <c r="AD6" i="29"/>
  <c r="C10" i="36" s="1"/>
  <c r="I4" i="33"/>
  <c r="C13" i="36" s="1"/>
  <c r="C9" i="36"/>
  <c r="C11" i="36"/>
  <c r="H4" i="25"/>
  <c r="C4" i="36" s="1"/>
  <c r="D5" i="36"/>
  <c r="I4" i="27"/>
  <c r="D6" i="36" s="1"/>
  <c r="AX4" i="28"/>
  <c r="C8" i="36" s="1"/>
  <c r="H5" i="32"/>
  <c r="D12" i="36" l="1"/>
  <c r="C12" i="36"/>
  <c r="D10" i="36"/>
  <c r="C6" i="36"/>
  <c r="C7" i="36"/>
  <c r="D14" i="36"/>
  <c r="D8" i="36"/>
  <c r="D4" i="36"/>
  <c r="D13" i="36"/>
  <c r="BP3" i="24" l="1"/>
  <c r="BO3" i="24"/>
  <c r="BN3" i="24"/>
  <c r="BM3" i="24"/>
  <c r="BL3" i="24"/>
  <c r="BK3" i="24"/>
  <c r="BI3" i="24"/>
  <c r="BH3" i="24"/>
  <c r="BG3" i="24"/>
  <c r="BF3" i="24"/>
  <c r="BE3" i="24"/>
  <c r="BP2" i="24"/>
  <c r="BO2" i="24"/>
  <c r="BN2" i="24"/>
  <c r="BM2" i="24"/>
  <c r="BL2" i="24"/>
  <c r="BK2" i="24"/>
  <c r="BI2" i="24"/>
  <c r="BH2" i="24"/>
  <c r="BG2" i="24"/>
  <c r="BF2" i="24"/>
  <c r="BE2" i="24"/>
  <c r="AR10" i="24"/>
  <c r="AQ10" i="24"/>
  <c r="AP10" i="24"/>
  <c r="AO10" i="24"/>
  <c r="AN10" i="24"/>
  <c r="AM10" i="24"/>
  <c r="AK10" i="24"/>
  <c r="AJ10" i="24"/>
  <c r="AI10" i="24"/>
  <c r="AH10" i="24"/>
  <c r="AG10" i="24"/>
  <c r="AR9" i="24"/>
  <c r="AQ9" i="24"/>
  <c r="AP9" i="24"/>
  <c r="AO9" i="24"/>
  <c r="AN9" i="24"/>
  <c r="AM9" i="24"/>
  <c r="AK9" i="24"/>
  <c r="AJ9" i="24"/>
  <c r="AI9" i="24"/>
  <c r="AH9" i="24"/>
  <c r="AG9" i="24"/>
  <c r="AR8" i="24"/>
  <c r="AQ8" i="24"/>
  <c r="AP8" i="24"/>
  <c r="AO8" i="24"/>
  <c r="AN8" i="24"/>
  <c r="AM8" i="24"/>
  <c r="AK8" i="24"/>
  <c r="AJ8" i="24"/>
  <c r="AI8" i="24"/>
  <c r="AH8" i="24"/>
  <c r="AG8" i="24"/>
  <c r="AR7" i="24"/>
  <c r="AQ7" i="24"/>
  <c r="AP7" i="24"/>
  <c r="AO7" i="24"/>
  <c r="AN7" i="24"/>
  <c r="AM7" i="24"/>
  <c r="AK7" i="24"/>
  <c r="AJ7" i="24"/>
  <c r="AI7" i="24"/>
  <c r="AH7" i="24"/>
  <c r="AG7" i="24"/>
  <c r="AR6" i="24"/>
  <c r="AQ6" i="24"/>
  <c r="AP6" i="24"/>
  <c r="AO6" i="24"/>
  <c r="AN6" i="24"/>
  <c r="AM6" i="24"/>
  <c r="AK6" i="24"/>
  <c r="AJ6" i="24"/>
  <c r="AI6" i="24"/>
  <c r="AH6" i="24"/>
  <c r="AG6" i="24"/>
  <c r="AR5" i="24"/>
  <c r="AQ5" i="24"/>
  <c r="AP5" i="24"/>
  <c r="AO5" i="24"/>
  <c r="AN5" i="24"/>
  <c r="AM5" i="24"/>
  <c r="AK5" i="24"/>
  <c r="AJ5" i="24"/>
  <c r="AI5" i="24"/>
  <c r="AH5" i="24"/>
  <c r="AG5" i="24"/>
  <c r="AR4" i="24"/>
  <c r="AQ4" i="24"/>
  <c r="AP4" i="24"/>
  <c r="AO4" i="24"/>
  <c r="AN4" i="24"/>
  <c r="AM4" i="24"/>
  <c r="AK4" i="24"/>
  <c r="AJ4" i="24"/>
  <c r="AI4" i="24"/>
  <c r="AH4" i="24"/>
  <c r="AG4" i="24"/>
  <c r="AR3" i="24"/>
  <c r="AQ3" i="24"/>
  <c r="AP3" i="24"/>
  <c r="AO3" i="24"/>
  <c r="AN3" i="24"/>
  <c r="AM3" i="24"/>
  <c r="AK3" i="24"/>
  <c r="AJ3" i="24"/>
  <c r="AI3" i="24"/>
  <c r="AH3" i="24"/>
  <c r="AG3" i="24"/>
  <c r="AR2" i="24"/>
  <c r="AQ2" i="24"/>
  <c r="AP2" i="24"/>
  <c r="AO2" i="24"/>
  <c r="AN2" i="24"/>
  <c r="AM2" i="24"/>
  <c r="AK2" i="24"/>
  <c r="AJ2" i="24"/>
  <c r="AI2" i="24"/>
  <c r="AH2" i="24"/>
  <c r="AG2" i="24"/>
  <c r="CQ4" i="24"/>
  <c r="CQ3" i="24"/>
  <c r="CQ2" i="24"/>
  <c r="CP4" i="24"/>
  <c r="CP3" i="24"/>
  <c r="CP2" i="24"/>
  <c r="CO4" i="24"/>
  <c r="CO3" i="24"/>
  <c r="CO2" i="24"/>
  <c r="CN4" i="24"/>
  <c r="CN3" i="24"/>
  <c r="CN2" i="24"/>
  <c r="CM4" i="24"/>
  <c r="CM3" i="24"/>
  <c r="CM2" i="24"/>
  <c r="CJ4" i="24"/>
  <c r="CJ3" i="24"/>
  <c r="CJ2" i="24"/>
  <c r="CI4" i="24"/>
  <c r="CI3" i="24"/>
  <c r="CI2" i="24"/>
  <c r="CH4" i="24"/>
  <c r="CH3" i="24"/>
  <c r="CH2" i="24"/>
  <c r="CG4" i="24"/>
  <c r="CG3" i="24"/>
  <c r="CG2" i="24"/>
  <c r="CL2" i="24"/>
  <c r="CL4" i="24"/>
  <c r="CL3" i="24"/>
  <c r="CF4" i="24"/>
  <c r="CF3" i="24"/>
  <c r="CF2" i="24"/>
  <c r="CD4" i="24"/>
  <c r="CC4" i="24"/>
  <c r="CB4" i="24"/>
  <c r="CA4" i="24"/>
  <c r="BZ4" i="24"/>
  <c r="BY4" i="24"/>
  <c r="BX4" i="24"/>
  <c r="BW4" i="24"/>
  <c r="CD3" i="24"/>
  <c r="CC3" i="24"/>
  <c r="CB3" i="24"/>
  <c r="CA3" i="24"/>
  <c r="BZ3" i="24"/>
  <c r="BY3" i="24"/>
  <c r="BX3" i="24"/>
  <c r="BW3" i="24"/>
  <c r="BS14" i="24"/>
  <c r="BS13" i="24"/>
  <c r="BS12" i="24"/>
  <c r="BS11" i="24"/>
  <c r="BS10" i="24"/>
  <c r="AE10" i="24"/>
  <c r="AD10" i="24"/>
  <c r="AC10" i="24"/>
  <c r="AB10" i="24"/>
  <c r="AA10" i="24"/>
  <c r="Z10" i="24"/>
  <c r="Y10" i="24"/>
  <c r="X10" i="24"/>
  <c r="W10" i="24"/>
  <c r="BS9" i="24"/>
  <c r="AE9" i="24"/>
  <c r="AD9" i="24"/>
  <c r="AC9" i="24"/>
  <c r="AB9" i="24"/>
  <c r="AA9" i="24"/>
  <c r="Z9" i="24"/>
  <c r="Y9" i="24"/>
  <c r="X9" i="24"/>
  <c r="W9" i="24"/>
  <c r="BS8" i="24"/>
  <c r="AE8" i="24"/>
  <c r="AD8" i="24"/>
  <c r="AC8" i="24"/>
  <c r="AB8" i="24"/>
  <c r="AA8" i="24"/>
  <c r="Z8" i="24"/>
  <c r="Y8" i="24"/>
  <c r="X8" i="24"/>
  <c r="W8" i="24"/>
  <c r="BS7" i="24"/>
  <c r="AE7" i="24"/>
  <c r="AD7" i="24"/>
  <c r="AC7" i="24"/>
  <c r="AB7" i="24"/>
  <c r="AA7" i="24"/>
  <c r="Z7" i="24"/>
  <c r="Y7" i="24"/>
  <c r="X7" i="24"/>
  <c r="W7" i="24"/>
  <c r="BS6" i="24"/>
  <c r="AE6" i="24"/>
  <c r="AD6" i="24"/>
  <c r="AC6" i="24"/>
  <c r="AB6" i="24"/>
  <c r="AA6" i="24"/>
  <c r="Z6" i="24"/>
  <c r="Y6" i="24"/>
  <c r="X6" i="24"/>
  <c r="W6" i="24"/>
  <c r="BS5" i="24"/>
  <c r="AE5" i="24"/>
  <c r="AD5" i="24"/>
  <c r="AC5" i="24"/>
  <c r="AB5" i="24"/>
  <c r="AA5" i="24"/>
  <c r="Z5" i="24"/>
  <c r="Y5" i="24"/>
  <c r="X5" i="24"/>
  <c r="W5" i="24"/>
  <c r="BV4" i="24"/>
  <c r="BS4" i="24"/>
  <c r="AE4" i="24"/>
  <c r="AD4" i="24"/>
  <c r="AC4" i="24"/>
  <c r="AB4" i="24"/>
  <c r="AA4" i="24"/>
  <c r="Z4" i="24"/>
  <c r="Y4" i="24"/>
  <c r="X4" i="24"/>
  <c r="W4" i="24"/>
  <c r="BV3" i="24"/>
  <c r="BS3" i="24"/>
  <c r="BC3" i="24"/>
  <c r="BB3" i="24"/>
  <c r="BA3" i="24"/>
  <c r="AZ3" i="24"/>
  <c r="AY3" i="24"/>
  <c r="AX3" i="24"/>
  <c r="AW3" i="24"/>
  <c r="AV3" i="24"/>
  <c r="AU3" i="24"/>
  <c r="AE3" i="24"/>
  <c r="AD3" i="24"/>
  <c r="AC3" i="24"/>
  <c r="AB3" i="24"/>
  <c r="AA3" i="24"/>
  <c r="Z3" i="24"/>
  <c r="Y3" i="24"/>
  <c r="X3" i="24"/>
  <c r="W3" i="24"/>
  <c r="CD2" i="24"/>
  <c r="CC2" i="24"/>
  <c r="CB2" i="24"/>
  <c r="CA2" i="24"/>
  <c r="BZ2" i="24"/>
  <c r="BY2" i="24"/>
  <c r="BX2" i="24"/>
  <c r="BW2" i="24"/>
  <c r="BV2" i="24"/>
  <c r="BS2" i="24"/>
  <c r="BC2" i="24"/>
  <c r="BB2" i="24"/>
  <c r="BA2" i="24"/>
  <c r="AZ2" i="24"/>
  <c r="AY2" i="24"/>
  <c r="AX2" i="24"/>
  <c r="AW2" i="24"/>
  <c r="AV2" i="24"/>
  <c r="AU2" i="24"/>
  <c r="AE2" i="24"/>
  <c r="AD2" i="24"/>
  <c r="AC2" i="24"/>
  <c r="AB2" i="24"/>
  <c r="AA2" i="24"/>
  <c r="Z2" i="24"/>
  <c r="Y2" i="24"/>
  <c r="X2" i="24"/>
  <c r="W2" i="24"/>
  <c r="BM4" i="3"/>
  <c r="BL4" i="3"/>
  <c r="BK4" i="3"/>
  <c r="BJ4" i="3"/>
  <c r="BI4" i="3"/>
  <c r="BH4" i="3"/>
  <c r="BG4" i="3"/>
  <c r="BF4" i="3"/>
  <c r="BM3" i="3"/>
  <c r="BL3" i="3"/>
  <c r="BK3" i="3"/>
  <c r="BJ3" i="3"/>
  <c r="BI3" i="3"/>
  <c r="BH3" i="3"/>
  <c r="BG3" i="3"/>
  <c r="BF3" i="3"/>
  <c r="BB4" i="3"/>
  <c r="BB3" i="3"/>
  <c r="BB2" i="3"/>
  <c r="BV5" i="24" l="1"/>
  <c r="AU4" i="24"/>
  <c r="BB5" i="3"/>
  <c r="CD8" i="3" l="1"/>
  <c r="CD6" i="3"/>
  <c r="CD5" i="3"/>
  <c r="CD4" i="3"/>
  <c r="CD3" i="3"/>
  <c r="CD2" i="3"/>
  <c r="CC8" i="3"/>
  <c r="CC6" i="3"/>
  <c r="CC5" i="3"/>
  <c r="CC4" i="3"/>
  <c r="CC3" i="3"/>
  <c r="CC2" i="3"/>
  <c r="CB8" i="3"/>
  <c r="CB6" i="3"/>
  <c r="CB5" i="3"/>
  <c r="CB4" i="3"/>
  <c r="CB3" i="3"/>
  <c r="CB2" i="3"/>
  <c r="CA8" i="3"/>
  <c r="CA6" i="3"/>
  <c r="CA5" i="3"/>
  <c r="CA4" i="3"/>
  <c r="CA3" i="3"/>
  <c r="CA2" i="3"/>
  <c r="BZ8" i="3"/>
  <c r="BZ6" i="3"/>
  <c r="BZ5" i="3"/>
  <c r="BZ4" i="3"/>
  <c r="BZ3" i="3"/>
  <c r="BZ2" i="3"/>
  <c r="BY8" i="3"/>
  <c r="BY6" i="3"/>
  <c r="BY5" i="3"/>
  <c r="BY4" i="3"/>
  <c r="BY3" i="3"/>
  <c r="BY2" i="3"/>
  <c r="BW8" i="3"/>
  <c r="BW6" i="3"/>
  <c r="BW5" i="3"/>
  <c r="BW4" i="3"/>
  <c r="BW3" i="3"/>
  <c r="BW2" i="3"/>
  <c r="BX2" i="3"/>
  <c r="BX3" i="3"/>
  <c r="BX4" i="3"/>
  <c r="BX5" i="3"/>
  <c r="BX6" i="3"/>
  <c r="BX8" i="3"/>
  <c r="BP8" i="3"/>
  <c r="BP6" i="3"/>
  <c r="BP5" i="3"/>
  <c r="BP4" i="3"/>
  <c r="BP3" i="3"/>
  <c r="BP2" i="3"/>
  <c r="BM2" i="3"/>
  <c r="AV3" i="3"/>
  <c r="AV2" i="3"/>
  <c r="BL2" i="3"/>
  <c r="AU3" i="3"/>
  <c r="AU2" i="3"/>
  <c r="BK2" i="3"/>
  <c r="AT3" i="3"/>
  <c r="AT2" i="3"/>
  <c r="AR3" i="3"/>
  <c r="AR2" i="3"/>
  <c r="AS3" i="3"/>
  <c r="AS2" i="3"/>
  <c r="BJ2" i="3"/>
  <c r="BI2" i="3"/>
  <c r="BH2" i="3"/>
  <c r="AQ2" i="3"/>
  <c r="BF2" i="3"/>
  <c r="AO2" i="3"/>
  <c r="BG2" i="3"/>
  <c r="AQ3" i="3"/>
  <c r="AO3" i="3"/>
  <c r="AP2" i="3"/>
  <c r="AP3" i="3"/>
  <c r="AK3" i="3"/>
  <c r="AK2" i="3"/>
  <c r="AG10" i="3"/>
  <c r="AG9" i="3"/>
  <c r="AG8" i="3"/>
  <c r="AG7" i="3"/>
  <c r="AG6" i="3"/>
  <c r="AG5" i="3"/>
  <c r="AG4" i="3"/>
  <c r="AG3" i="3"/>
  <c r="AG2" i="3"/>
  <c r="AF10" i="3"/>
  <c r="AF9" i="3"/>
  <c r="AF8" i="3"/>
  <c r="AF7" i="3"/>
  <c r="AF6" i="3"/>
  <c r="AF5" i="3"/>
  <c r="AF4" i="3"/>
  <c r="AF3" i="3"/>
  <c r="AF2" i="3"/>
  <c r="AE10" i="3"/>
  <c r="AE9" i="3"/>
  <c r="AE8" i="3"/>
  <c r="AE7" i="3"/>
  <c r="AE6" i="3"/>
  <c r="AE5" i="3"/>
  <c r="AE4" i="3"/>
  <c r="AE3" i="3"/>
  <c r="AE2" i="3"/>
  <c r="AD10" i="3"/>
  <c r="AD9" i="3"/>
  <c r="AD8" i="3"/>
  <c r="AD7" i="3"/>
  <c r="AD6" i="3"/>
  <c r="AD5" i="3"/>
  <c r="AD4" i="3"/>
  <c r="AD3" i="3"/>
  <c r="AD2" i="3"/>
  <c r="AC10" i="3"/>
  <c r="AC9" i="3"/>
  <c r="AC8" i="3"/>
  <c r="AC7" i="3"/>
  <c r="AC6" i="3"/>
  <c r="AC5" i="3"/>
  <c r="AC4" i="3"/>
  <c r="AC3" i="3"/>
  <c r="AC2" i="3"/>
  <c r="AB10" i="3"/>
  <c r="AB9" i="3"/>
  <c r="AB8" i="3"/>
  <c r="AB7" i="3"/>
  <c r="AB6" i="3"/>
  <c r="AB5" i="3"/>
  <c r="AB4" i="3"/>
  <c r="AB3" i="3"/>
  <c r="AB2" i="3"/>
  <c r="AA10" i="3"/>
  <c r="AA9" i="3"/>
  <c r="AA8" i="3"/>
  <c r="AA7" i="3"/>
  <c r="AA6" i="3"/>
  <c r="AA5" i="3"/>
  <c r="AA4" i="3"/>
  <c r="AA3" i="3"/>
  <c r="AA2" i="3"/>
  <c r="AH2" i="3"/>
  <c r="AH3" i="3"/>
  <c r="AH4" i="3"/>
  <c r="AH5" i="3"/>
  <c r="AH6" i="3"/>
  <c r="AH7" i="3"/>
  <c r="AH8" i="3"/>
  <c r="AH9" i="3"/>
  <c r="AH10" i="3"/>
  <c r="BF2" i="2"/>
  <c r="W10" i="3"/>
  <c r="W9" i="3"/>
  <c r="W8" i="3"/>
  <c r="W7" i="3"/>
  <c r="W6" i="3"/>
  <c r="W5" i="3"/>
  <c r="W4" i="3"/>
  <c r="W3" i="3"/>
  <c r="W2" i="3"/>
  <c r="BR9" i="3" l="1"/>
  <c r="BR5" i="3"/>
  <c r="BR8" i="3"/>
  <c r="BR2" i="3"/>
  <c r="BR7" i="3"/>
  <c r="BR3" i="3"/>
  <c r="BR6" i="3"/>
  <c r="BR4" i="3"/>
  <c r="BR10" i="3" l="1"/>
  <c r="BF7" i="2"/>
  <c r="BF6" i="2"/>
  <c r="BF5" i="2"/>
  <c r="BF4" i="2"/>
  <c r="BF3" i="2"/>
  <c r="AU6" i="2"/>
  <c r="AU5" i="2"/>
  <c r="AU4" i="2"/>
  <c r="AU3" i="2"/>
  <c r="AU2" i="2"/>
  <c r="BE7" i="2"/>
  <c r="BE6" i="2"/>
  <c r="BE5" i="2"/>
  <c r="BE4" i="2"/>
  <c r="BE3" i="2"/>
  <c r="BE2" i="2"/>
  <c r="AT6" i="2"/>
  <c r="AT5" i="2"/>
  <c r="AT4" i="2"/>
  <c r="AT3" i="2"/>
  <c r="AT2" i="2"/>
  <c r="BD7" i="2"/>
  <c r="BD6" i="2"/>
  <c r="BD5" i="2"/>
  <c r="BD4" i="2"/>
  <c r="BD3" i="2"/>
  <c r="BD2" i="2"/>
  <c r="AS6" i="2"/>
  <c r="AS5" i="2"/>
  <c r="AS4" i="2"/>
  <c r="AS3" i="2"/>
  <c r="AS2" i="2"/>
  <c r="BB7" i="2"/>
  <c r="BB6" i="2"/>
  <c r="BB5" i="2"/>
  <c r="BB4" i="2"/>
  <c r="BB3" i="2"/>
  <c r="BB2" i="2"/>
  <c r="AQ6" i="2"/>
  <c r="AQ5" i="2"/>
  <c r="AQ4" i="2"/>
  <c r="AQ3" i="2"/>
  <c r="AQ2" i="2"/>
  <c r="BA7" i="2"/>
  <c r="BA6" i="2"/>
  <c r="BA5" i="2"/>
  <c r="BA4" i="2"/>
  <c r="BA3" i="2"/>
  <c r="BA2" i="2"/>
  <c r="AP6" i="2"/>
  <c r="AP5" i="2"/>
  <c r="AP4" i="2"/>
  <c r="AP3" i="2"/>
  <c r="AP2" i="2"/>
  <c r="AZ7" i="2"/>
  <c r="AZ6" i="2"/>
  <c r="AZ5" i="2"/>
  <c r="AZ4" i="2"/>
  <c r="AZ3" i="2"/>
  <c r="AZ2" i="2"/>
  <c r="AO6" i="2"/>
  <c r="AO5" i="2"/>
  <c r="AO4" i="2"/>
  <c r="AO3" i="2"/>
  <c r="AO2" i="2"/>
  <c r="AY7" i="2"/>
  <c r="AY6" i="2"/>
  <c r="AY5" i="2"/>
  <c r="AY4" i="2"/>
  <c r="AY3" i="2"/>
  <c r="AY2" i="2"/>
  <c r="AN6" i="2"/>
  <c r="AN5" i="2"/>
  <c r="AN4" i="2"/>
  <c r="AN3" i="2"/>
  <c r="AN2" i="2"/>
  <c r="BC2" i="2"/>
  <c r="BC3" i="2"/>
  <c r="BC4" i="2"/>
  <c r="BC5" i="2"/>
  <c r="BC6" i="2"/>
  <c r="BC7" i="2"/>
  <c r="AR2" i="2"/>
  <c r="AR3" i="2"/>
  <c r="AR4" i="2"/>
  <c r="AR5" i="2"/>
  <c r="AR6" i="2"/>
  <c r="AX7" i="2"/>
  <c r="AX6" i="2"/>
  <c r="AX5" i="2"/>
  <c r="AX4" i="2"/>
  <c r="AX3" i="2"/>
  <c r="AX2" i="2"/>
  <c r="AM6" i="2"/>
  <c r="AM5" i="2"/>
  <c r="AM4" i="2"/>
  <c r="AM3" i="2"/>
  <c r="AM2" i="2"/>
  <c r="AJ5" i="2"/>
  <c r="AJ4" i="2"/>
  <c r="AJ3" i="2"/>
  <c r="AJ2" i="2"/>
  <c r="AI5" i="2"/>
  <c r="AI4" i="2"/>
  <c r="AI3" i="2"/>
  <c r="AI2" i="2"/>
  <c r="AH5" i="2"/>
  <c r="AH4" i="2"/>
  <c r="AH3" i="2"/>
  <c r="AH2" i="2"/>
  <c r="AG5" i="2"/>
  <c r="AG4" i="2"/>
  <c r="AG3" i="2"/>
  <c r="AG2" i="2"/>
  <c r="AF5" i="2"/>
  <c r="AF4" i="2"/>
  <c r="AF3" i="2"/>
  <c r="AF2" i="2"/>
  <c r="AE5" i="2"/>
  <c r="AE4" i="2"/>
  <c r="AE3" i="2"/>
  <c r="AE2" i="2"/>
  <c r="AC5" i="2"/>
  <c r="AC4" i="2"/>
  <c r="AC3" i="2"/>
  <c r="AC2" i="2"/>
  <c r="AD5" i="2"/>
  <c r="AD4" i="2"/>
  <c r="AD3" i="2"/>
  <c r="AD2" i="2"/>
  <c r="AB5" i="2"/>
  <c r="AB4" i="2"/>
  <c r="AB3" i="2"/>
  <c r="AB2" i="2"/>
  <c r="CP5" i="3" l="1"/>
  <c r="CP4" i="3"/>
  <c r="CP2" i="3"/>
  <c r="HR214" i="15" l="1"/>
  <c r="HR216" i="15"/>
  <c r="HQ214" i="15"/>
  <c r="HQ215" i="15"/>
  <c r="HR215" i="15" s="1"/>
  <c r="HQ216" i="15"/>
  <c r="IB8" i="15" l="1"/>
  <c r="HR204" i="15"/>
  <c r="HR205" i="15"/>
  <c r="HR207" i="15"/>
  <c r="HR211" i="15"/>
  <c r="HR212" i="15"/>
  <c r="HR213" i="15"/>
  <c r="HQ200" i="15"/>
  <c r="HR200" i="15" s="1"/>
  <c r="HQ201" i="15"/>
  <c r="HR201" i="15" s="1"/>
  <c r="HQ202" i="15"/>
  <c r="HR202" i="15" s="1"/>
  <c r="HQ203" i="15"/>
  <c r="HR203" i="15" s="1"/>
  <c r="HQ204" i="15"/>
  <c r="HQ205" i="15"/>
  <c r="HQ206" i="15"/>
  <c r="HR206" i="15" s="1"/>
  <c r="HQ207" i="15"/>
  <c r="HQ208" i="15"/>
  <c r="HR208" i="15" s="1"/>
  <c r="HQ209" i="15"/>
  <c r="HR209" i="15" s="1"/>
  <c r="HQ210" i="15"/>
  <c r="HR210" i="15" s="1"/>
  <c r="HQ211" i="15"/>
  <c r="HQ212" i="15"/>
  <c r="HQ213" i="15"/>
  <c r="BL258" i="2" l="1"/>
  <c r="C258" i="19" s="1"/>
  <c r="BL259" i="2"/>
  <c r="BL260" i="2"/>
  <c r="BL261" i="2"/>
  <c r="BL262" i="2"/>
  <c r="BL263" i="2"/>
  <c r="BL264" i="2"/>
  <c r="BL265" i="2"/>
  <c r="BL266" i="2"/>
  <c r="BL267" i="2"/>
  <c r="BL268" i="2"/>
  <c r="BL269" i="2"/>
  <c r="BL270" i="2"/>
  <c r="BL271" i="2"/>
  <c r="BL272" i="2"/>
  <c r="BL273" i="2"/>
  <c r="BL274" i="2"/>
  <c r="BL275" i="2"/>
  <c r="BL276" i="2"/>
  <c r="BL277" i="2"/>
  <c r="HQ181" i="15"/>
  <c r="HQ182" i="15"/>
  <c r="HR182" i="15" s="1"/>
  <c r="HQ183" i="15"/>
  <c r="HR183" i="15" s="1"/>
  <c r="HQ184" i="15"/>
  <c r="HR184" i="15" s="1"/>
  <c r="HQ185" i="15"/>
  <c r="HR185" i="15" s="1"/>
  <c r="HQ186" i="15"/>
  <c r="HR186" i="15" s="1"/>
  <c r="HQ187" i="15"/>
  <c r="HR187" i="15" s="1"/>
  <c r="HQ188" i="15"/>
  <c r="HR188" i="15" s="1"/>
  <c r="HQ189" i="15"/>
  <c r="HR189" i="15" s="1"/>
  <c r="HQ190" i="15"/>
  <c r="HR190" i="15" s="1"/>
  <c r="HQ191" i="15"/>
  <c r="HR191" i="15" s="1"/>
  <c r="HQ192" i="15"/>
  <c r="HR192" i="15" s="1"/>
  <c r="HQ193" i="15"/>
  <c r="HR193" i="15" s="1"/>
  <c r="HQ194" i="15"/>
  <c r="HR194" i="15" s="1"/>
  <c r="HQ195" i="15"/>
  <c r="HR195" i="15" s="1"/>
  <c r="HQ196" i="15"/>
  <c r="HQ197" i="15"/>
  <c r="HQ198" i="15"/>
  <c r="HR198" i="15" s="1"/>
  <c r="HQ199" i="15"/>
  <c r="HR199" i="15" s="1"/>
  <c r="C259" i="19" l="1"/>
  <c r="C260" i="19"/>
  <c r="C261" i="19"/>
  <c r="C262" i="19"/>
  <c r="C263" i="19"/>
  <c r="C264" i="19"/>
  <c r="C265" i="19"/>
  <c r="C266" i="19"/>
  <c r="C267" i="19"/>
  <c r="C268" i="19"/>
  <c r="C269" i="19"/>
  <c r="C270" i="19"/>
  <c r="C271" i="19"/>
  <c r="C272" i="19"/>
  <c r="C273" i="19"/>
  <c r="C274" i="19"/>
  <c r="C275" i="19"/>
  <c r="C276" i="19"/>
  <c r="C277" i="19"/>
  <c r="B1" i="19"/>
  <c r="C1" i="19"/>
  <c r="D1" i="19"/>
  <c r="A1" i="19"/>
  <c r="IB9" i="15"/>
  <c r="HQ136" i="15"/>
  <c r="HR136" i="15" s="1"/>
  <c r="HQ137" i="15"/>
  <c r="HR137" i="15" s="1"/>
  <c r="HQ138" i="15"/>
  <c r="HQ139" i="15"/>
  <c r="HQ140" i="15"/>
  <c r="HR140" i="15" s="1"/>
  <c r="HQ141" i="15"/>
  <c r="HR141" i="15" s="1"/>
  <c r="HQ142" i="15"/>
  <c r="HR142" i="15" s="1"/>
  <c r="HQ143" i="15"/>
  <c r="HR143" i="15" s="1"/>
  <c r="HQ144" i="15"/>
  <c r="HR144" i="15" s="1"/>
  <c r="HQ145" i="15"/>
  <c r="HR145" i="15" s="1"/>
  <c r="HQ146" i="15"/>
  <c r="HR146" i="15" s="1"/>
  <c r="HQ147" i="15"/>
  <c r="HQ148" i="15"/>
  <c r="HR148" i="15" s="1"/>
  <c r="HQ149" i="15"/>
  <c r="HR149" i="15" s="1"/>
  <c r="HQ150" i="15"/>
  <c r="HR150" i="15" s="1"/>
  <c r="HQ151" i="15"/>
  <c r="HR151" i="15" s="1"/>
  <c r="HQ152" i="15"/>
  <c r="HR152" i="15" s="1"/>
  <c r="HQ153" i="15"/>
  <c r="HR153" i="15" s="1"/>
  <c r="HQ154" i="15"/>
  <c r="HR154" i="15" s="1"/>
  <c r="HQ155" i="15"/>
  <c r="HR155" i="15" s="1"/>
  <c r="HQ156" i="15"/>
  <c r="HQ157" i="15"/>
  <c r="HR157" i="15" s="1"/>
  <c r="HQ158" i="15"/>
  <c r="HR158" i="15" s="1"/>
  <c r="HQ159" i="15"/>
  <c r="HR159" i="15" s="1"/>
  <c r="HQ160" i="15"/>
  <c r="HR160" i="15" s="1"/>
  <c r="HQ161" i="15"/>
  <c r="HR161" i="15" s="1"/>
  <c r="HQ162" i="15"/>
  <c r="HR162" i="15" s="1"/>
  <c r="HQ163" i="15"/>
  <c r="HR163" i="15" s="1"/>
  <c r="HQ164" i="15"/>
  <c r="HQ165" i="15"/>
  <c r="HR165" i="15" s="1"/>
  <c r="HQ166" i="15"/>
  <c r="HR166" i="15" s="1"/>
  <c r="HQ167" i="15"/>
  <c r="HR167" i="15" s="1"/>
  <c r="HQ168" i="15"/>
  <c r="HR168" i="15" s="1"/>
  <c r="HQ169" i="15"/>
  <c r="HR169" i="15" s="1"/>
  <c r="HQ170" i="15"/>
  <c r="HR170" i="15" s="1"/>
  <c r="HQ171" i="15"/>
  <c r="HR171" i="15" s="1"/>
  <c r="HQ172" i="15"/>
  <c r="HR172" i="15" s="1"/>
  <c r="HQ173" i="15"/>
  <c r="HR173" i="15" s="1"/>
  <c r="HQ174" i="15"/>
  <c r="HR174" i="15" s="1"/>
  <c r="HQ175" i="15"/>
  <c r="HR175" i="15" s="1"/>
  <c r="HQ176" i="15"/>
  <c r="HR176" i="15" s="1"/>
  <c r="HQ177" i="15"/>
  <c r="HR177" i="15" s="1"/>
  <c r="HQ178" i="15"/>
  <c r="HR178" i="15" s="1"/>
  <c r="HQ179" i="15"/>
  <c r="HR179" i="15" s="1"/>
  <c r="HQ180" i="15"/>
  <c r="HR180" i="15" s="1"/>
  <c r="IB10" i="15" l="1"/>
  <c r="IB7" i="15"/>
  <c r="BM93" i="2" l="1"/>
  <c r="D93" i="19" s="1"/>
  <c r="BM94" i="2"/>
  <c r="D94" i="19" s="1"/>
  <c r="BM95" i="2"/>
  <c r="D95" i="19" s="1"/>
  <c r="BM96" i="2"/>
  <c r="D96" i="19" s="1"/>
  <c r="BM97" i="2"/>
  <c r="D97" i="19" s="1"/>
  <c r="BM98" i="2"/>
  <c r="D98" i="19" s="1"/>
  <c r="BM99" i="2"/>
  <c r="D99" i="19" s="1"/>
  <c r="BM100" i="2"/>
  <c r="D100" i="19" s="1"/>
  <c r="BM101" i="2"/>
  <c r="D101" i="19" s="1"/>
  <c r="BM102" i="2"/>
  <c r="D102" i="19" s="1"/>
  <c r="BM103" i="2"/>
  <c r="D103" i="19" s="1"/>
  <c r="BM104" i="2"/>
  <c r="D104" i="19" s="1"/>
  <c r="BM105" i="2"/>
  <c r="D105" i="19" s="1"/>
  <c r="BM106" i="2"/>
  <c r="D106" i="19" s="1"/>
  <c r="BM107" i="2"/>
  <c r="D107" i="19" s="1"/>
  <c r="BM108" i="2"/>
  <c r="D108" i="19" s="1"/>
  <c r="BM109" i="2"/>
  <c r="D109" i="19" s="1"/>
  <c r="BM110" i="2"/>
  <c r="D110" i="19" s="1"/>
  <c r="BM111" i="2"/>
  <c r="D111" i="19" s="1"/>
  <c r="BM112" i="2"/>
  <c r="D112" i="19" s="1"/>
  <c r="BM113" i="2"/>
  <c r="D113" i="19" s="1"/>
  <c r="BM114" i="2"/>
  <c r="D114" i="19" s="1"/>
  <c r="BM115" i="2"/>
  <c r="D115" i="19" s="1"/>
  <c r="BM116" i="2"/>
  <c r="D116" i="19" s="1"/>
  <c r="BM117" i="2"/>
  <c r="D117" i="19" s="1"/>
  <c r="BM118" i="2"/>
  <c r="D118" i="19" s="1"/>
  <c r="BM119" i="2"/>
  <c r="D119" i="19" s="1"/>
  <c r="BM120" i="2"/>
  <c r="D120" i="19" s="1"/>
  <c r="BM121" i="2"/>
  <c r="D121" i="19" s="1"/>
  <c r="BM122" i="2"/>
  <c r="D122" i="19" s="1"/>
  <c r="BM123" i="2"/>
  <c r="D123" i="19" s="1"/>
  <c r="BM124" i="2"/>
  <c r="D124" i="19" s="1"/>
  <c r="BM125" i="2"/>
  <c r="D125" i="19" s="1"/>
  <c r="BM126" i="2"/>
  <c r="D126" i="19" s="1"/>
  <c r="BM127" i="2"/>
  <c r="D127" i="19" s="1"/>
  <c r="BM128" i="2"/>
  <c r="D128" i="19" s="1"/>
  <c r="BM129" i="2"/>
  <c r="D129" i="19" s="1"/>
  <c r="BM130" i="2"/>
  <c r="D130" i="19" s="1"/>
  <c r="BM131" i="2"/>
  <c r="D131" i="19" s="1"/>
  <c r="BM132" i="2"/>
  <c r="D132" i="19" s="1"/>
  <c r="BM133" i="2"/>
  <c r="D133" i="19" s="1"/>
  <c r="BM134" i="2"/>
  <c r="D134" i="19" s="1"/>
  <c r="BM135" i="2"/>
  <c r="D135" i="19" s="1"/>
  <c r="BM136" i="2"/>
  <c r="D136" i="19" s="1"/>
  <c r="BM137" i="2"/>
  <c r="D137" i="19" s="1"/>
  <c r="BM138" i="2"/>
  <c r="D138" i="19" s="1"/>
  <c r="BM139" i="2"/>
  <c r="D139" i="19" s="1"/>
  <c r="BM140" i="2"/>
  <c r="D140" i="19" s="1"/>
  <c r="BM141" i="2"/>
  <c r="D141" i="19" s="1"/>
  <c r="BM142" i="2"/>
  <c r="D142" i="19" s="1"/>
  <c r="BM143" i="2"/>
  <c r="D143" i="19" s="1"/>
  <c r="BM144" i="2"/>
  <c r="D144" i="19" s="1"/>
  <c r="BM145" i="2"/>
  <c r="D145" i="19" s="1"/>
  <c r="BM146" i="2"/>
  <c r="D146" i="19" s="1"/>
  <c r="BM147" i="2"/>
  <c r="D147" i="19" s="1"/>
  <c r="BM148" i="2"/>
  <c r="D148" i="19" s="1"/>
  <c r="BM149" i="2"/>
  <c r="D149" i="19" s="1"/>
  <c r="BM150" i="2"/>
  <c r="D150" i="19" s="1"/>
  <c r="BM151" i="2"/>
  <c r="D151" i="19" s="1"/>
  <c r="BM152" i="2"/>
  <c r="D152" i="19" s="1"/>
  <c r="BM153" i="2"/>
  <c r="D153" i="19" s="1"/>
  <c r="BM154" i="2"/>
  <c r="D154" i="19" s="1"/>
  <c r="BM155" i="2"/>
  <c r="D155" i="19" s="1"/>
  <c r="BM156" i="2"/>
  <c r="D156" i="19" s="1"/>
  <c r="BM157" i="2"/>
  <c r="D157" i="19" s="1"/>
  <c r="BM158" i="2"/>
  <c r="D158" i="19" s="1"/>
  <c r="BM159" i="2"/>
  <c r="D159" i="19" s="1"/>
  <c r="BM160" i="2"/>
  <c r="D160" i="19" s="1"/>
  <c r="BM161" i="2"/>
  <c r="D161" i="19" s="1"/>
  <c r="BM162" i="2"/>
  <c r="D162" i="19" s="1"/>
  <c r="BM163" i="2"/>
  <c r="D163" i="19" s="1"/>
  <c r="BM164" i="2"/>
  <c r="D164" i="19" s="1"/>
  <c r="BM165" i="2"/>
  <c r="D165" i="19" s="1"/>
  <c r="BM166" i="2"/>
  <c r="D166" i="19" s="1"/>
  <c r="BM167" i="2"/>
  <c r="D167" i="19" s="1"/>
  <c r="BM168" i="2"/>
  <c r="D168" i="19" s="1"/>
  <c r="BM169" i="2"/>
  <c r="D169" i="19" s="1"/>
  <c r="BM170" i="2"/>
  <c r="D170" i="19" s="1"/>
  <c r="BM171" i="2"/>
  <c r="D171" i="19" s="1"/>
  <c r="BM172" i="2"/>
  <c r="D172" i="19" s="1"/>
  <c r="BM173" i="2"/>
  <c r="D173" i="19" s="1"/>
  <c r="BM174" i="2"/>
  <c r="D174" i="19" s="1"/>
  <c r="BM175" i="2"/>
  <c r="D175" i="19" s="1"/>
  <c r="BM176" i="2"/>
  <c r="D176" i="19" s="1"/>
  <c r="BM177" i="2"/>
  <c r="D177" i="19" s="1"/>
  <c r="BM178" i="2"/>
  <c r="D178" i="19" s="1"/>
  <c r="BM179" i="2"/>
  <c r="D179" i="19" s="1"/>
  <c r="BM180" i="2"/>
  <c r="D180" i="19" s="1"/>
  <c r="BM181" i="2"/>
  <c r="D181" i="19" s="1"/>
  <c r="BM182" i="2"/>
  <c r="D182" i="19" s="1"/>
  <c r="BM183" i="2"/>
  <c r="D183" i="19" s="1"/>
  <c r="BM184" i="2"/>
  <c r="D184" i="19" s="1"/>
  <c r="BM185" i="2"/>
  <c r="D185" i="19" s="1"/>
  <c r="BM186" i="2"/>
  <c r="D186" i="19" s="1"/>
  <c r="BM187" i="2"/>
  <c r="D187" i="19" s="1"/>
  <c r="BM188" i="2"/>
  <c r="D188" i="19" s="1"/>
  <c r="BM189" i="2"/>
  <c r="D189" i="19" s="1"/>
  <c r="BM190" i="2"/>
  <c r="D190" i="19" s="1"/>
  <c r="BM191" i="2"/>
  <c r="D191" i="19" s="1"/>
  <c r="BM192" i="2"/>
  <c r="D192" i="19" s="1"/>
  <c r="BM193" i="2"/>
  <c r="D193" i="19" s="1"/>
  <c r="BM194" i="2"/>
  <c r="D194" i="19" s="1"/>
  <c r="BM195" i="2"/>
  <c r="D195" i="19" s="1"/>
  <c r="BM196" i="2"/>
  <c r="D196" i="19" s="1"/>
  <c r="BM197" i="2"/>
  <c r="D197" i="19" s="1"/>
  <c r="BM198" i="2"/>
  <c r="D198" i="19" s="1"/>
  <c r="BM199" i="2"/>
  <c r="D199" i="19" s="1"/>
  <c r="BM200" i="2"/>
  <c r="D200" i="19" s="1"/>
  <c r="BM201" i="2"/>
  <c r="D201" i="19" s="1"/>
  <c r="BM202" i="2"/>
  <c r="D202" i="19" s="1"/>
  <c r="BM203" i="2"/>
  <c r="D203" i="19" s="1"/>
  <c r="BM204" i="2"/>
  <c r="D204" i="19" s="1"/>
  <c r="BM205" i="2"/>
  <c r="D205" i="19" s="1"/>
  <c r="BM206" i="2"/>
  <c r="D206" i="19" s="1"/>
  <c r="BM207" i="2"/>
  <c r="D207" i="19" s="1"/>
  <c r="BM208" i="2"/>
  <c r="D208" i="19" s="1"/>
  <c r="BM209" i="2"/>
  <c r="D209" i="19" s="1"/>
  <c r="BM210" i="2"/>
  <c r="D210" i="19" s="1"/>
  <c r="BM211" i="2"/>
  <c r="D211" i="19" s="1"/>
  <c r="BM212" i="2"/>
  <c r="D212" i="19" s="1"/>
  <c r="BM213" i="2"/>
  <c r="D213" i="19" s="1"/>
  <c r="BM214" i="2"/>
  <c r="D214" i="19" s="1"/>
  <c r="BM215" i="2"/>
  <c r="D215" i="19" s="1"/>
  <c r="BM216" i="2"/>
  <c r="D216" i="19" s="1"/>
  <c r="BM217" i="2"/>
  <c r="D217" i="19" s="1"/>
  <c r="BM218" i="2"/>
  <c r="D218" i="19" s="1"/>
  <c r="BM219" i="2"/>
  <c r="D219" i="19" s="1"/>
  <c r="BM220" i="2"/>
  <c r="D220" i="19" s="1"/>
  <c r="BM221" i="2"/>
  <c r="D221" i="19" s="1"/>
  <c r="BM222" i="2"/>
  <c r="D222" i="19" s="1"/>
  <c r="BM223" i="2"/>
  <c r="D223" i="19" s="1"/>
  <c r="BM224" i="2"/>
  <c r="D224" i="19" s="1"/>
  <c r="BM225" i="2"/>
  <c r="D225" i="19" s="1"/>
  <c r="BM226" i="2"/>
  <c r="D226" i="19" s="1"/>
  <c r="BM227" i="2"/>
  <c r="D227" i="19" s="1"/>
  <c r="BM228" i="2"/>
  <c r="D228" i="19" s="1"/>
  <c r="BM229" i="2"/>
  <c r="D229" i="19" s="1"/>
  <c r="BM230" i="2"/>
  <c r="D230" i="19" s="1"/>
  <c r="BM231" i="2"/>
  <c r="D231" i="19" s="1"/>
  <c r="BM232" i="2"/>
  <c r="D232" i="19" s="1"/>
  <c r="BM233" i="2"/>
  <c r="D233" i="19" s="1"/>
  <c r="BM234" i="2"/>
  <c r="D234" i="19" s="1"/>
  <c r="BM235" i="2"/>
  <c r="D235" i="19" s="1"/>
  <c r="BM236" i="2"/>
  <c r="D236" i="19" s="1"/>
  <c r="BM237" i="2"/>
  <c r="D237" i="19" s="1"/>
  <c r="BM238" i="2"/>
  <c r="D238" i="19" s="1"/>
  <c r="BM239" i="2"/>
  <c r="D239" i="19" s="1"/>
  <c r="BM240" i="2"/>
  <c r="D240" i="19" s="1"/>
  <c r="BM241" i="2"/>
  <c r="D241" i="19" s="1"/>
  <c r="BM242" i="2"/>
  <c r="D242" i="19" s="1"/>
  <c r="BM243" i="2"/>
  <c r="D243" i="19" s="1"/>
  <c r="D244" i="19"/>
  <c r="BM245" i="2"/>
  <c r="D245" i="19" s="1"/>
  <c r="BM246" i="2"/>
  <c r="D246" i="19" s="1"/>
  <c r="BM247" i="2"/>
  <c r="D247" i="19" s="1"/>
  <c r="BM248" i="2"/>
  <c r="D248" i="19" s="1"/>
  <c r="BM249" i="2"/>
  <c r="D249" i="19" s="1"/>
  <c r="BM250" i="2"/>
  <c r="D250" i="19" s="1"/>
  <c r="BM251" i="2"/>
  <c r="D251" i="19" s="1"/>
  <c r="BM252" i="2"/>
  <c r="D252" i="19" s="1"/>
  <c r="BM253" i="2"/>
  <c r="D253" i="19" s="1"/>
  <c r="BM254" i="2"/>
  <c r="D254" i="19" s="1"/>
  <c r="BM255" i="2"/>
  <c r="D255" i="19" s="1"/>
  <c r="BM256" i="2"/>
  <c r="D256" i="19" s="1"/>
  <c r="BM257" i="2"/>
  <c r="D257" i="19" s="1"/>
  <c r="BM258" i="2"/>
  <c r="D258" i="19" s="1"/>
  <c r="BM259" i="2"/>
  <c r="D259" i="19" s="1"/>
  <c r="BM260" i="2"/>
  <c r="D260" i="19" s="1"/>
  <c r="BM261" i="2"/>
  <c r="D261" i="19" s="1"/>
  <c r="BM262" i="2"/>
  <c r="D262" i="19" s="1"/>
  <c r="BM263" i="2"/>
  <c r="D263" i="19" s="1"/>
  <c r="BM264" i="2"/>
  <c r="D264" i="19" s="1"/>
  <c r="BM265" i="2"/>
  <c r="D265" i="19" s="1"/>
  <c r="BM266" i="2"/>
  <c r="D266" i="19" s="1"/>
  <c r="BM267" i="2"/>
  <c r="D267" i="19" s="1"/>
  <c r="BM268" i="2"/>
  <c r="D268" i="19" s="1"/>
  <c r="BM269" i="2"/>
  <c r="D269" i="19" s="1"/>
  <c r="BM270" i="2"/>
  <c r="D270" i="19" s="1"/>
  <c r="BM271" i="2"/>
  <c r="D271" i="19" s="1"/>
  <c r="BM272" i="2"/>
  <c r="D272" i="19" s="1"/>
  <c r="BM273" i="2"/>
  <c r="D273" i="19" s="1"/>
  <c r="BM274" i="2"/>
  <c r="D274" i="19" s="1"/>
  <c r="BM275" i="2"/>
  <c r="D275" i="19" s="1"/>
  <c r="BM276" i="2"/>
  <c r="D276" i="19" s="1"/>
  <c r="BM277" i="2"/>
  <c r="D277" i="19" s="1"/>
  <c r="BM78" i="2"/>
  <c r="D78" i="19" s="1"/>
  <c r="BM79" i="2"/>
  <c r="D79" i="19" s="1"/>
  <c r="BM80" i="2"/>
  <c r="D80" i="19" s="1"/>
  <c r="BM81" i="2"/>
  <c r="D81" i="19" s="1"/>
  <c r="BM82" i="2"/>
  <c r="D82" i="19" s="1"/>
  <c r="BM83" i="2"/>
  <c r="D83" i="19" s="1"/>
  <c r="BM84" i="2"/>
  <c r="D84" i="19" s="1"/>
  <c r="BM85" i="2"/>
  <c r="D85" i="19" s="1"/>
  <c r="BM86" i="2"/>
  <c r="D86" i="19" s="1"/>
  <c r="BM87" i="2"/>
  <c r="D87" i="19" s="1"/>
  <c r="BM88" i="2"/>
  <c r="D88" i="19" s="1"/>
  <c r="BM89" i="2"/>
  <c r="D89" i="19" s="1"/>
  <c r="BM90" i="2"/>
  <c r="D90" i="19" s="1"/>
  <c r="BM91" i="2"/>
  <c r="D91" i="19" s="1"/>
  <c r="BM92" i="2"/>
  <c r="D92" i="19" s="1"/>
  <c r="BM77" i="2"/>
  <c r="D77" i="19" s="1"/>
  <c r="BM72" i="2"/>
  <c r="D72" i="19" s="1"/>
  <c r="BM73" i="2"/>
  <c r="D73" i="19" s="1"/>
  <c r="BM74" i="2"/>
  <c r="D74" i="19" s="1"/>
  <c r="BM75" i="2"/>
  <c r="D75" i="19" s="1"/>
  <c r="BM76" i="2"/>
  <c r="D76" i="19" s="1"/>
  <c r="BM65" i="2"/>
  <c r="D65" i="19" s="1"/>
  <c r="BM66" i="2"/>
  <c r="D66" i="19" s="1"/>
  <c r="BM67" i="2"/>
  <c r="D67" i="19" s="1"/>
  <c r="BM68" i="2"/>
  <c r="D68" i="19" s="1"/>
  <c r="BM69" i="2"/>
  <c r="D69" i="19" s="1"/>
  <c r="BM70" i="2"/>
  <c r="D70" i="19" s="1"/>
  <c r="BM71" i="2"/>
  <c r="D71" i="19" s="1"/>
  <c r="BM63" i="2"/>
  <c r="D63" i="19" s="1"/>
  <c r="BM64" i="2"/>
  <c r="D64" i="19" s="1"/>
  <c r="BM62" i="2"/>
  <c r="D62" i="19" s="1"/>
  <c r="BL3" i="2"/>
  <c r="C3" i="19" s="1"/>
  <c r="BL4" i="2"/>
  <c r="C4" i="19" s="1"/>
  <c r="BL5" i="2"/>
  <c r="C5" i="19" s="1"/>
  <c r="BL6" i="2"/>
  <c r="C6" i="19" s="1"/>
  <c r="BL7" i="2"/>
  <c r="C7" i="19" s="1"/>
  <c r="BL8" i="2"/>
  <c r="C8" i="19" s="1"/>
  <c r="BL9" i="2"/>
  <c r="C9" i="19" s="1"/>
  <c r="BL10" i="2"/>
  <c r="C10" i="19" s="1"/>
  <c r="BL11" i="2"/>
  <c r="C11" i="19" s="1"/>
  <c r="BL12" i="2"/>
  <c r="C12" i="19" s="1"/>
  <c r="BL13" i="2"/>
  <c r="C13" i="19" s="1"/>
  <c r="BL14" i="2"/>
  <c r="C14" i="19" s="1"/>
  <c r="BL15" i="2"/>
  <c r="C15" i="19" s="1"/>
  <c r="BL16" i="2"/>
  <c r="C16" i="19" s="1"/>
  <c r="BL17" i="2"/>
  <c r="C17" i="19" s="1"/>
  <c r="BL18" i="2"/>
  <c r="C18" i="19" s="1"/>
  <c r="BL19" i="2"/>
  <c r="C19" i="19" s="1"/>
  <c r="BL20" i="2"/>
  <c r="C20" i="19" s="1"/>
  <c r="BL21" i="2"/>
  <c r="C21" i="19" s="1"/>
  <c r="BL22" i="2"/>
  <c r="C22" i="19" s="1"/>
  <c r="BL23" i="2"/>
  <c r="C23" i="19" s="1"/>
  <c r="BL24" i="2"/>
  <c r="C24" i="19" s="1"/>
  <c r="BL25" i="2"/>
  <c r="C25" i="19" s="1"/>
  <c r="BL26" i="2"/>
  <c r="C26" i="19" s="1"/>
  <c r="BL27" i="2"/>
  <c r="C27" i="19" s="1"/>
  <c r="BL28" i="2"/>
  <c r="C28" i="19" s="1"/>
  <c r="BL29" i="2"/>
  <c r="C29" i="19" s="1"/>
  <c r="BL30" i="2"/>
  <c r="C30" i="19" s="1"/>
  <c r="BL31" i="2"/>
  <c r="C31" i="19" s="1"/>
  <c r="BL32" i="2"/>
  <c r="C32" i="19" s="1"/>
  <c r="BL33" i="2"/>
  <c r="C33" i="19" s="1"/>
  <c r="BL34" i="2"/>
  <c r="C34" i="19" s="1"/>
  <c r="BL35" i="2"/>
  <c r="C35" i="19" s="1"/>
  <c r="BL36" i="2"/>
  <c r="C36" i="19" s="1"/>
  <c r="BL37" i="2"/>
  <c r="C37" i="19" s="1"/>
  <c r="BL38" i="2"/>
  <c r="C38" i="19" s="1"/>
  <c r="BL39" i="2"/>
  <c r="C39" i="19" s="1"/>
  <c r="BL40" i="2"/>
  <c r="C40" i="19" s="1"/>
  <c r="BL41" i="2"/>
  <c r="C41" i="19" s="1"/>
  <c r="BL42" i="2"/>
  <c r="C42" i="19" s="1"/>
  <c r="BL43" i="2"/>
  <c r="C43" i="19" s="1"/>
  <c r="BL44" i="2"/>
  <c r="C44" i="19" s="1"/>
  <c r="BL45" i="2"/>
  <c r="C45" i="19" s="1"/>
  <c r="BL46" i="2"/>
  <c r="C46" i="19" s="1"/>
  <c r="BL47" i="2"/>
  <c r="C47" i="19" s="1"/>
  <c r="BL48" i="2"/>
  <c r="C48" i="19" s="1"/>
  <c r="BL49" i="2"/>
  <c r="C49" i="19" s="1"/>
  <c r="BL50" i="2"/>
  <c r="C50" i="19" s="1"/>
  <c r="BL51" i="2"/>
  <c r="C51" i="19" s="1"/>
  <c r="BL52" i="2"/>
  <c r="C52" i="19" s="1"/>
  <c r="BL53" i="2"/>
  <c r="C53" i="19" s="1"/>
  <c r="BL54" i="2"/>
  <c r="C54" i="19" s="1"/>
  <c r="BL55" i="2"/>
  <c r="C55" i="19" s="1"/>
  <c r="BL56" i="2"/>
  <c r="C56" i="19" s="1"/>
  <c r="BL57" i="2"/>
  <c r="C57" i="19" s="1"/>
  <c r="BL58" i="2"/>
  <c r="C58" i="19" s="1"/>
  <c r="BL59" i="2"/>
  <c r="C59" i="19" s="1"/>
  <c r="BL60" i="2"/>
  <c r="C60" i="19" s="1"/>
  <c r="BL61" i="2"/>
  <c r="C61" i="19" s="1"/>
  <c r="BL62" i="2"/>
  <c r="C62" i="19" s="1"/>
  <c r="BL63" i="2"/>
  <c r="C63" i="19" s="1"/>
  <c r="BL64" i="2"/>
  <c r="C64" i="19" s="1"/>
  <c r="BL65" i="2"/>
  <c r="C65" i="19" s="1"/>
  <c r="BL66" i="2"/>
  <c r="C66" i="19" s="1"/>
  <c r="BL67" i="2"/>
  <c r="C67" i="19" s="1"/>
  <c r="BL68" i="2"/>
  <c r="C68" i="19" s="1"/>
  <c r="BL69" i="2"/>
  <c r="C69" i="19" s="1"/>
  <c r="BL70" i="2"/>
  <c r="C70" i="19" s="1"/>
  <c r="BL71" i="2"/>
  <c r="C71" i="19" s="1"/>
  <c r="BL72" i="2"/>
  <c r="C72" i="19" s="1"/>
  <c r="BL73" i="2"/>
  <c r="C73" i="19" s="1"/>
  <c r="BL74" i="2"/>
  <c r="C74" i="19" s="1"/>
  <c r="BL75" i="2"/>
  <c r="C75" i="19" s="1"/>
  <c r="BL76" i="2"/>
  <c r="C76" i="19" s="1"/>
  <c r="BL77" i="2"/>
  <c r="C77" i="19" s="1"/>
  <c r="BL78" i="2"/>
  <c r="C78" i="19" s="1"/>
  <c r="BL79" i="2"/>
  <c r="C79" i="19" s="1"/>
  <c r="BL80" i="2"/>
  <c r="C80" i="19" s="1"/>
  <c r="BL81" i="2"/>
  <c r="C81" i="19" s="1"/>
  <c r="BL82" i="2"/>
  <c r="C82" i="19" s="1"/>
  <c r="BL83" i="2"/>
  <c r="C83" i="19" s="1"/>
  <c r="BL84" i="2"/>
  <c r="C84" i="19" s="1"/>
  <c r="BL85" i="2"/>
  <c r="C85" i="19" s="1"/>
  <c r="BL86" i="2"/>
  <c r="C86" i="19" s="1"/>
  <c r="BL87" i="2"/>
  <c r="C87" i="19" s="1"/>
  <c r="BL88" i="2"/>
  <c r="C88" i="19" s="1"/>
  <c r="BL89" i="2"/>
  <c r="C89" i="19" s="1"/>
  <c r="BL90" i="2"/>
  <c r="C90" i="19" s="1"/>
  <c r="BL91" i="2"/>
  <c r="C91" i="19" s="1"/>
  <c r="BL92" i="2"/>
  <c r="C92" i="19" s="1"/>
  <c r="BL93" i="2"/>
  <c r="C93" i="19" s="1"/>
  <c r="BL94" i="2"/>
  <c r="C94" i="19" s="1"/>
  <c r="BL95" i="2"/>
  <c r="C95" i="19" s="1"/>
  <c r="BL96" i="2"/>
  <c r="C96" i="19" s="1"/>
  <c r="BL97" i="2"/>
  <c r="C97" i="19" s="1"/>
  <c r="BL98" i="2"/>
  <c r="C98" i="19" s="1"/>
  <c r="BL99" i="2"/>
  <c r="C99" i="19" s="1"/>
  <c r="BL100" i="2"/>
  <c r="C100" i="19" s="1"/>
  <c r="BL101" i="2"/>
  <c r="C101" i="19" s="1"/>
  <c r="BL102" i="2"/>
  <c r="C102" i="19" s="1"/>
  <c r="BL103" i="2"/>
  <c r="C103" i="19" s="1"/>
  <c r="BL104" i="2"/>
  <c r="C104" i="19" s="1"/>
  <c r="BL105" i="2"/>
  <c r="C105" i="19" s="1"/>
  <c r="BL106" i="2"/>
  <c r="C106" i="19" s="1"/>
  <c r="BL107" i="2"/>
  <c r="C107" i="19" s="1"/>
  <c r="BL108" i="2"/>
  <c r="C108" i="19" s="1"/>
  <c r="BL109" i="2"/>
  <c r="C109" i="19" s="1"/>
  <c r="BL110" i="2"/>
  <c r="C110" i="19" s="1"/>
  <c r="BL111" i="2"/>
  <c r="C111" i="19" s="1"/>
  <c r="BL112" i="2"/>
  <c r="C112" i="19" s="1"/>
  <c r="BL113" i="2"/>
  <c r="C113" i="19" s="1"/>
  <c r="BL114" i="2"/>
  <c r="C114" i="19" s="1"/>
  <c r="BL115" i="2"/>
  <c r="C115" i="19" s="1"/>
  <c r="BL116" i="2"/>
  <c r="C116" i="19" s="1"/>
  <c r="BL117" i="2"/>
  <c r="C117" i="19" s="1"/>
  <c r="BL118" i="2"/>
  <c r="C118" i="19" s="1"/>
  <c r="BL119" i="2"/>
  <c r="C119" i="19" s="1"/>
  <c r="BL120" i="2"/>
  <c r="C120" i="19" s="1"/>
  <c r="BL121" i="2"/>
  <c r="C121" i="19" s="1"/>
  <c r="BL122" i="2"/>
  <c r="C122" i="19" s="1"/>
  <c r="BL123" i="2"/>
  <c r="C123" i="19" s="1"/>
  <c r="BL124" i="2"/>
  <c r="C124" i="19" s="1"/>
  <c r="BL125" i="2"/>
  <c r="C125" i="19" s="1"/>
  <c r="BL126" i="2"/>
  <c r="C126" i="19" s="1"/>
  <c r="BL127" i="2"/>
  <c r="C127" i="19" s="1"/>
  <c r="BL128" i="2"/>
  <c r="C128" i="19" s="1"/>
  <c r="BL129" i="2"/>
  <c r="C129" i="19" s="1"/>
  <c r="BL130" i="2"/>
  <c r="C130" i="19" s="1"/>
  <c r="BL131" i="2"/>
  <c r="C131" i="19" s="1"/>
  <c r="BL132" i="2"/>
  <c r="C132" i="19" s="1"/>
  <c r="BL133" i="2"/>
  <c r="C133" i="19" s="1"/>
  <c r="BL134" i="2"/>
  <c r="C134" i="19" s="1"/>
  <c r="BL135" i="2"/>
  <c r="C135" i="19" s="1"/>
  <c r="BL136" i="2"/>
  <c r="C136" i="19" s="1"/>
  <c r="BL137" i="2"/>
  <c r="C137" i="19" s="1"/>
  <c r="BL138" i="2"/>
  <c r="C138" i="19" s="1"/>
  <c r="BL139" i="2"/>
  <c r="C139" i="19" s="1"/>
  <c r="BL140" i="2"/>
  <c r="C140" i="19" s="1"/>
  <c r="BL141" i="2"/>
  <c r="C141" i="19" s="1"/>
  <c r="BL142" i="2"/>
  <c r="C142" i="19" s="1"/>
  <c r="BL143" i="2"/>
  <c r="C143" i="19" s="1"/>
  <c r="BL144" i="2"/>
  <c r="C144" i="19" s="1"/>
  <c r="BL145" i="2"/>
  <c r="C145" i="19" s="1"/>
  <c r="BL146" i="2"/>
  <c r="C146" i="19" s="1"/>
  <c r="BL147" i="2"/>
  <c r="C147" i="19" s="1"/>
  <c r="BL148" i="2"/>
  <c r="C148" i="19" s="1"/>
  <c r="BL149" i="2"/>
  <c r="C149" i="19" s="1"/>
  <c r="BL150" i="2"/>
  <c r="C150" i="19" s="1"/>
  <c r="BL151" i="2"/>
  <c r="C151" i="19" s="1"/>
  <c r="BL152" i="2"/>
  <c r="C152" i="19" s="1"/>
  <c r="BL153" i="2"/>
  <c r="C153" i="19" s="1"/>
  <c r="BL154" i="2"/>
  <c r="C154" i="19" s="1"/>
  <c r="BL155" i="2"/>
  <c r="C155" i="19" s="1"/>
  <c r="BL156" i="2"/>
  <c r="C156" i="19" s="1"/>
  <c r="BL157" i="2"/>
  <c r="C157" i="19" s="1"/>
  <c r="BL158" i="2"/>
  <c r="C158" i="19" s="1"/>
  <c r="BL159" i="2"/>
  <c r="C159" i="19" s="1"/>
  <c r="BL160" i="2"/>
  <c r="C160" i="19" s="1"/>
  <c r="BL161" i="2"/>
  <c r="C161" i="19" s="1"/>
  <c r="BL162" i="2"/>
  <c r="C162" i="19" s="1"/>
  <c r="BL163" i="2"/>
  <c r="C163" i="19" s="1"/>
  <c r="BL164" i="2"/>
  <c r="C164" i="19" s="1"/>
  <c r="BL165" i="2"/>
  <c r="C165" i="19" s="1"/>
  <c r="BL166" i="2"/>
  <c r="C166" i="19" s="1"/>
  <c r="BL167" i="2"/>
  <c r="C167" i="19" s="1"/>
  <c r="BL168" i="2"/>
  <c r="C168" i="19" s="1"/>
  <c r="BL169" i="2"/>
  <c r="C169" i="19" s="1"/>
  <c r="BL170" i="2"/>
  <c r="C170" i="19" s="1"/>
  <c r="BL171" i="2"/>
  <c r="C171" i="19" s="1"/>
  <c r="BL172" i="2"/>
  <c r="C172" i="19" s="1"/>
  <c r="BL173" i="2"/>
  <c r="C173" i="19" s="1"/>
  <c r="BL174" i="2"/>
  <c r="C174" i="19" s="1"/>
  <c r="BL175" i="2"/>
  <c r="C175" i="19" s="1"/>
  <c r="BL176" i="2"/>
  <c r="C176" i="19" s="1"/>
  <c r="BL177" i="2"/>
  <c r="C177" i="19" s="1"/>
  <c r="BL178" i="2"/>
  <c r="C178" i="19" s="1"/>
  <c r="BL179" i="2"/>
  <c r="C179" i="19" s="1"/>
  <c r="BL180" i="2"/>
  <c r="C180" i="19" s="1"/>
  <c r="BL181" i="2"/>
  <c r="C181" i="19" s="1"/>
  <c r="BL182" i="2"/>
  <c r="C182" i="19" s="1"/>
  <c r="BL183" i="2"/>
  <c r="C183" i="19" s="1"/>
  <c r="BL184" i="2"/>
  <c r="C184" i="19" s="1"/>
  <c r="BL185" i="2"/>
  <c r="C185" i="19" s="1"/>
  <c r="BL186" i="2"/>
  <c r="C186" i="19" s="1"/>
  <c r="BL187" i="2"/>
  <c r="C187" i="19" s="1"/>
  <c r="BL188" i="2"/>
  <c r="C188" i="19" s="1"/>
  <c r="BL189" i="2"/>
  <c r="C189" i="19" s="1"/>
  <c r="BL190" i="2"/>
  <c r="C190" i="19" s="1"/>
  <c r="BL191" i="2"/>
  <c r="C191" i="19" s="1"/>
  <c r="BL192" i="2"/>
  <c r="C192" i="19" s="1"/>
  <c r="BL193" i="2"/>
  <c r="C193" i="19" s="1"/>
  <c r="BL194" i="2"/>
  <c r="C194" i="19" s="1"/>
  <c r="BL195" i="2"/>
  <c r="C195" i="19" s="1"/>
  <c r="BL196" i="2"/>
  <c r="C196" i="19" s="1"/>
  <c r="BL197" i="2"/>
  <c r="C197" i="19" s="1"/>
  <c r="BL198" i="2"/>
  <c r="C198" i="19" s="1"/>
  <c r="BL199" i="2"/>
  <c r="C199" i="19" s="1"/>
  <c r="BL200" i="2"/>
  <c r="C200" i="19" s="1"/>
  <c r="BL201" i="2"/>
  <c r="C201" i="19" s="1"/>
  <c r="BL202" i="2"/>
  <c r="C202" i="19" s="1"/>
  <c r="BL203" i="2"/>
  <c r="C203" i="19" s="1"/>
  <c r="BL204" i="2"/>
  <c r="C204" i="19" s="1"/>
  <c r="BL205" i="2"/>
  <c r="C205" i="19" s="1"/>
  <c r="BL206" i="2"/>
  <c r="C206" i="19" s="1"/>
  <c r="BL207" i="2"/>
  <c r="C207" i="19" s="1"/>
  <c r="BL208" i="2"/>
  <c r="C208" i="19" s="1"/>
  <c r="BL209" i="2"/>
  <c r="C209" i="19" s="1"/>
  <c r="BL210" i="2"/>
  <c r="C210" i="19" s="1"/>
  <c r="BL211" i="2"/>
  <c r="C211" i="19" s="1"/>
  <c r="BL212" i="2"/>
  <c r="C212" i="19" s="1"/>
  <c r="BL213" i="2"/>
  <c r="C213" i="19" s="1"/>
  <c r="BL214" i="2"/>
  <c r="C214" i="19" s="1"/>
  <c r="BL215" i="2"/>
  <c r="C215" i="19" s="1"/>
  <c r="BL216" i="2"/>
  <c r="C216" i="19" s="1"/>
  <c r="BL217" i="2"/>
  <c r="C217" i="19" s="1"/>
  <c r="BL218" i="2"/>
  <c r="C218" i="19" s="1"/>
  <c r="BL219" i="2"/>
  <c r="C219" i="19" s="1"/>
  <c r="BL220" i="2"/>
  <c r="C220" i="19" s="1"/>
  <c r="BL221" i="2"/>
  <c r="C221" i="19" s="1"/>
  <c r="BL222" i="2"/>
  <c r="C222" i="19" s="1"/>
  <c r="BL223" i="2"/>
  <c r="C223" i="19" s="1"/>
  <c r="BL224" i="2"/>
  <c r="C224" i="19" s="1"/>
  <c r="BL225" i="2"/>
  <c r="C225" i="19" s="1"/>
  <c r="BL226" i="2"/>
  <c r="C226" i="19" s="1"/>
  <c r="BL227" i="2"/>
  <c r="C227" i="19" s="1"/>
  <c r="BL228" i="2"/>
  <c r="C228" i="19" s="1"/>
  <c r="BL229" i="2"/>
  <c r="C229" i="19" s="1"/>
  <c r="BL230" i="2"/>
  <c r="C230" i="19" s="1"/>
  <c r="BL231" i="2"/>
  <c r="C231" i="19" s="1"/>
  <c r="BL232" i="2"/>
  <c r="C232" i="19" s="1"/>
  <c r="BL233" i="2"/>
  <c r="C233" i="19" s="1"/>
  <c r="BL234" i="2"/>
  <c r="C234" i="19" s="1"/>
  <c r="BL235" i="2"/>
  <c r="C235" i="19" s="1"/>
  <c r="BL236" i="2"/>
  <c r="C236" i="19" s="1"/>
  <c r="BL237" i="2"/>
  <c r="C237" i="19" s="1"/>
  <c r="BL238" i="2"/>
  <c r="C238" i="19" s="1"/>
  <c r="BL239" i="2"/>
  <c r="C239" i="19" s="1"/>
  <c r="BL240" i="2"/>
  <c r="C240" i="19" s="1"/>
  <c r="BL241" i="2"/>
  <c r="C241" i="19" s="1"/>
  <c r="BL242" i="2"/>
  <c r="C242" i="19" s="1"/>
  <c r="BL243" i="2"/>
  <c r="C243" i="19" s="1"/>
  <c r="C244" i="19"/>
  <c r="BL245" i="2"/>
  <c r="C245" i="19" s="1"/>
  <c r="BL246" i="2"/>
  <c r="C246" i="19" s="1"/>
  <c r="BL247" i="2"/>
  <c r="C247" i="19" s="1"/>
  <c r="BL248" i="2"/>
  <c r="C248" i="19" s="1"/>
  <c r="BL249" i="2"/>
  <c r="C249" i="19" s="1"/>
  <c r="BL250" i="2"/>
  <c r="C250" i="19" s="1"/>
  <c r="BL251" i="2"/>
  <c r="C251" i="19" s="1"/>
  <c r="BL252" i="2"/>
  <c r="C252" i="19" s="1"/>
  <c r="BL253" i="2"/>
  <c r="C253" i="19" s="1"/>
  <c r="BL254" i="2"/>
  <c r="C254" i="19" s="1"/>
  <c r="BL255" i="2"/>
  <c r="C255" i="19" s="1"/>
  <c r="BL256" i="2"/>
  <c r="C256" i="19" s="1"/>
  <c r="BL257" i="2"/>
  <c r="C257" i="19" s="1"/>
  <c r="BL2" i="2"/>
  <c r="C2" i="19" s="1"/>
  <c r="HQ127" i="15" l="1"/>
  <c r="HR127" i="15" s="1"/>
  <c r="HQ128" i="15"/>
  <c r="HR128" i="15" s="1"/>
  <c r="HQ129" i="15"/>
  <c r="HR129" i="15" s="1"/>
  <c r="HQ130" i="15"/>
  <c r="HR130" i="15" s="1"/>
  <c r="HQ131" i="15"/>
  <c r="HR131" i="15" s="1"/>
  <c r="HQ132" i="15"/>
  <c r="HR132" i="15" s="1"/>
  <c r="HQ133" i="15"/>
  <c r="HR133" i="15" s="1"/>
  <c r="HQ134" i="15"/>
  <c r="HR134" i="15" s="1"/>
  <c r="HQ135" i="15"/>
  <c r="HR135" i="15" s="1"/>
  <c r="HQ111" i="15"/>
  <c r="HR111" i="15" s="1"/>
  <c r="HQ112" i="15"/>
  <c r="HR112" i="15" s="1"/>
  <c r="HQ113" i="15"/>
  <c r="HR113" i="15" s="1"/>
  <c r="HQ114" i="15"/>
  <c r="HR114" i="15" s="1"/>
  <c r="HQ115" i="15"/>
  <c r="HR115" i="15" s="1"/>
  <c r="HQ116" i="15"/>
  <c r="HR116" i="15" s="1"/>
  <c r="HQ117" i="15"/>
  <c r="HR117" i="15" s="1"/>
  <c r="HQ118" i="15"/>
  <c r="HR118" i="15" s="1"/>
  <c r="HQ119" i="15"/>
  <c r="HR119" i="15" s="1"/>
  <c r="HQ120" i="15"/>
  <c r="HR120" i="15" s="1"/>
  <c r="HQ121" i="15"/>
  <c r="HR121" i="15" s="1"/>
  <c r="HQ122" i="15"/>
  <c r="HR122" i="15" s="1"/>
  <c r="HQ123" i="15"/>
  <c r="HR123" i="15" s="1"/>
  <c r="HQ124" i="15"/>
  <c r="HR124" i="15" s="1"/>
  <c r="HQ125" i="15"/>
  <c r="HR125" i="15" s="1"/>
  <c r="HQ126" i="15"/>
  <c r="HR126" i="15" s="1"/>
  <c r="BI14" i="2" l="1"/>
  <c r="BK14" i="2" s="1"/>
  <c r="B14" i="19" s="1"/>
  <c r="BI15" i="2"/>
  <c r="BK15" i="2" s="1"/>
  <c r="B15" i="19" s="1"/>
  <c r="BI16" i="2"/>
  <c r="BK16" i="2" s="1"/>
  <c r="B16" i="19" s="1"/>
  <c r="BI17" i="2"/>
  <c r="BK17" i="2" s="1"/>
  <c r="B17" i="19" s="1"/>
  <c r="BI18" i="2"/>
  <c r="BK18" i="2" s="1"/>
  <c r="B18" i="19" s="1"/>
  <c r="BI19" i="2"/>
  <c r="BK19" i="2" s="1"/>
  <c r="B19" i="19" s="1"/>
  <c r="BI20" i="2"/>
  <c r="BK20" i="2" s="1"/>
  <c r="B20" i="19" s="1"/>
  <c r="BI21" i="2"/>
  <c r="BK21" i="2" s="1"/>
  <c r="B21" i="19" s="1"/>
  <c r="BI22" i="2"/>
  <c r="BK22" i="2" s="1"/>
  <c r="B22" i="19" s="1"/>
  <c r="BI23" i="2"/>
  <c r="BK23" i="2" s="1"/>
  <c r="B23" i="19" s="1"/>
  <c r="BI24" i="2"/>
  <c r="BK24" i="2" s="1"/>
  <c r="B24" i="19" s="1"/>
  <c r="BI25" i="2"/>
  <c r="BK25" i="2" s="1"/>
  <c r="B25" i="19" s="1"/>
  <c r="BI26" i="2"/>
  <c r="BK26" i="2" s="1"/>
  <c r="B26" i="19" s="1"/>
  <c r="BI27" i="2"/>
  <c r="BK27" i="2" s="1"/>
  <c r="B27" i="19" s="1"/>
  <c r="BI28" i="2"/>
  <c r="BK28" i="2" s="1"/>
  <c r="B28" i="19" s="1"/>
  <c r="BI29" i="2"/>
  <c r="BK29" i="2" s="1"/>
  <c r="B29" i="19" s="1"/>
  <c r="BI30" i="2"/>
  <c r="BK30" i="2" s="1"/>
  <c r="B30" i="19" s="1"/>
  <c r="BI31" i="2"/>
  <c r="BK31" i="2" s="1"/>
  <c r="B31" i="19" s="1"/>
  <c r="BI32" i="2"/>
  <c r="BK32" i="2" s="1"/>
  <c r="B32" i="19" s="1"/>
  <c r="BI33" i="2"/>
  <c r="BK33" i="2" s="1"/>
  <c r="B33" i="19" s="1"/>
  <c r="BI34" i="2"/>
  <c r="BK34" i="2" s="1"/>
  <c r="B34" i="19" s="1"/>
  <c r="BI35" i="2"/>
  <c r="BK35" i="2" s="1"/>
  <c r="B35" i="19" s="1"/>
  <c r="BI36" i="2"/>
  <c r="BK36" i="2" s="1"/>
  <c r="B36" i="19" s="1"/>
  <c r="BI37" i="2"/>
  <c r="BK37" i="2" s="1"/>
  <c r="B37" i="19" s="1"/>
  <c r="BI38" i="2"/>
  <c r="BK38" i="2" s="1"/>
  <c r="B38" i="19" s="1"/>
  <c r="BI39" i="2"/>
  <c r="BK39" i="2" s="1"/>
  <c r="B39" i="19" s="1"/>
  <c r="BI40" i="2"/>
  <c r="BK40" i="2" s="1"/>
  <c r="B40" i="19" s="1"/>
  <c r="BI41" i="2"/>
  <c r="BK41" i="2" s="1"/>
  <c r="B41" i="19" s="1"/>
  <c r="BI42" i="2"/>
  <c r="BK42" i="2" s="1"/>
  <c r="B42" i="19" s="1"/>
  <c r="BI43" i="2"/>
  <c r="BK43" i="2" s="1"/>
  <c r="B43" i="19" s="1"/>
  <c r="BI44" i="2"/>
  <c r="BK44" i="2" s="1"/>
  <c r="B44" i="19" s="1"/>
  <c r="BI45" i="2"/>
  <c r="BK45" i="2" s="1"/>
  <c r="B45" i="19" s="1"/>
  <c r="BI46" i="2"/>
  <c r="BK46" i="2" s="1"/>
  <c r="B46" i="19" s="1"/>
  <c r="BI47" i="2"/>
  <c r="BK47" i="2" s="1"/>
  <c r="B47" i="19" s="1"/>
  <c r="BI48" i="2"/>
  <c r="BK48" i="2" s="1"/>
  <c r="B48" i="19" s="1"/>
  <c r="BI49" i="2"/>
  <c r="BK49" i="2" s="1"/>
  <c r="B49" i="19" s="1"/>
  <c r="BI50" i="2"/>
  <c r="BK50" i="2" s="1"/>
  <c r="B50" i="19" s="1"/>
  <c r="BI51" i="2"/>
  <c r="BK51" i="2" s="1"/>
  <c r="B51" i="19" s="1"/>
  <c r="BI52" i="2"/>
  <c r="BK52" i="2" s="1"/>
  <c r="B52" i="19" s="1"/>
  <c r="BI53" i="2"/>
  <c r="BK53" i="2" s="1"/>
  <c r="B53" i="19" s="1"/>
  <c r="BI54" i="2"/>
  <c r="BK54" i="2" s="1"/>
  <c r="B54" i="19" s="1"/>
  <c r="BI55" i="2"/>
  <c r="BK55" i="2" s="1"/>
  <c r="B55" i="19" s="1"/>
  <c r="BI56" i="2"/>
  <c r="BK56" i="2" s="1"/>
  <c r="B56" i="19" s="1"/>
  <c r="BI57" i="2"/>
  <c r="BK57" i="2" s="1"/>
  <c r="B57" i="19" s="1"/>
  <c r="BI58" i="2"/>
  <c r="BK58" i="2" s="1"/>
  <c r="B58" i="19" s="1"/>
  <c r="BI59" i="2"/>
  <c r="BK59" i="2" s="1"/>
  <c r="B59" i="19" s="1"/>
  <c r="BI60" i="2"/>
  <c r="BK60" i="2" s="1"/>
  <c r="B60" i="19" s="1"/>
  <c r="BI61" i="2"/>
  <c r="BK61" i="2" s="1"/>
  <c r="B61" i="19" s="1"/>
  <c r="BI62" i="2"/>
  <c r="BK62" i="2" s="1"/>
  <c r="B62" i="19" s="1"/>
  <c r="BI63" i="2"/>
  <c r="BK63" i="2" s="1"/>
  <c r="B63" i="19" s="1"/>
  <c r="BI64" i="2"/>
  <c r="BK64" i="2" s="1"/>
  <c r="B64" i="19" s="1"/>
  <c r="BI65" i="2"/>
  <c r="BK65" i="2" s="1"/>
  <c r="B65" i="19" s="1"/>
  <c r="BI66" i="2"/>
  <c r="BK66" i="2" s="1"/>
  <c r="B66" i="19" s="1"/>
  <c r="BI67" i="2"/>
  <c r="BK67" i="2" s="1"/>
  <c r="B67" i="19" s="1"/>
  <c r="BI68" i="2"/>
  <c r="BK68" i="2" s="1"/>
  <c r="B68" i="19" s="1"/>
  <c r="BI69" i="2"/>
  <c r="BK69" i="2" s="1"/>
  <c r="B69" i="19" s="1"/>
  <c r="BI70" i="2"/>
  <c r="BK70" i="2" s="1"/>
  <c r="B70" i="19" s="1"/>
  <c r="BI71" i="2"/>
  <c r="BK71" i="2" s="1"/>
  <c r="B71" i="19" s="1"/>
  <c r="BI72" i="2"/>
  <c r="BK72" i="2" s="1"/>
  <c r="B72" i="19" s="1"/>
  <c r="BI73" i="2"/>
  <c r="BK73" i="2" s="1"/>
  <c r="B73" i="19" s="1"/>
  <c r="BI74" i="2"/>
  <c r="BK74" i="2" s="1"/>
  <c r="B74" i="19" s="1"/>
  <c r="BI75" i="2"/>
  <c r="BK75" i="2" s="1"/>
  <c r="B75" i="19" s="1"/>
  <c r="BI76" i="2"/>
  <c r="BK76" i="2" s="1"/>
  <c r="B76" i="19" s="1"/>
  <c r="BI77" i="2"/>
  <c r="BK77" i="2" s="1"/>
  <c r="B77" i="19" s="1"/>
  <c r="BI78" i="2"/>
  <c r="BK78" i="2" s="1"/>
  <c r="B78" i="19" s="1"/>
  <c r="BI79" i="2"/>
  <c r="BK79" i="2" s="1"/>
  <c r="B79" i="19" s="1"/>
  <c r="BI80" i="2"/>
  <c r="BK80" i="2" s="1"/>
  <c r="B80" i="19" s="1"/>
  <c r="BI81" i="2"/>
  <c r="BK81" i="2" s="1"/>
  <c r="B81" i="19" s="1"/>
  <c r="BI82" i="2"/>
  <c r="BK82" i="2" s="1"/>
  <c r="B82" i="19" s="1"/>
  <c r="BI83" i="2"/>
  <c r="BK83" i="2" s="1"/>
  <c r="B83" i="19" s="1"/>
  <c r="BI84" i="2"/>
  <c r="BK84" i="2" s="1"/>
  <c r="B84" i="19" s="1"/>
  <c r="BI85" i="2"/>
  <c r="BK85" i="2" s="1"/>
  <c r="B85" i="19" s="1"/>
  <c r="BI86" i="2"/>
  <c r="BK86" i="2" s="1"/>
  <c r="B86" i="19" s="1"/>
  <c r="BI87" i="2"/>
  <c r="BK87" i="2" s="1"/>
  <c r="B87" i="19" s="1"/>
  <c r="BI88" i="2"/>
  <c r="BK88" i="2" s="1"/>
  <c r="B88" i="19" s="1"/>
  <c r="BI89" i="2"/>
  <c r="BK89" i="2" s="1"/>
  <c r="B89" i="19" s="1"/>
  <c r="BI90" i="2"/>
  <c r="BK90" i="2" s="1"/>
  <c r="B90" i="19" s="1"/>
  <c r="BI91" i="2"/>
  <c r="BK91" i="2" s="1"/>
  <c r="B91" i="19" s="1"/>
  <c r="BI92" i="2"/>
  <c r="BK92" i="2" s="1"/>
  <c r="B92" i="19" s="1"/>
  <c r="BI93" i="2"/>
  <c r="BK93" i="2" s="1"/>
  <c r="B93" i="19" s="1"/>
  <c r="BI94" i="2"/>
  <c r="BK94" i="2" s="1"/>
  <c r="B94" i="19" s="1"/>
  <c r="BI95" i="2"/>
  <c r="BK95" i="2" s="1"/>
  <c r="B95" i="19" s="1"/>
  <c r="BI96" i="2"/>
  <c r="BK96" i="2" s="1"/>
  <c r="B96" i="19" s="1"/>
  <c r="BI97" i="2"/>
  <c r="BK97" i="2" s="1"/>
  <c r="B97" i="19" s="1"/>
  <c r="BI98" i="2"/>
  <c r="BK98" i="2" s="1"/>
  <c r="B98" i="19" s="1"/>
  <c r="BI99" i="2"/>
  <c r="BK99" i="2" s="1"/>
  <c r="B99" i="19" s="1"/>
  <c r="BI100" i="2"/>
  <c r="BK100" i="2" s="1"/>
  <c r="B100" i="19" s="1"/>
  <c r="BI101" i="2"/>
  <c r="BK101" i="2" s="1"/>
  <c r="B101" i="19" s="1"/>
  <c r="BI102" i="2"/>
  <c r="BK102" i="2" s="1"/>
  <c r="B102" i="19" s="1"/>
  <c r="BI103" i="2"/>
  <c r="BK103" i="2" s="1"/>
  <c r="B103" i="19" s="1"/>
  <c r="BI104" i="2"/>
  <c r="BK104" i="2" s="1"/>
  <c r="B104" i="19" s="1"/>
  <c r="BI105" i="2"/>
  <c r="BK105" i="2" s="1"/>
  <c r="B105" i="19" s="1"/>
  <c r="BI106" i="2"/>
  <c r="BK106" i="2" s="1"/>
  <c r="B106" i="19" s="1"/>
  <c r="BI107" i="2"/>
  <c r="BK107" i="2" s="1"/>
  <c r="B107" i="19" s="1"/>
  <c r="BI108" i="2"/>
  <c r="BK108" i="2" s="1"/>
  <c r="B108" i="19" s="1"/>
  <c r="BI109" i="2"/>
  <c r="BK109" i="2" s="1"/>
  <c r="B109" i="19" s="1"/>
  <c r="BI110" i="2"/>
  <c r="BK110" i="2" s="1"/>
  <c r="B110" i="19" s="1"/>
  <c r="BI111" i="2"/>
  <c r="BK111" i="2" s="1"/>
  <c r="B111" i="19" s="1"/>
  <c r="BI112" i="2"/>
  <c r="BK112" i="2" s="1"/>
  <c r="B112" i="19" s="1"/>
  <c r="BI113" i="2"/>
  <c r="BK113" i="2" s="1"/>
  <c r="B113" i="19" s="1"/>
  <c r="BI114" i="2"/>
  <c r="BK114" i="2" s="1"/>
  <c r="B114" i="19" s="1"/>
  <c r="BI115" i="2"/>
  <c r="BK115" i="2" s="1"/>
  <c r="B115" i="19" s="1"/>
  <c r="BI116" i="2"/>
  <c r="BK116" i="2" s="1"/>
  <c r="B116" i="19" s="1"/>
  <c r="BI117" i="2"/>
  <c r="BK117" i="2" s="1"/>
  <c r="B117" i="19" s="1"/>
  <c r="BI118" i="2"/>
  <c r="BK118" i="2" s="1"/>
  <c r="B118" i="19" s="1"/>
  <c r="BI119" i="2"/>
  <c r="BK119" i="2" s="1"/>
  <c r="B119" i="19" s="1"/>
  <c r="BI120" i="2"/>
  <c r="BK120" i="2" s="1"/>
  <c r="B120" i="19" s="1"/>
  <c r="BI121" i="2"/>
  <c r="BK121" i="2" s="1"/>
  <c r="B121" i="19" s="1"/>
  <c r="BI122" i="2"/>
  <c r="BK122" i="2" s="1"/>
  <c r="B122" i="19" s="1"/>
  <c r="BI123" i="2"/>
  <c r="BK123" i="2" s="1"/>
  <c r="B123" i="19" s="1"/>
  <c r="BI124" i="2"/>
  <c r="BK124" i="2" s="1"/>
  <c r="B124" i="19" s="1"/>
  <c r="BI125" i="2"/>
  <c r="BK125" i="2" s="1"/>
  <c r="B125" i="19" s="1"/>
  <c r="BI126" i="2"/>
  <c r="BK126" i="2" s="1"/>
  <c r="B126" i="19" s="1"/>
  <c r="BI127" i="2"/>
  <c r="BK127" i="2" s="1"/>
  <c r="B127" i="19" s="1"/>
  <c r="BI128" i="2"/>
  <c r="BK128" i="2" s="1"/>
  <c r="B128" i="19" s="1"/>
  <c r="BI129" i="2"/>
  <c r="BK129" i="2" s="1"/>
  <c r="B129" i="19" s="1"/>
  <c r="BI130" i="2"/>
  <c r="BK130" i="2" s="1"/>
  <c r="B130" i="19" s="1"/>
  <c r="BI131" i="2"/>
  <c r="BK131" i="2" s="1"/>
  <c r="B131" i="19" s="1"/>
  <c r="BI132" i="2"/>
  <c r="BK132" i="2" s="1"/>
  <c r="B132" i="19" s="1"/>
  <c r="BI133" i="2"/>
  <c r="BK133" i="2" s="1"/>
  <c r="B133" i="19" s="1"/>
  <c r="BI134" i="2"/>
  <c r="BK134" i="2" s="1"/>
  <c r="B134" i="19" s="1"/>
  <c r="BI135" i="2"/>
  <c r="BK135" i="2" s="1"/>
  <c r="B135" i="19" s="1"/>
  <c r="BI136" i="2"/>
  <c r="BK136" i="2" s="1"/>
  <c r="B136" i="19" s="1"/>
  <c r="BI137" i="2"/>
  <c r="BK137" i="2" s="1"/>
  <c r="B137" i="19" s="1"/>
  <c r="BI138" i="2"/>
  <c r="BK138" i="2" s="1"/>
  <c r="B138" i="19" s="1"/>
  <c r="BI139" i="2"/>
  <c r="BK139" i="2" s="1"/>
  <c r="B139" i="19" s="1"/>
  <c r="BI140" i="2"/>
  <c r="BK140" i="2" s="1"/>
  <c r="B140" i="19" s="1"/>
  <c r="BI141" i="2"/>
  <c r="BK141" i="2" s="1"/>
  <c r="B141" i="19" s="1"/>
  <c r="BI142" i="2"/>
  <c r="BK142" i="2" s="1"/>
  <c r="B142" i="19" s="1"/>
  <c r="BI143" i="2"/>
  <c r="BK143" i="2" s="1"/>
  <c r="B143" i="19" s="1"/>
  <c r="BI144" i="2"/>
  <c r="BK144" i="2" s="1"/>
  <c r="B144" i="19" s="1"/>
  <c r="BI145" i="2"/>
  <c r="BK145" i="2" s="1"/>
  <c r="B145" i="19" s="1"/>
  <c r="BI146" i="2"/>
  <c r="BK146" i="2" s="1"/>
  <c r="B146" i="19" s="1"/>
  <c r="BI147" i="2"/>
  <c r="BK147" i="2" s="1"/>
  <c r="B147" i="19" s="1"/>
  <c r="BI148" i="2"/>
  <c r="BK148" i="2" s="1"/>
  <c r="B148" i="19" s="1"/>
  <c r="BI149" i="2"/>
  <c r="BK149" i="2" s="1"/>
  <c r="B149" i="19" s="1"/>
  <c r="BI150" i="2"/>
  <c r="BK150" i="2" s="1"/>
  <c r="B150" i="19" s="1"/>
  <c r="BI151" i="2"/>
  <c r="BK151" i="2" s="1"/>
  <c r="B151" i="19" s="1"/>
  <c r="BI152" i="2"/>
  <c r="BK152" i="2" s="1"/>
  <c r="B152" i="19" s="1"/>
  <c r="BI153" i="2"/>
  <c r="BK153" i="2" s="1"/>
  <c r="B153" i="19" s="1"/>
  <c r="BI154" i="2"/>
  <c r="BK154" i="2" s="1"/>
  <c r="B154" i="19" s="1"/>
  <c r="BI155" i="2"/>
  <c r="BK155" i="2" s="1"/>
  <c r="B155" i="19" s="1"/>
  <c r="BI156" i="2"/>
  <c r="BK156" i="2" s="1"/>
  <c r="B156" i="19" s="1"/>
  <c r="BI157" i="2"/>
  <c r="BK157" i="2" s="1"/>
  <c r="B157" i="19" s="1"/>
  <c r="BI158" i="2"/>
  <c r="BK158" i="2" s="1"/>
  <c r="B158" i="19" s="1"/>
  <c r="BI159" i="2"/>
  <c r="BK159" i="2" s="1"/>
  <c r="B159" i="19" s="1"/>
  <c r="BI160" i="2"/>
  <c r="BK160" i="2" s="1"/>
  <c r="B160" i="19" s="1"/>
  <c r="BI161" i="2"/>
  <c r="BK161" i="2" s="1"/>
  <c r="B161" i="19" s="1"/>
  <c r="BI162" i="2"/>
  <c r="BK162" i="2" s="1"/>
  <c r="B162" i="19" s="1"/>
  <c r="BI163" i="2"/>
  <c r="BK163" i="2" s="1"/>
  <c r="B163" i="19" s="1"/>
  <c r="BI164" i="2"/>
  <c r="BK164" i="2" s="1"/>
  <c r="B164" i="19" s="1"/>
  <c r="BI165" i="2"/>
  <c r="BK165" i="2" s="1"/>
  <c r="B165" i="19" s="1"/>
  <c r="BI166" i="2"/>
  <c r="BK166" i="2" s="1"/>
  <c r="B166" i="19" s="1"/>
  <c r="BI167" i="2"/>
  <c r="BK167" i="2" s="1"/>
  <c r="B167" i="19" s="1"/>
  <c r="BI168" i="2"/>
  <c r="BK168" i="2" s="1"/>
  <c r="B168" i="19" s="1"/>
  <c r="BI169" i="2"/>
  <c r="BK169" i="2" s="1"/>
  <c r="B169" i="19" s="1"/>
  <c r="BI170" i="2"/>
  <c r="BK170" i="2" s="1"/>
  <c r="B170" i="19" s="1"/>
  <c r="BI171" i="2"/>
  <c r="BK171" i="2" s="1"/>
  <c r="B171" i="19" s="1"/>
  <c r="BI172" i="2"/>
  <c r="BK172" i="2" s="1"/>
  <c r="B172" i="19" s="1"/>
  <c r="BI173" i="2"/>
  <c r="BK173" i="2" s="1"/>
  <c r="B173" i="19" s="1"/>
  <c r="BI174" i="2"/>
  <c r="BK174" i="2" s="1"/>
  <c r="B174" i="19" s="1"/>
  <c r="BI175" i="2"/>
  <c r="BK175" i="2" s="1"/>
  <c r="B175" i="19" s="1"/>
  <c r="BI176" i="2"/>
  <c r="BK176" i="2" s="1"/>
  <c r="B176" i="19" s="1"/>
  <c r="BI177" i="2"/>
  <c r="BK177" i="2" s="1"/>
  <c r="B177" i="19" s="1"/>
  <c r="BI178" i="2"/>
  <c r="BK178" i="2" s="1"/>
  <c r="B178" i="19" s="1"/>
  <c r="BI179" i="2"/>
  <c r="BK179" i="2" s="1"/>
  <c r="B179" i="19" s="1"/>
  <c r="BI180" i="2"/>
  <c r="BK180" i="2" s="1"/>
  <c r="B180" i="19" s="1"/>
  <c r="BI181" i="2"/>
  <c r="BK181" i="2" s="1"/>
  <c r="B181" i="19" s="1"/>
  <c r="BI182" i="2"/>
  <c r="BK182" i="2" s="1"/>
  <c r="B182" i="19" s="1"/>
  <c r="BI183" i="2"/>
  <c r="BK183" i="2" s="1"/>
  <c r="B183" i="19" s="1"/>
  <c r="BI184" i="2"/>
  <c r="BK184" i="2" s="1"/>
  <c r="B184" i="19" s="1"/>
  <c r="BI185" i="2"/>
  <c r="BK185" i="2" s="1"/>
  <c r="B185" i="19" s="1"/>
  <c r="BI186" i="2"/>
  <c r="BK186" i="2" s="1"/>
  <c r="B186" i="19" s="1"/>
  <c r="BI187" i="2"/>
  <c r="BK187" i="2" s="1"/>
  <c r="B187" i="19" s="1"/>
  <c r="BI188" i="2"/>
  <c r="BK188" i="2" s="1"/>
  <c r="B188" i="19" s="1"/>
  <c r="BI189" i="2"/>
  <c r="BK189" i="2" s="1"/>
  <c r="B189" i="19" s="1"/>
  <c r="BI190" i="2"/>
  <c r="BK190" i="2" s="1"/>
  <c r="B190" i="19" s="1"/>
  <c r="BI191" i="2"/>
  <c r="BK191" i="2" s="1"/>
  <c r="B191" i="19" s="1"/>
  <c r="BI192" i="2"/>
  <c r="BK192" i="2" s="1"/>
  <c r="B192" i="19" s="1"/>
  <c r="BI193" i="2"/>
  <c r="BK193" i="2" s="1"/>
  <c r="B193" i="19" s="1"/>
  <c r="BI194" i="2"/>
  <c r="BK194" i="2" s="1"/>
  <c r="B194" i="19" s="1"/>
  <c r="BI195" i="2"/>
  <c r="BK195" i="2" s="1"/>
  <c r="B195" i="19" s="1"/>
  <c r="BI196" i="2"/>
  <c r="BK196" i="2" s="1"/>
  <c r="B196" i="19" s="1"/>
  <c r="BI197" i="2"/>
  <c r="BK197" i="2" s="1"/>
  <c r="B197" i="19" s="1"/>
  <c r="BI198" i="2"/>
  <c r="BK198" i="2" s="1"/>
  <c r="B198" i="19" s="1"/>
  <c r="BI199" i="2"/>
  <c r="BK199" i="2" s="1"/>
  <c r="B199" i="19" s="1"/>
  <c r="BI200" i="2"/>
  <c r="BK200" i="2" s="1"/>
  <c r="B200" i="19" s="1"/>
  <c r="BI201" i="2"/>
  <c r="BK201" i="2" s="1"/>
  <c r="B201" i="19" s="1"/>
  <c r="BI202" i="2"/>
  <c r="BK202" i="2" s="1"/>
  <c r="B202" i="19" s="1"/>
  <c r="BI203" i="2"/>
  <c r="BK203" i="2" s="1"/>
  <c r="B203" i="19" s="1"/>
  <c r="BI204" i="2"/>
  <c r="BK204" i="2" s="1"/>
  <c r="B204" i="19" s="1"/>
  <c r="BI205" i="2"/>
  <c r="BK205" i="2" s="1"/>
  <c r="B205" i="19" s="1"/>
  <c r="BI206" i="2"/>
  <c r="BK206" i="2" s="1"/>
  <c r="B206" i="19" s="1"/>
  <c r="BI207" i="2"/>
  <c r="BK207" i="2" s="1"/>
  <c r="B207" i="19" s="1"/>
  <c r="BI208" i="2"/>
  <c r="BK208" i="2" s="1"/>
  <c r="B208" i="19" s="1"/>
  <c r="BI209" i="2"/>
  <c r="BK209" i="2" s="1"/>
  <c r="B209" i="19" s="1"/>
  <c r="BI210" i="2"/>
  <c r="BK210" i="2" s="1"/>
  <c r="B210" i="19" s="1"/>
  <c r="BI211" i="2"/>
  <c r="BK211" i="2" s="1"/>
  <c r="B211" i="19" s="1"/>
  <c r="BI212" i="2"/>
  <c r="BK212" i="2" s="1"/>
  <c r="B212" i="19" s="1"/>
  <c r="BI213" i="2"/>
  <c r="BK213" i="2" s="1"/>
  <c r="B213" i="19" s="1"/>
  <c r="BI214" i="2"/>
  <c r="BK214" i="2" s="1"/>
  <c r="B214" i="19" s="1"/>
  <c r="BI215" i="2"/>
  <c r="BK215" i="2" s="1"/>
  <c r="B215" i="19" s="1"/>
  <c r="BI216" i="2"/>
  <c r="BK216" i="2" s="1"/>
  <c r="B216" i="19" s="1"/>
  <c r="BI217" i="2"/>
  <c r="BK217" i="2" s="1"/>
  <c r="B217" i="19" s="1"/>
  <c r="BI218" i="2"/>
  <c r="BK218" i="2" s="1"/>
  <c r="B218" i="19" s="1"/>
  <c r="BI219" i="2"/>
  <c r="BK219" i="2" s="1"/>
  <c r="B219" i="19" s="1"/>
  <c r="BI220" i="2"/>
  <c r="BK220" i="2" s="1"/>
  <c r="B220" i="19" s="1"/>
  <c r="BI221" i="2"/>
  <c r="BK221" i="2" s="1"/>
  <c r="B221" i="19" s="1"/>
  <c r="BI222" i="2"/>
  <c r="BK222" i="2" s="1"/>
  <c r="B222" i="19" s="1"/>
  <c r="BI223" i="2"/>
  <c r="BK223" i="2" s="1"/>
  <c r="B223" i="19" s="1"/>
  <c r="BI224" i="2"/>
  <c r="BK224" i="2" s="1"/>
  <c r="B224" i="19" s="1"/>
  <c r="BI225" i="2"/>
  <c r="BK225" i="2" s="1"/>
  <c r="B225" i="19" s="1"/>
  <c r="BI226" i="2"/>
  <c r="BK226" i="2" s="1"/>
  <c r="B226" i="19" s="1"/>
  <c r="BI227" i="2"/>
  <c r="BK227" i="2" s="1"/>
  <c r="B227" i="19" s="1"/>
  <c r="BI228" i="2"/>
  <c r="BK228" i="2" s="1"/>
  <c r="B228" i="19" s="1"/>
  <c r="BI229" i="2"/>
  <c r="BK229" i="2" s="1"/>
  <c r="B229" i="19" s="1"/>
  <c r="BI230" i="2"/>
  <c r="BK230" i="2" s="1"/>
  <c r="B230" i="19" s="1"/>
  <c r="BI231" i="2"/>
  <c r="BK231" i="2" s="1"/>
  <c r="B231" i="19" s="1"/>
  <c r="BI232" i="2"/>
  <c r="BK232" i="2" s="1"/>
  <c r="B232" i="19" s="1"/>
  <c r="BI233" i="2"/>
  <c r="BK233" i="2" s="1"/>
  <c r="B233" i="19" s="1"/>
  <c r="BI234" i="2"/>
  <c r="BK234" i="2" s="1"/>
  <c r="B234" i="19" s="1"/>
  <c r="BI235" i="2"/>
  <c r="BK235" i="2" s="1"/>
  <c r="B235" i="19" s="1"/>
  <c r="BI236" i="2"/>
  <c r="BK236" i="2" s="1"/>
  <c r="B236" i="19" s="1"/>
  <c r="BI237" i="2"/>
  <c r="BK237" i="2" s="1"/>
  <c r="B237" i="19" s="1"/>
  <c r="BI238" i="2"/>
  <c r="BK238" i="2" s="1"/>
  <c r="B238" i="19" s="1"/>
  <c r="BI239" i="2"/>
  <c r="BK239" i="2" s="1"/>
  <c r="B239" i="19" s="1"/>
  <c r="BI240" i="2"/>
  <c r="BK240" i="2" s="1"/>
  <c r="B240" i="19" s="1"/>
  <c r="BI241" i="2"/>
  <c r="BK241" i="2" s="1"/>
  <c r="B241" i="19" s="1"/>
  <c r="BI242" i="2"/>
  <c r="BK242" i="2" s="1"/>
  <c r="B242" i="19" s="1"/>
  <c r="BI243" i="2"/>
  <c r="BK243" i="2" s="1"/>
  <c r="B243" i="19" s="1"/>
  <c r="B244" i="19"/>
  <c r="BI245" i="2"/>
  <c r="BK245" i="2" s="1"/>
  <c r="B245" i="19" s="1"/>
  <c r="BI246" i="2"/>
  <c r="BK246" i="2" s="1"/>
  <c r="B246" i="19" s="1"/>
  <c r="BI247" i="2"/>
  <c r="BK247" i="2" s="1"/>
  <c r="B247" i="19" s="1"/>
  <c r="BI248" i="2"/>
  <c r="BK248" i="2" s="1"/>
  <c r="B248" i="19" s="1"/>
  <c r="BI249" i="2"/>
  <c r="BK249" i="2" s="1"/>
  <c r="B249" i="19" s="1"/>
  <c r="BI250" i="2"/>
  <c r="BK250" i="2" s="1"/>
  <c r="B250" i="19" s="1"/>
  <c r="BI251" i="2"/>
  <c r="BK251" i="2" s="1"/>
  <c r="B251" i="19" s="1"/>
  <c r="BI252" i="2"/>
  <c r="BK252" i="2" s="1"/>
  <c r="B252" i="19" s="1"/>
  <c r="BI253" i="2"/>
  <c r="BK253" i="2" s="1"/>
  <c r="B253" i="19" s="1"/>
  <c r="BI254" i="2"/>
  <c r="BK254" i="2" s="1"/>
  <c r="B254" i="19" s="1"/>
  <c r="BI255" i="2"/>
  <c r="BK255" i="2" s="1"/>
  <c r="B255" i="19" s="1"/>
  <c r="BI256" i="2"/>
  <c r="BK256" i="2" s="1"/>
  <c r="B256" i="19" s="1"/>
  <c r="BI257" i="2"/>
  <c r="BK257" i="2" s="1"/>
  <c r="B257" i="19" s="1"/>
  <c r="BI258" i="2"/>
  <c r="BK258" i="2" s="1"/>
  <c r="B258" i="19" s="1"/>
  <c r="BI259" i="2"/>
  <c r="BK259" i="2" s="1"/>
  <c r="B259" i="19" s="1"/>
  <c r="BI260" i="2"/>
  <c r="BK260" i="2" s="1"/>
  <c r="B260" i="19" s="1"/>
  <c r="BI261" i="2"/>
  <c r="BK261" i="2" s="1"/>
  <c r="B261" i="19" s="1"/>
  <c r="BI262" i="2"/>
  <c r="BK262" i="2" s="1"/>
  <c r="B262" i="19" s="1"/>
  <c r="BI263" i="2"/>
  <c r="BK263" i="2" s="1"/>
  <c r="B263" i="19" s="1"/>
  <c r="BI264" i="2"/>
  <c r="BK264" i="2" s="1"/>
  <c r="B264" i="19" s="1"/>
  <c r="BI265" i="2"/>
  <c r="BK265" i="2" s="1"/>
  <c r="B265" i="19" s="1"/>
  <c r="BI266" i="2"/>
  <c r="BK266" i="2" s="1"/>
  <c r="B266" i="19" s="1"/>
  <c r="BI267" i="2"/>
  <c r="BK267" i="2" s="1"/>
  <c r="B267" i="19" s="1"/>
  <c r="BI268" i="2"/>
  <c r="BK268" i="2" s="1"/>
  <c r="B268" i="19" s="1"/>
  <c r="BI269" i="2"/>
  <c r="BK269" i="2" s="1"/>
  <c r="B269" i="19" s="1"/>
  <c r="BI270" i="2"/>
  <c r="BK270" i="2" s="1"/>
  <c r="B270" i="19" s="1"/>
  <c r="BI271" i="2"/>
  <c r="BK271" i="2" s="1"/>
  <c r="B271" i="19" s="1"/>
  <c r="BI272" i="2"/>
  <c r="BK272" i="2" s="1"/>
  <c r="B272" i="19" s="1"/>
  <c r="BI273" i="2"/>
  <c r="BK273" i="2" s="1"/>
  <c r="B273" i="19" s="1"/>
  <c r="BI274" i="2"/>
  <c r="BK274" i="2" s="1"/>
  <c r="B274" i="19" s="1"/>
  <c r="BI275" i="2"/>
  <c r="BK275" i="2" s="1"/>
  <c r="B275" i="19" s="1"/>
  <c r="BI276" i="2"/>
  <c r="BK276" i="2" s="1"/>
  <c r="B276" i="19" s="1"/>
  <c r="BI277" i="2"/>
  <c r="BK277" i="2" s="1"/>
  <c r="B277" i="19" s="1"/>
  <c r="BI2" i="2"/>
  <c r="BK2" i="2" s="1"/>
  <c r="B2" i="19" s="1"/>
  <c r="BI3" i="2"/>
  <c r="BK3" i="2" s="1"/>
  <c r="B3" i="19" s="1"/>
  <c r="BI4" i="2"/>
  <c r="BK4" i="2" s="1"/>
  <c r="B4" i="19" s="1"/>
  <c r="BI5" i="2"/>
  <c r="BK5" i="2" s="1"/>
  <c r="B5" i="19" s="1"/>
  <c r="BI6" i="2"/>
  <c r="BK6" i="2" s="1"/>
  <c r="B6" i="19" s="1"/>
  <c r="BI7" i="2"/>
  <c r="BK7" i="2" s="1"/>
  <c r="B7" i="19" s="1"/>
  <c r="BI8" i="2"/>
  <c r="BK8" i="2" s="1"/>
  <c r="B8" i="19" s="1"/>
  <c r="BI9" i="2"/>
  <c r="BK9" i="2" s="1"/>
  <c r="B9" i="19" s="1"/>
  <c r="BI10" i="2"/>
  <c r="BK10" i="2" s="1"/>
  <c r="B10" i="19" s="1"/>
  <c r="BI11" i="2"/>
  <c r="BK11" i="2" s="1"/>
  <c r="B11" i="19" s="1"/>
  <c r="BI12" i="2"/>
  <c r="BK12" i="2" s="1"/>
  <c r="B12" i="19" s="1"/>
  <c r="BI13" i="2"/>
  <c r="BK13" i="2" s="1"/>
  <c r="B13" i="19" s="1"/>
  <c r="BI1" i="2"/>
  <c r="BH2" i="2"/>
  <c r="F11" i="2" l="1"/>
  <c r="BM11" i="2" s="1"/>
  <c r="D11" i="19" s="1"/>
  <c r="F12" i="2"/>
  <c r="BM12" i="2" s="1"/>
  <c r="D12" i="19" s="1"/>
  <c r="F13" i="2"/>
  <c r="F14" i="2"/>
  <c r="BM14" i="2" s="1"/>
  <c r="D14" i="19" s="1"/>
  <c r="F15" i="2"/>
  <c r="F16" i="2"/>
  <c r="BM16" i="2" s="1"/>
  <c r="D16" i="19" s="1"/>
  <c r="F17" i="2"/>
  <c r="BM17" i="2" s="1"/>
  <c r="D17" i="19" s="1"/>
  <c r="F18" i="2"/>
  <c r="F19" i="2"/>
  <c r="BM19" i="2" s="1"/>
  <c r="D19" i="19" s="1"/>
  <c r="F20" i="2"/>
  <c r="BM20" i="2" s="1"/>
  <c r="D20" i="19" s="1"/>
  <c r="F21" i="2"/>
  <c r="BM21" i="2" s="1"/>
  <c r="D21" i="19" s="1"/>
  <c r="F22" i="2"/>
  <c r="BM22" i="2" s="1"/>
  <c r="D22" i="19" s="1"/>
  <c r="F23" i="2"/>
  <c r="BM23" i="2" s="1"/>
  <c r="D23" i="19" s="1"/>
  <c r="F24" i="2"/>
  <c r="BM24" i="2" s="1"/>
  <c r="D24" i="19" s="1"/>
  <c r="F25" i="2"/>
  <c r="BM25" i="2" s="1"/>
  <c r="D25" i="19" s="1"/>
  <c r="F26" i="2"/>
  <c r="BM26" i="2" s="1"/>
  <c r="D26" i="19" s="1"/>
  <c r="F27" i="2"/>
  <c r="BM27" i="2" s="1"/>
  <c r="D27" i="19" s="1"/>
  <c r="F28" i="2"/>
  <c r="BM28" i="2" s="1"/>
  <c r="D28" i="19" s="1"/>
  <c r="F29" i="2"/>
  <c r="BM29" i="2" s="1"/>
  <c r="D29" i="19" s="1"/>
  <c r="F30" i="2"/>
  <c r="BM30" i="2" s="1"/>
  <c r="D30" i="19" s="1"/>
  <c r="F31" i="2"/>
  <c r="BM31" i="2" s="1"/>
  <c r="D31" i="19" s="1"/>
  <c r="F32" i="2"/>
  <c r="BM32" i="2" s="1"/>
  <c r="D32" i="19" s="1"/>
  <c r="F33" i="2"/>
  <c r="BM33" i="2" s="1"/>
  <c r="D33" i="19" s="1"/>
  <c r="F34" i="2"/>
  <c r="BM34" i="2" s="1"/>
  <c r="D34" i="19" s="1"/>
  <c r="F35" i="2"/>
  <c r="BM35" i="2" s="1"/>
  <c r="D35" i="19" s="1"/>
  <c r="F36" i="2"/>
  <c r="BM36" i="2" s="1"/>
  <c r="D36" i="19" s="1"/>
  <c r="F37" i="2"/>
  <c r="BM37" i="2" s="1"/>
  <c r="D37" i="19" s="1"/>
  <c r="F38" i="2"/>
  <c r="BM38" i="2" s="1"/>
  <c r="D38" i="19" s="1"/>
  <c r="F39" i="2"/>
  <c r="F40" i="2"/>
  <c r="BM40" i="2" s="1"/>
  <c r="D40" i="19" s="1"/>
  <c r="F41" i="2"/>
  <c r="BM41" i="2" s="1"/>
  <c r="D41" i="19" s="1"/>
  <c r="F42" i="2"/>
  <c r="BM42" i="2" s="1"/>
  <c r="D42" i="19" s="1"/>
  <c r="F43" i="2"/>
  <c r="BM43" i="2" s="1"/>
  <c r="D43" i="19" s="1"/>
  <c r="F44" i="2"/>
  <c r="F45" i="2"/>
  <c r="BM45" i="2" s="1"/>
  <c r="D45" i="19" s="1"/>
  <c r="F46" i="2"/>
  <c r="BM46" i="2" s="1"/>
  <c r="D46" i="19" s="1"/>
  <c r="F47" i="2"/>
  <c r="BM47" i="2" s="1"/>
  <c r="D47" i="19" s="1"/>
  <c r="F48" i="2"/>
  <c r="BM48" i="2" s="1"/>
  <c r="D48" i="19" s="1"/>
  <c r="F49" i="2"/>
  <c r="BM49" i="2" s="1"/>
  <c r="D49" i="19" s="1"/>
  <c r="F50" i="2"/>
  <c r="BM50" i="2" s="1"/>
  <c r="D50" i="19" s="1"/>
  <c r="F51" i="2"/>
  <c r="BM51" i="2" s="1"/>
  <c r="D51" i="19" s="1"/>
  <c r="F52" i="2"/>
  <c r="BM52" i="2" s="1"/>
  <c r="D52" i="19" s="1"/>
  <c r="F53" i="2"/>
  <c r="BM53" i="2" s="1"/>
  <c r="D53" i="19" s="1"/>
  <c r="F54" i="2"/>
  <c r="F55" i="2"/>
  <c r="BM55" i="2" s="1"/>
  <c r="D55" i="19" s="1"/>
  <c r="F56" i="2"/>
  <c r="BM56" i="2" s="1"/>
  <c r="D56" i="19" s="1"/>
  <c r="F57" i="2"/>
  <c r="BM57" i="2" s="1"/>
  <c r="D57" i="19" s="1"/>
  <c r="F58" i="2"/>
  <c r="BM58" i="2" s="1"/>
  <c r="D58" i="19" s="1"/>
  <c r="F59" i="2"/>
  <c r="BM59" i="2" s="1"/>
  <c r="D59" i="19" s="1"/>
  <c r="F60" i="2"/>
  <c r="BM60" i="2" s="1"/>
  <c r="D60" i="19" s="1"/>
  <c r="F61" i="2"/>
  <c r="BM61" i="2" s="1"/>
  <c r="D61" i="19" s="1"/>
  <c r="F9" i="2"/>
  <c r="F10" i="2"/>
  <c r="BM10" i="2" s="1"/>
  <c r="D10" i="19" s="1"/>
  <c r="F3" i="2"/>
  <c r="F4" i="2"/>
  <c r="F5" i="2"/>
  <c r="F6" i="2"/>
  <c r="F7" i="2"/>
  <c r="F8" i="2"/>
  <c r="F2" i="2"/>
  <c r="R7" i="2" l="1"/>
  <c r="Y6" i="2"/>
  <c r="Q7" i="2"/>
  <c r="W8" i="2"/>
  <c r="V8" i="2"/>
  <c r="W7" i="2"/>
  <c r="X6" i="2"/>
  <c r="U8" i="2"/>
  <c r="V7" i="2"/>
  <c r="T8" i="2"/>
  <c r="U7" i="2"/>
  <c r="V6" i="2"/>
  <c r="S8" i="2"/>
  <c r="X7" i="2"/>
  <c r="W6" i="2"/>
  <c r="Q6" i="2"/>
  <c r="U6" i="2"/>
  <c r="T7" i="2"/>
  <c r="R8" i="2"/>
  <c r="S7" i="2"/>
  <c r="T6" i="2"/>
  <c r="Y8" i="2"/>
  <c r="Q8" i="2"/>
  <c r="S6" i="2"/>
  <c r="X8" i="2"/>
  <c r="Y7" i="2"/>
  <c r="R6" i="2"/>
  <c r="AN5" i="36"/>
  <c r="AN3" i="36"/>
  <c r="AL3" i="36"/>
  <c r="AM5" i="36"/>
  <c r="AL5" i="36"/>
  <c r="AM3" i="36"/>
  <c r="Y3" i="2"/>
  <c r="Q3" i="2"/>
  <c r="X3" i="2"/>
  <c r="Y4" i="2"/>
  <c r="Q4" i="2"/>
  <c r="X4" i="2"/>
  <c r="S4" i="2"/>
  <c r="W3" i="2"/>
  <c r="R3" i="2"/>
  <c r="V3" i="2"/>
  <c r="W4" i="2"/>
  <c r="U4" i="2"/>
  <c r="T4" i="2"/>
  <c r="U3" i="2"/>
  <c r="V4" i="2"/>
  <c r="T3" i="2"/>
  <c r="S3" i="2"/>
  <c r="R4" i="2"/>
  <c r="AC5" i="36"/>
  <c r="S5" i="36"/>
  <c r="I5" i="36"/>
  <c r="AB5" i="36"/>
  <c r="R5" i="36"/>
  <c r="H5" i="36"/>
  <c r="AC3" i="36"/>
  <c r="S3" i="36"/>
  <c r="I3" i="36"/>
  <c r="AB3" i="36"/>
  <c r="R3" i="36"/>
  <c r="H3" i="36"/>
  <c r="U2" i="2"/>
  <c r="V2" i="2"/>
  <c r="R2" i="2"/>
  <c r="W2" i="2"/>
  <c r="S2" i="2"/>
  <c r="X2" i="2"/>
  <c r="T2" i="2"/>
  <c r="Y2" i="2"/>
  <c r="Q2" i="2"/>
  <c r="BM13" i="2"/>
  <c r="D13" i="19" s="1"/>
  <c r="BM5" i="2"/>
  <c r="D5" i="19" s="1"/>
  <c r="BM9" i="2"/>
  <c r="D9" i="19" s="1"/>
  <c r="BM54" i="2"/>
  <c r="D54" i="19" s="1"/>
  <c r="BM18" i="2"/>
  <c r="D18" i="19" s="1"/>
  <c r="BM8" i="2"/>
  <c r="D8" i="19" s="1"/>
  <c r="BM7" i="2"/>
  <c r="D7" i="19" s="1"/>
  <c r="BM3" i="2"/>
  <c r="D3" i="19" s="1"/>
  <c r="BM44" i="2"/>
  <c r="D44" i="19" s="1"/>
  <c r="BM4" i="2"/>
  <c r="D4" i="19" s="1"/>
  <c r="BM6" i="2"/>
  <c r="D6" i="19" s="1"/>
  <c r="BM39" i="2"/>
  <c r="D39" i="19" s="1"/>
  <c r="BM15" i="2"/>
  <c r="D15" i="19" s="1"/>
  <c r="BM2" i="2"/>
  <c r="D2" i="19" s="1"/>
  <c r="AX8" i="2"/>
  <c r="HQ2" i="15"/>
  <c r="HR2" i="15" s="1"/>
  <c r="HQ3" i="15"/>
  <c r="HR3" i="15" s="1"/>
  <c r="HQ4" i="15"/>
  <c r="HR4" i="15" s="1"/>
  <c r="HQ5" i="15"/>
  <c r="HQ6" i="15"/>
  <c r="HR6" i="15" s="1"/>
  <c r="HQ7" i="15"/>
  <c r="HR7" i="15" s="1"/>
  <c r="HQ8" i="15"/>
  <c r="HR8" i="15" s="1"/>
  <c r="HQ9" i="15"/>
  <c r="HR9" i="15" s="1"/>
  <c r="HQ10" i="15"/>
  <c r="HR10" i="15" s="1"/>
  <c r="HQ11" i="15"/>
  <c r="HR11" i="15" s="1"/>
  <c r="HQ12" i="15"/>
  <c r="HR12" i="15" s="1"/>
  <c r="HQ13" i="15"/>
  <c r="HR13" i="15" s="1"/>
  <c r="HQ14" i="15"/>
  <c r="HQ15" i="15"/>
  <c r="HR15" i="15" s="1"/>
  <c r="HQ16" i="15"/>
  <c r="HQ17" i="15"/>
  <c r="HR17" i="15" s="1"/>
  <c r="HQ18" i="15"/>
  <c r="HR18" i="15" s="1"/>
  <c r="HQ19" i="15"/>
  <c r="HR19" i="15" s="1"/>
  <c r="HQ20" i="15"/>
  <c r="HR20" i="15" s="1"/>
  <c r="HQ21" i="15"/>
  <c r="HR21" i="15" s="1"/>
  <c r="HQ22" i="15"/>
  <c r="HR22" i="15" s="1"/>
  <c r="HQ23" i="15"/>
  <c r="HR23" i="15" s="1"/>
  <c r="HQ24" i="15"/>
  <c r="HR24" i="15" s="1"/>
  <c r="HQ25" i="15"/>
  <c r="HR25" i="15" s="1"/>
  <c r="HQ26" i="15"/>
  <c r="HR26" i="15" s="1"/>
  <c r="HQ27" i="15"/>
  <c r="HQ28" i="15"/>
  <c r="HR28" i="15" s="1"/>
  <c r="HQ29" i="15"/>
  <c r="HR29" i="15" s="1"/>
  <c r="HQ30" i="15"/>
  <c r="HR30" i="15" s="1"/>
  <c r="HQ31" i="15"/>
  <c r="HR31" i="15" s="1"/>
  <c r="HQ32" i="15"/>
  <c r="HQ33" i="15"/>
  <c r="HR33" i="15" s="1"/>
  <c r="HQ34" i="15"/>
  <c r="HR34" i="15" s="1"/>
  <c r="HQ35" i="15"/>
  <c r="HR35" i="15" s="1"/>
  <c r="HQ36" i="15"/>
  <c r="HR36" i="15" s="1"/>
  <c r="HQ37" i="15"/>
  <c r="HR37" i="15" s="1"/>
  <c r="HQ38" i="15"/>
  <c r="HR38" i="15" s="1"/>
  <c r="HQ39" i="15"/>
  <c r="HR39" i="15" s="1"/>
  <c r="HQ40" i="15"/>
  <c r="HR40" i="15" s="1"/>
  <c r="HQ41" i="15"/>
  <c r="HR41" i="15" s="1"/>
  <c r="HQ42" i="15"/>
  <c r="HR42" i="15" s="1"/>
  <c r="HQ43" i="15"/>
  <c r="HR43" i="15" s="1"/>
  <c r="HQ44" i="15"/>
  <c r="HR44" i="15" s="1"/>
  <c r="HQ45" i="15"/>
  <c r="HR45" i="15" s="1"/>
  <c r="HQ46" i="15"/>
  <c r="HR46" i="15" s="1"/>
  <c r="HQ47" i="15"/>
  <c r="HR47" i="15" s="1"/>
  <c r="HQ48" i="15"/>
  <c r="HR48" i="15" s="1"/>
  <c r="HQ49" i="15"/>
  <c r="HR49" i="15" s="1"/>
  <c r="HQ50" i="15"/>
  <c r="HR50" i="15" s="1"/>
  <c r="HQ51" i="15"/>
  <c r="HR51" i="15" s="1"/>
  <c r="HQ52" i="15"/>
  <c r="HR52" i="15" s="1"/>
  <c r="HQ53" i="15"/>
  <c r="HR53" i="15" s="1"/>
  <c r="HQ54" i="15"/>
  <c r="HQ55" i="15"/>
  <c r="HR55" i="15" s="1"/>
  <c r="HQ56" i="15"/>
  <c r="HR56" i="15" s="1"/>
  <c r="HQ57" i="15"/>
  <c r="HR57" i="15" s="1"/>
  <c r="HQ58" i="15"/>
  <c r="HR58" i="15" s="1"/>
  <c r="HQ59" i="15"/>
  <c r="HR59" i="15" s="1"/>
  <c r="HQ60" i="15"/>
  <c r="HR60" i="15" s="1"/>
  <c r="HQ61" i="15"/>
  <c r="HR61" i="15" s="1"/>
  <c r="HQ62" i="15"/>
  <c r="HR62" i="15" s="1"/>
  <c r="HQ63" i="15"/>
  <c r="HR63" i="15" s="1"/>
  <c r="HQ64" i="15"/>
  <c r="HR64" i="15" s="1"/>
  <c r="HQ65" i="15"/>
  <c r="HR65" i="15" s="1"/>
  <c r="HQ66" i="15"/>
  <c r="HR66" i="15" s="1"/>
  <c r="HQ67" i="15"/>
  <c r="HR67" i="15" s="1"/>
  <c r="HQ68" i="15"/>
  <c r="HR68" i="15" s="1"/>
  <c r="HQ69" i="15"/>
  <c r="HR69" i="15" s="1"/>
  <c r="HQ70" i="15"/>
  <c r="HR70" i="15" s="1"/>
  <c r="HQ71" i="15"/>
  <c r="HR71" i="15" s="1"/>
  <c r="HQ72" i="15"/>
  <c r="HR72" i="15" s="1"/>
  <c r="HQ73" i="15"/>
  <c r="HR73" i="15" s="1"/>
  <c r="HQ74" i="15"/>
  <c r="HR74" i="15" s="1"/>
  <c r="HQ75" i="15"/>
  <c r="HR75" i="15" s="1"/>
  <c r="HQ76" i="15"/>
  <c r="HR76" i="15" s="1"/>
  <c r="HQ77" i="15"/>
  <c r="HR77" i="15" s="1"/>
  <c r="HQ78" i="15"/>
  <c r="HR78" i="15" s="1"/>
  <c r="HQ79" i="15"/>
  <c r="HQ80" i="15"/>
  <c r="HR80" i="15" s="1"/>
  <c r="HQ81" i="15"/>
  <c r="HR81" i="15" s="1"/>
  <c r="HQ82" i="15"/>
  <c r="HR82" i="15" s="1"/>
  <c r="HQ83" i="15"/>
  <c r="HQ84" i="15"/>
  <c r="HR84" i="15" s="1"/>
  <c r="HQ85" i="15"/>
  <c r="HR85" i="15" s="1"/>
  <c r="HQ86" i="15"/>
  <c r="HR86" i="15" s="1"/>
  <c r="HQ87" i="15"/>
  <c r="HR87" i="15" s="1"/>
  <c r="HQ88" i="15"/>
  <c r="HR88" i="15" s="1"/>
  <c r="HQ89" i="15"/>
  <c r="HR89" i="15" s="1"/>
  <c r="HQ90" i="15"/>
  <c r="HR90" i="15" s="1"/>
  <c r="HQ91" i="15"/>
  <c r="HR91" i="15" s="1"/>
  <c r="HQ92" i="15"/>
  <c r="HQ93" i="15"/>
  <c r="HR93" i="15" s="1"/>
  <c r="HQ94" i="15"/>
  <c r="HR94" i="15" s="1"/>
  <c r="HQ95" i="15"/>
  <c r="HR95" i="15" s="1"/>
  <c r="HQ96" i="15"/>
  <c r="HR96" i="15" s="1"/>
  <c r="HQ97" i="15"/>
  <c r="HR97" i="15" s="1"/>
  <c r="HQ98" i="15"/>
  <c r="HR98" i="15" s="1"/>
  <c r="HQ99" i="15"/>
  <c r="HR99" i="15" s="1"/>
  <c r="HQ100" i="15"/>
  <c r="HR100" i="15" s="1"/>
  <c r="HQ101" i="15"/>
  <c r="HR101" i="15" s="1"/>
  <c r="HQ102" i="15"/>
  <c r="HR102" i="15" s="1"/>
  <c r="HQ103" i="15"/>
  <c r="HR103" i="15" s="1"/>
  <c r="HQ104" i="15"/>
  <c r="HR104" i="15" s="1"/>
  <c r="HQ105" i="15"/>
  <c r="HR105" i="15" s="1"/>
  <c r="HQ106" i="15"/>
  <c r="HR106" i="15" s="1"/>
  <c r="HQ107" i="15"/>
  <c r="HR107" i="15" s="1"/>
  <c r="HQ108" i="15"/>
  <c r="HR108" i="15" s="1"/>
  <c r="HQ109" i="15"/>
  <c r="HR109" i="15" s="1"/>
  <c r="HQ110" i="15"/>
  <c r="HR110" i="15" s="1"/>
  <c r="BH37" i="2" l="1"/>
  <c r="BJ37" i="2" s="1"/>
  <c r="A37" i="19" s="1"/>
  <c r="BH38" i="2"/>
  <c r="BJ38" i="2" s="1"/>
  <c r="A38" i="19" s="1"/>
  <c r="BH39" i="2"/>
  <c r="BJ39" i="2" s="1"/>
  <c r="A39" i="19" s="1"/>
  <c r="BH40" i="2"/>
  <c r="BJ40" i="2" s="1"/>
  <c r="A40" i="19" s="1"/>
  <c r="BH41" i="2"/>
  <c r="BJ41" i="2" s="1"/>
  <c r="A41" i="19" s="1"/>
  <c r="BH42" i="2"/>
  <c r="BJ42" i="2" s="1"/>
  <c r="A42" i="19" s="1"/>
  <c r="BH43" i="2"/>
  <c r="BJ43" i="2" s="1"/>
  <c r="A43" i="19" s="1"/>
  <c r="BH44" i="2"/>
  <c r="BJ44" i="2" s="1"/>
  <c r="A44" i="19" s="1"/>
  <c r="BH45" i="2"/>
  <c r="BJ45" i="2" s="1"/>
  <c r="A45" i="19" s="1"/>
  <c r="BH46" i="2"/>
  <c r="BJ46" i="2" s="1"/>
  <c r="A46" i="19" s="1"/>
  <c r="BH47" i="2"/>
  <c r="BJ47" i="2" s="1"/>
  <c r="A47" i="19" s="1"/>
  <c r="BH48" i="2"/>
  <c r="BJ48" i="2" s="1"/>
  <c r="A48" i="19" s="1"/>
  <c r="BH49" i="2"/>
  <c r="BJ49" i="2" s="1"/>
  <c r="A49" i="19" s="1"/>
  <c r="BH50" i="2"/>
  <c r="BJ50" i="2" s="1"/>
  <c r="A50" i="19" s="1"/>
  <c r="BH51" i="2"/>
  <c r="BJ51" i="2" s="1"/>
  <c r="A51" i="19" s="1"/>
  <c r="BH52" i="2"/>
  <c r="BJ52" i="2" s="1"/>
  <c r="A52" i="19" s="1"/>
  <c r="BH53" i="2"/>
  <c r="BJ53" i="2" s="1"/>
  <c r="A53" i="19" s="1"/>
  <c r="BH54" i="2"/>
  <c r="BJ54" i="2" s="1"/>
  <c r="A54" i="19" s="1"/>
  <c r="BH55" i="2"/>
  <c r="BJ55" i="2" s="1"/>
  <c r="A55" i="19" s="1"/>
  <c r="BH56" i="2"/>
  <c r="BJ56" i="2" s="1"/>
  <c r="A56" i="19" s="1"/>
  <c r="BH57" i="2"/>
  <c r="BJ57" i="2" s="1"/>
  <c r="A57" i="19" s="1"/>
  <c r="BH58" i="2"/>
  <c r="BJ58" i="2" s="1"/>
  <c r="A58" i="19" s="1"/>
  <c r="BH59" i="2"/>
  <c r="BJ59" i="2" s="1"/>
  <c r="A59" i="19" s="1"/>
  <c r="BH60" i="2"/>
  <c r="BJ60" i="2" s="1"/>
  <c r="A60" i="19" s="1"/>
  <c r="BH61" i="2"/>
  <c r="BJ61" i="2" s="1"/>
  <c r="A61" i="19" s="1"/>
  <c r="BH62" i="2"/>
  <c r="BJ62" i="2" s="1"/>
  <c r="A62" i="19" s="1"/>
  <c r="BH63" i="2"/>
  <c r="BJ63" i="2" s="1"/>
  <c r="A63" i="19" s="1"/>
  <c r="BH64" i="2"/>
  <c r="BJ64" i="2" s="1"/>
  <c r="A64" i="19" s="1"/>
  <c r="BH65" i="2"/>
  <c r="BJ65" i="2" s="1"/>
  <c r="A65" i="19" s="1"/>
  <c r="BH66" i="2"/>
  <c r="BJ66" i="2" s="1"/>
  <c r="A66" i="19" s="1"/>
  <c r="BH67" i="2"/>
  <c r="BJ67" i="2" s="1"/>
  <c r="A67" i="19" s="1"/>
  <c r="BH68" i="2"/>
  <c r="BJ68" i="2" s="1"/>
  <c r="A68" i="19" s="1"/>
  <c r="BH69" i="2"/>
  <c r="BJ69" i="2" s="1"/>
  <c r="A69" i="19" s="1"/>
  <c r="BH70" i="2"/>
  <c r="BJ70" i="2" s="1"/>
  <c r="A70" i="19" s="1"/>
  <c r="BH71" i="2"/>
  <c r="BJ71" i="2" s="1"/>
  <c r="A71" i="19" s="1"/>
  <c r="BH72" i="2"/>
  <c r="BJ72" i="2" s="1"/>
  <c r="A72" i="19" s="1"/>
  <c r="BH73" i="2"/>
  <c r="BJ73" i="2" s="1"/>
  <c r="A73" i="19" s="1"/>
  <c r="BH74" i="2"/>
  <c r="BJ74" i="2" s="1"/>
  <c r="A74" i="19" s="1"/>
  <c r="BH75" i="2"/>
  <c r="BJ75" i="2" s="1"/>
  <c r="A75" i="19" s="1"/>
  <c r="BH76" i="2"/>
  <c r="BJ76" i="2" s="1"/>
  <c r="A76" i="19" s="1"/>
  <c r="BH77" i="2"/>
  <c r="BJ77" i="2" s="1"/>
  <c r="A77" i="19" s="1"/>
  <c r="BH78" i="2"/>
  <c r="BJ78" i="2" s="1"/>
  <c r="A78" i="19" s="1"/>
  <c r="BH79" i="2"/>
  <c r="BJ79" i="2" s="1"/>
  <c r="A79" i="19" s="1"/>
  <c r="BH80" i="2"/>
  <c r="BJ80" i="2" s="1"/>
  <c r="A80" i="19" s="1"/>
  <c r="BH81" i="2"/>
  <c r="BJ81" i="2" s="1"/>
  <c r="A81" i="19" s="1"/>
  <c r="BH82" i="2"/>
  <c r="BJ82" i="2" s="1"/>
  <c r="A82" i="19" s="1"/>
  <c r="BH83" i="2"/>
  <c r="BJ83" i="2" s="1"/>
  <c r="A83" i="19" s="1"/>
  <c r="BH84" i="2"/>
  <c r="BJ84" i="2" s="1"/>
  <c r="A84" i="19" s="1"/>
  <c r="BH85" i="2"/>
  <c r="BJ85" i="2" s="1"/>
  <c r="A85" i="19" s="1"/>
  <c r="BH86" i="2"/>
  <c r="BJ86" i="2" s="1"/>
  <c r="A86" i="19" s="1"/>
  <c r="BH87" i="2"/>
  <c r="BJ87" i="2" s="1"/>
  <c r="A87" i="19" s="1"/>
  <c r="BH88" i="2"/>
  <c r="BJ88" i="2" s="1"/>
  <c r="A88" i="19" s="1"/>
  <c r="BH89" i="2"/>
  <c r="BJ89" i="2" s="1"/>
  <c r="A89" i="19" s="1"/>
  <c r="BH90" i="2"/>
  <c r="BJ90" i="2" s="1"/>
  <c r="A90" i="19" s="1"/>
  <c r="BH91" i="2"/>
  <c r="BJ91" i="2" s="1"/>
  <c r="A91" i="19" s="1"/>
  <c r="BH92" i="2"/>
  <c r="BJ92" i="2" s="1"/>
  <c r="A92" i="19" s="1"/>
  <c r="BH93" i="2"/>
  <c r="BJ93" i="2" s="1"/>
  <c r="A93" i="19" s="1"/>
  <c r="BH94" i="2"/>
  <c r="BJ94" i="2" s="1"/>
  <c r="A94" i="19" s="1"/>
  <c r="BH95" i="2"/>
  <c r="BJ95" i="2" s="1"/>
  <c r="A95" i="19" s="1"/>
  <c r="BH96" i="2"/>
  <c r="BJ96" i="2" s="1"/>
  <c r="A96" i="19" s="1"/>
  <c r="BH97" i="2"/>
  <c r="BJ97" i="2" s="1"/>
  <c r="A97" i="19" s="1"/>
  <c r="BH98" i="2"/>
  <c r="BJ98" i="2" s="1"/>
  <c r="A98" i="19" s="1"/>
  <c r="BH99" i="2"/>
  <c r="BJ99" i="2" s="1"/>
  <c r="A99" i="19" s="1"/>
  <c r="BH100" i="2"/>
  <c r="BJ100" i="2" s="1"/>
  <c r="A100" i="19" s="1"/>
  <c r="BH101" i="2"/>
  <c r="BJ101" i="2" s="1"/>
  <c r="A101" i="19" s="1"/>
  <c r="BH102" i="2"/>
  <c r="BJ102" i="2" s="1"/>
  <c r="A102" i="19" s="1"/>
  <c r="BH103" i="2"/>
  <c r="BJ103" i="2" s="1"/>
  <c r="A103" i="19" s="1"/>
  <c r="BH104" i="2"/>
  <c r="BJ104" i="2" s="1"/>
  <c r="A104" i="19" s="1"/>
  <c r="BH105" i="2"/>
  <c r="BJ105" i="2" s="1"/>
  <c r="A105" i="19" s="1"/>
  <c r="BH106" i="2"/>
  <c r="BJ106" i="2" s="1"/>
  <c r="A106" i="19" s="1"/>
  <c r="BH107" i="2"/>
  <c r="BJ107" i="2" s="1"/>
  <c r="A107" i="19" s="1"/>
  <c r="BH108" i="2"/>
  <c r="BJ108" i="2" s="1"/>
  <c r="A108" i="19" s="1"/>
  <c r="BH109" i="2"/>
  <c r="BJ109" i="2" s="1"/>
  <c r="A109" i="19" s="1"/>
  <c r="BH110" i="2"/>
  <c r="BJ110" i="2" s="1"/>
  <c r="A110" i="19" s="1"/>
  <c r="BH111" i="2"/>
  <c r="BJ111" i="2" s="1"/>
  <c r="A111" i="19" s="1"/>
  <c r="BH112" i="2"/>
  <c r="BJ112" i="2" s="1"/>
  <c r="A112" i="19" s="1"/>
  <c r="BH113" i="2"/>
  <c r="BJ113" i="2" s="1"/>
  <c r="A113" i="19" s="1"/>
  <c r="BH114" i="2"/>
  <c r="BJ114" i="2" s="1"/>
  <c r="A114" i="19" s="1"/>
  <c r="BH115" i="2"/>
  <c r="BJ115" i="2" s="1"/>
  <c r="A115" i="19" s="1"/>
  <c r="BH116" i="2"/>
  <c r="BJ116" i="2" s="1"/>
  <c r="A116" i="19" s="1"/>
  <c r="BH117" i="2"/>
  <c r="BJ117" i="2" s="1"/>
  <c r="A117" i="19" s="1"/>
  <c r="BH118" i="2"/>
  <c r="BJ118" i="2" s="1"/>
  <c r="A118" i="19" s="1"/>
  <c r="BH119" i="2"/>
  <c r="BJ119" i="2" s="1"/>
  <c r="A119" i="19" s="1"/>
  <c r="BH120" i="2"/>
  <c r="BJ120" i="2" s="1"/>
  <c r="A120" i="19" s="1"/>
  <c r="BH121" i="2"/>
  <c r="BJ121" i="2" s="1"/>
  <c r="A121" i="19" s="1"/>
  <c r="BH122" i="2"/>
  <c r="BJ122" i="2" s="1"/>
  <c r="A122" i="19" s="1"/>
  <c r="BH123" i="2"/>
  <c r="BJ123" i="2" s="1"/>
  <c r="A123" i="19" s="1"/>
  <c r="BH124" i="2"/>
  <c r="BJ124" i="2" s="1"/>
  <c r="A124" i="19" s="1"/>
  <c r="BH125" i="2"/>
  <c r="BJ125" i="2" s="1"/>
  <c r="A125" i="19" s="1"/>
  <c r="BH126" i="2"/>
  <c r="BJ126" i="2" s="1"/>
  <c r="A126" i="19" s="1"/>
  <c r="BH127" i="2"/>
  <c r="BJ127" i="2" s="1"/>
  <c r="A127" i="19" s="1"/>
  <c r="BH128" i="2"/>
  <c r="BJ128" i="2" s="1"/>
  <c r="A128" i="19" s="1"/>
  <c r="BH129" i="2"/>
  <c r="BJ129" i="2" s="1"/>
  <c r="A129" i="19" s="1"/>
  <c r="BH130" i="2"/>
  <c r="BJ130" i="2" s="1"/>
  <c r="A130" i="19" s="1"/>
  <c r="BH131" i="2"/>
  <c r="BJ131" i="2" s="1"/>
  <c r="A131" i="19" s="1"/>
  <c r="BH132" i="2"/>
  <c r="BJ132" i="2" s="1"/>
  <c r="A132" i="19" s="1"/>
  <c r="BH133" i="2"/>
  <c r="BJ133" i="2" s="1"/>
  <c r="A133" i="19" s="1"/>
  <c r="BH134" i="2"/>
  <c r="BJ134" i="2" s="1"/>
  <c r="A134" i="19" s="1"/>
  <c r="BH135" i="2"/>
  <c r="BJ135" i="2" s="1"/>
  <c r="A135" i="19" s="1"/>
  <c r="BH136" i="2"/>
  <c r="BJ136" i="2" s="1"/>
  <c r="A136" i="19" s="1"/>
  <c r="BH137" i="2"/>
  <c r="BJ137" i="2" s="1"/>
  <c r="A137" i="19" s="1"/>
  <c r="BH138" i="2"/>
  <c r="BJ138" i="2" s="1"/>
  <c r="A138" i="19" s="1"/>
  <c r="BH139" i="2"/>
  <c r="BJ139" i="2" s="1"/>
  <c r="A139" i="19" s="1"/>
  <c r="BH140" i="2"/>
  <c r="BJ140" i="2" s="1"/>
  <c r="A140" i="19" s="1"/>
  <c r="BH141" i="2"/>
  <c r="BJ141" i="2" s="1"/>
  <c r="A141" i="19" s="1"/>
  <c r="BH142" i="2"/>
  <c r="BJ142" i="2" s="1"/>
  <c r="A142" i="19" s="1"/>
  <c r="BH143" i="2"/>
  <c r="BJ143" i="2" s="1"/>
  <c r="A143" i="19" s="1"/>
  <c r="BH144" i="2"/>
  <c r="BJ144" i="2" s="1"/>
  <c r="A144" i="19" s="1"/>
  <c r="BH145" i="2"/>
  <c r="BJ145" i="2" s="1"/>
  <c r="A145" i="19" s="1"/>
  <c r="BH146" i="2"/>
  <c r="BJ146" i="2" s="1"/>
  <c r="A146" i="19" s="1"/>
  <c r="BH147" i="2"/>
  <c r="BJ147" i="2" s="1"/>
  <c r="A147" i="19" s="1"/>
  <c r="BH148" i="2"/>
  <c r="BJ148" i="2" s="1"/>
  <c r="A148" i="19" s="1"/>
  <c r="BH149" i="2"/>
  <c r="BJ149" i="2" s="1"/>
  <c r="A149" i="19" s="1"/>
  <c r="BH150" i="2"/>
  <c r="BJ150" i="2" s="1"/>
  <c r="A150" i="19" s="1"/>
  <c r="BH151" i="2"/>
  <c r="BJ151" i="2" s="1"/>
  <c r="A151" i="19" s="1"/>
  <c r="BH152" i="2"/>
  <c r="BJ152" i="2" s="1"/>
  <c r="A152" i="19" s="1"/>
  <c r="BH153" i="2"/>
  <c r="BJ153" i="2" s="1"/>
  <c r="A153" i="19" s="1"/>
  <c r="BH154" i="2"/>
  <c r="BJ154" i="2" s="1"/>
  <c r="A154" i="19" s="1"/>
  <c r="BH155" i="2"/>
  <c r="BJ155" i="2" s="1"/>
  <c r="A155" i="19" s="1"/>
  <c r="BH156" i="2"/>
  <c r="BJ156" i="2" s="1"/>
  <c r="A156" i="19" s="1"/>
  <c r="BH157" i="2"/>
  <c r="BJ157" i="2" s="1"/>
  <c r="A157" i="19" s="1"/>
  <c r="BH158" i="2"/>
  <c r="BJ158" i="2" s="1"/>
  <c r="A158" i="19" s="1"/>
  <c r="BH159" i="2"/>
  <c r="BJ159" i="2" s="1"/>
  <c r="A159" i="19" s="1"/>
  <c r="BH160" i="2"/>
  <c r="BJ160" i="2" s="1"/>
  <c r="A160" i="19" s="1"/>
  <c r="BH161" i="2"/>
  <c r="BJ161" i="2" s="1"/>
  <c r="A161" i="19" s="1"/>
  <c r="BH162" i="2"/>
  <c r="BJ162" i="2" s="1"/>
  <c r="A162" i="19" s="1"/>
  <c r="BH163" i="2"/>
  <c r="BJ163" i="2" s="1"/>
  <c r="A163" i="19" s="1"/>
  <c r="BH164" i="2"/>
  <c r="BJ164" i="2" s="1"/>
  <c r="A164" i="19" s="1"/>
  <c r="BH165" i="2"/>
  <c r="BJ165" i="2" s="1"/>
  <c r="A165" i="19" s="1"/>
  <c r="BH166" i="2"/>
  <c r="BJ166" i="2" s="1"/>
  <c r="A166" i="19" s="1"/>
  <c r="BH167" i="2"/>
  <c r="BJ167" i="2" s="1"/>
  <c r="A167" i="19" s="1"/>
  <c r="BH168" i="2"/>
  <c r="BJ168" i="2" s="1"/>
  <c r="A168" i="19" s="1"/>
  <c r="BH169" i="2"/>
  <c r="BJ169" i="2" s="1"/>
  <c r="A169" i="19" s="1"/>
  <c r="BH170" i="2"/>
  <c r="BJ170" i="2" s="1"/>
  <c r="A170" i="19" s="1"/>
  <c r="BH171" i="2"/>
  <c r="BJ171" i="2" s="1"/>
  <c r="A171" i="19" s="1"/>
  <c r="BH172" i="2"/>
  <c r="BJ172" i="2" s="1"/>
  <c r="A172" i="19" s="1"/>
  <c r="BH173" i="2"/>
  <c r="BJ173" i="2" s="1"/>
  <c r="A173" i="19" s="1"/>
  <c r="BH174" i="2"/>
  <c r="BJ174" i="2" s="1"/>
  <c r="A174" i="19" s="1"/>
  <c r="BH175" i="2"/>
  <c r="BJ175" i="2" s="1"/>
  <c r="A175" i="19" s="1"/>
  <c r="BH176" i="2"/>
  <c r="BJ176" i="2" s="1"/>
  <c r="A176" i="19" s="1"/>
  <c r="BH177" i="2"/>
  <c r="BJ177" i="2" s="1"/>
  <c r="A177" i="19" s="1"/>
  <c r="BH178" i="2"/>
  <c r="BJ178" i="2" s="1"/>
  <c r="A178" i="19" s="1"/>
  <c r="BH179" i="2"/>
  <c r="BJ179" i="2" s="1"/>
  <c r="A179" i="19" s="1"/>
  <c r="BH180" i="2"/>
  <c r="BJ180" i="2" s="1"/>
  <c r="A180" i="19" s="1"/>
  <c r="BH181" i="2"/>
  <c r="BJ181" i="2" s="1"/>
  <c r="A181" i="19" s="1"/>
  <c r="BH182" i="2"/>
  <c r="BJ182" i="2" s="1"/>
  <c r="A182" i="19" s="1"/>
  <c r="BH183" i="2"/>
  <c r="BJ183" i="2" s="1"/>
  <c r="A183" i="19" s="1"/>
  <c r="BH184" i="2"/>
  <c r="BJ184" i="2" s="1"/>
  <c r="A184" i="19" s="1"/>
  <c r="BH185" i="2"/>
  <c r="BJ185" i="2" s="1"/>
  <c r="A185" i="19" s="1"/>
  <c r="BH186" i="2"/>
  <c r="BJ186" i="2" s="1"/>
  <c r="A186" i="19" s="1"/>
  <c r="BH187" i="2"/>
  <c r="BJ187" i="2" s="1"/>
  <c r="A187" i="19" s="1"/>
  <c r="BH188" i="2"/>
  <c r="BJ188" i="2" s="1"/>
  <c r="A188" i="19" s="1"/>
  <c r="BH189" i="2"/>
  <c r="BJ189" i="2" s="1"/>
  <c r="A189" i="19" s="1"/>
  <c r="BH190" i="2"/>
  <c r="BJ190" i="2" s="1"/>
  <c r="A190" i="19" s="1"/>
  <c r="BH191" i="2"/>
  <c r="BJ191" i="2" s="1"/>
  <c r="A191" i="19" s="1"/>
  <c r="BH192" i="2"/>
  <c r="BJ192" i="2" s="1"/>
  <c r="A192" i="19" s="1"/>
  <c r="BH193" i="2"/>
  <c r="BJ193" i="2" s="1"/>
  <c r="A193" i="19" s="1"/>
  <c r="BH194" i="2"/>
  <c r="BJ194" i="2" s="1"/>
  <c r="A194" i="19" s="1"/>
  <c r="BH195" i="2"/>
  <c r="BJ195" i="2" s="1"/>
  <c r="A195" i="19" s="1"/>
  <c r="BH196" i="2"/>
  <c r="BJ196" i="2" s="1"/>
  <c r="A196" i="19" s="1"/>
  <c r="BH197" i="2"/>
  <c r="BJ197" i="2" s="1"/>
  <c r="A197" i="19" s="1"/>
  <c r="BH198" i="2"/>
  <c r="BJ198" i="2" s="1"/>
  <c r="A198" i="19" s="1"/>
  <c r="BH199" i="2"/>
  <c r="BJ199" i="2" s="1"/>
  <c r="A199" i="19" s="1"/>
  <c r="BH200" i="2"/>
  <c r="BJ200" i="2" s="1"/>
  <c r="A200" i="19" s="1"/>
  <c r="BH201" i="2"/>
  <c r="BJ201" i="2" s="1"/>
  <c r="A201" i="19" s="1"/>
  <c r="BH202" i="2"/>
  <c r="BJ202" i="2" s="1"/>
  <c r="A202" i="19" s="1"/>
  <c r="BH203" i="2"/>
  <c r="BJ203" i="2" s="1"/>
  <c r="A203" i="19" s="1"/>
  <c r="BH204" i="2"/>
  <c r="BJ204" i="2" s="1"/>
  <c r="A204" i="19" s="1"/>
  <c r="BH205" i="2"/>
  <c r="BJ205" i="2" s="1"/>
  <c r="A205" i="19" s="1"/>
  <c r="BH206" i="2"/>
  <c r="BJ206" i="2" s="1"/>
  <c r="A206" i="19" s="1"/>
  <c r="BH207" i="2"/>
  <c r="BJ207" i="2" s="1"/>
  <c r="A207" i="19" s="1"/>
  <c r="BH208" i="2"/>
  <c r="BJ208" i="2" s="1"/>
  <c r="A208" i="19" s="1"/>
  <c r="BH209" i="2"/>
  <c r="BJ209" i="2" s="1"/>
  <c r="A209" i="19" s="1"/>
  <c r="BH210" i="2"/>
  <c r="BJ210" i="2" s="1"/>
  <c r="A210" i="19" s="1"/>
  <c r="BH211" i="2"/>
  <c r="BJ211" i="2" s="1"/>
  <c r="A211" i="19" s="1"/>
  <c r="BH212" i="2"/>
  <c r="BJ212" i="2" s="1"/>
  <c r="A212" i="19" s="1"/>
  <c r="BH213" i="2"/>
  <c r="BJ213" i="2" s="1"/>
  <c r="A213" i="19" s="1"/>
  <c r="BH214" i="2"/>
  <c r="BJ214" i="2" s="1"/>
  <c r="A214" i="19" s="1"/>
  <c r="BH215" i="2"/>
  <c r="BJ215" i="2" s="1"/>
  <c r="A215" i="19" s="1"/>
  <c r="BH216" i="2"/>
  <c r="BJ216" i="2" s="1"/>
  <c r="A216" i="19" s="1"/>
  <c r="BH217" i="2"/>
  <c r="BJ217" i="2" s="1"/>
  <c r="A217" i="19" s="1"/>
  <c r="BH218" i="2"/>
  <c r="BJ218" i="2" s="1"/>
  <c r="A218" i="19" s="1"/>
  <c r="BH219" i="2"/>
  <c r="BJ219" i="2" s="1"/>
  <c r="A219" i="19" s="1"/>
  <c r="BH220" i="2"/>
  <c r="BJ220" i="2" s="1"/>
  <c r="A220" i="19" s="1"/>
  <c r="BH221" i="2"/>
  <c r="BJ221" i="2" s="1"/>
  <c r="A221" i="19" s="1"/>
  <c r="BH222" i="2"/>
  <c r="BJ222" i="2" s="1"/>
  <c r="A222" i="19" s="1"/>
  <c r="BH223" i="2"/>
  <c r="BJ223" i="2" s="1"/>
  <c r="A223" i="19" s="1"/>
  <c r="BH224" i="2"/>
  <c r="BJ224" i="2" s="1"/>
  <c r="A224" i="19" s="1"/>
  <c r="BH225" i="2"/>
  <c r="BJ225" i="2" s="1"/>
  <c r="A225" i="19" s="1"/>
  <c r="BH226" i="2"/>
  <c r="BJ226" i="2" s="1"/>
  <c r="A226" i="19" s="1"/>
  <c r="BH227" i="2"/>
  <c r="BJ227" i="2" s="1"/>
  <c r="A227" i="19" s="1"/>
  <c r="BH228" i="2"/>
  <c r="BJ228" i="2" s="1"/>
  <c r="A228" i="19" s="1"/>
  <c r="BH229" i="2"/>
  <c r="BJ229" i="2" s="1"/>
  <c r="A229" i="19" s="1"/>
  <c r="BH230" i="2"/>
  <c r="BJ230" i="2" s="1"/>
  <c r="A230" i="19" s="1"/>
  <c r="BH231" i="2"/>
  <c r="BJ231" i="2" s="1"/>
  <c r="A231" i="19" s="1"/>
  <c r="BH232" i="2"/>
  <c r="BJ232" i="2" s="1"/>
  <c r="A232" i="19" s="1"/>
  <c r="BH233" i="2"/>
  <c r="BJ233" i="2" s="1"/>
  <c r="A233" i="19" s="1"/>
  <c r="BH234" i="2"/>
  <c r="BJ234" i="2" s="1"/>
  <c r="A234" i="19" s="1"/>
  <c r="BH235" i="2"/>
  <c r="BJ235" i="2" s="1"/>
  <c r="A235" i="19" s="1"/>
  <c r="BH236" i="2"/>
  <c r="BJ236" i="2" s="1"/>
  <c r="A236" i="19" s="1"/>
  <c r="BH237" i="2"/>
  <c r="BJ237" i="2" s="1"/>
  <c r="A237" i="19" s="1"/>
  <c r="BH238" i="2"/>
  <c r="BJ238" i="2" s="1"/>
  <c r="A238" i="19" s="1"/>
  <c r="BH239" i="2"/>
  <c r="BJ239" i="2" s="1"/>
  <c r="A239" i="19" s="1"/>
  <c r="BH240" i="2"/>
  <c r="BJ240" i="2" s="1"/>
  <c r="A240" i="19" s="1"/>
  <c r="BH241" i="2"/>
  <c r="BJ241" i="2" s="1"/>
  <c r="A241" i="19" s="1"/>
  <c r="BH242" i="2"/>
  <c r="BJ242" i="2" s="1"/>
  <c r="A242" i="19" s="1"/>
  <c r="BH243" i="2"/>
  <c r="BJ243" i="2" s="1"/>
  <c r="A243" i="19" s="1"/>
  <c r="A244" i="19"/>
  <c r="BH245" i="2"/>
  <c r="BJ245" i="2" s="1"/>
  <c r="A245" i="19" s="1"/>
  <c r="BH246" i="2"/>
  <c r="BJ246" i="2" s="1"/>
  <c r="A246" i="19" s="1"/>
  <c r="BH247" i="2"/>
  <c r="BJ247" i="2" s="1"/>
  <c r="A247" i="19" s="1"/>
  <c r="BH248" i="2"/>
  <c r="BJ248" i="2" s="1"/>
  <c r="A248" i="19" s="1"/>
  <c r="BH249" i="2"/>
  <c r="BJ249" i="2" s="1"/>
  <c r="A249" i="19" s="1"/>
  <c r="BH250" i="2"/>
  <c r="BJ250" i="2" s="1"/>
  <c r="A250" i="19" s="1"/>
  <c r="BH251" i="2"/>
  <c r="BJ251" i="2" s="1"/>
  <c r="A251" i="19" s="1"/>
  <c r="BH252" i="2"/>
  <c r="BJ252" i="2" s="1"/>
  <c r="A252" i="19" s="1"/>
  <c r="BH253" i="2"/>
  <c r="BJ253" i="2" s="1"/>
  <c r="A253" i="19" s="1"/>
  <c r="BH254" i="2"/>
  <c r="BJ254" i="2" s="1"/>
  <c r="A254" i="19" s="1"/>
  <c r="BH255" i="2"/>
  <c r="BJ255" i="2" s="1"/>
  <c r="A255" i="19" s="1"/>
  <c r="BH256" i="2"/>
  <c r="BJ256" i="2" s="1"/>
  <c r="A256" i="19" s="1"/>
  <c r="BH257" i="2"/>
  <c r="BJ257" i="2" s="1"/>
  <c r="A257" i="19" s="1"/>
  <c r="BH258" i="2"/>
  <c r="BJ258" i="2" s="1"/>
  <c r="A258" i="19" s="1"/>
  <c r="BH259" i="2"/>
  <c r="BJ259" i="2" s="1"/>
  <c r="A259" i="19" s="1"/>
  <c r="BH260" i="2"/>
  <c r="BJ260" i="2" s="1"/>
  <c r="A260" i="19" s="1"/>
  <c r="BH261" i="2"/>
  <c r="BJ261" i="2" s="1"/>
  <c r="A261" i="19" s="1"/>
  <c r="BH262" i="2"/>
  <c r="BJ262" i="2" s="1"/>
  <c r="A262" i="19" s="1"/>
  <c r="BH263" i="2"/>
  <c r="BJ263" i="2" s="1"/>
  <c r="A263" i="19" s="1"/>
  <c r="BH264" i="2"/>
  <c r="BJ264" i="2" s="1"/>
  <c r="A264" i="19" s="1"/>
  <c r="BH265" i="2"/>
  <c r="BJ265" i="2" s="1"/>
  <c r="A265" i="19" s="1"/>
  <c r="BH266" i="2"/>
  <c r="BJ266" i="2" s="1"/>
  <c r="A266" i="19" s="1"/>
  <c r="BH267" i="2"/>
  <c r="BJ267" i="2" s="1"/>
  <c r="A267" i="19" s="1"/>
  <c r="BH268" i="2"/>
  <c r="BJ268" i="2" s="1"/>
  <c r="A268" i="19" s="1"/>
  <c r="BH269" i="2"/>
  <c r="BJ269" i="2" s="1"/>
  <c r="A269" i="19" s="1"/>
  <c r="BH270" i="2"/>
  <c r="BJ270" i="2" s="1"/>
  <c r="A270" i="19" s="1"/>
  <c r="BH271" i="2"/>
  <c r="BJ271" i="2" s="1"/>
  <c r="A271" i="19" s="1"/>
  <c r="BH272" i="2"/>
  <c r="BJ272" i="2" s="1"/>
  <c r="A272" i="19" s="1"/>
  <c r="BH273" i="2"/>
  <c r="BJ273" i="2" s="1"/>
  <c r="A273" i="19" s="1"/>
  <c r="BH274" i="2"/>
  <c r="BJ274" i="2" s="1"/>
  <c r="A274" i="19" s="1"/>
  <c r="BH275" i="2"/>
  <c r="BJ275" i="2" s="1"/>
  <c r="A275" i="19" s="1"/>
  <c r="BH276" i="2"/>
  <c r="BJ276" i="2" s="1"/>
  <c r="A276" i="19" s="1"/>
  <c r="BH277" i="2"/>
  <c r="BJ277" i="2" s="1"/>
  <c r="A277" i="19" s="1"/>
  <c r="BJ2" i="2"/>
  <c r="A2" i="19" s="1"/>
  <c r="BH3" i="2"/>
  <c r="BJ3" i="2" s="1"/>
  <c r="A3" i="19" s="1"/>
  <c r="BH4" i="2"/>
  <c r="BJ4" i="2" s="1"/>
  <c r="A4" i="19" s="1"/>
  <c r="BH5" i="2"/>
  <c r="BJ5" i="2" s="1"/>
  <c r="A5" i="19" s="1"/>
  <c r="BH6" i="2"/>
  <c r="BJ6" i="2" s="1"/>
  <c r="A6" i="19" s="1"/>
  <c r="BH7" i="2"/>
  <c r="BJ7" i="2" s="1"/>
  <c r="A7" i="19" s="1"/>
  <c r="BH8" i="2"/>
  <c r="BJ8" i="2" s="1"/>
  <c r="A8" i="19" s="1"/>
  <c r="BH9" i="2"/>
  <c r="BJ9" i="2" s="1"/>
  <c r="A9" i="19" s="1"/>
  <c r="BH10" i="2"/>
  <c r="BJ10" i="2" s="1"/>
  <c r="A10" i="19" s="1"/>
  <c r="BH11" i="2"/>
  <c r="BJ11" i="2" s="1"/>
  <c r="A11" i="19" s="1"/>
  <c r="BH12" i="2"/>
  <c r="BJ12" i="2" s="1"/>
  <c r="A12" i="19" s="1"/>
  <c r="BH13" i="2"/>
  <c r="BJ13" i="2" s="1"/>
  <c r="A13" i="19" s="1"/>
  <c r="BH14" i="2"/>
  <c r="BJ14" i="2" s="1"/>
  <c r="A14" i="19" s="1"/>
  <c r="BH15" i="2"/>
  <c r="BJ15" i="2" s="1"/>
  <c r="A15" i="19" s="1"/>
  <c r="BH16" i="2"/>
  <c r="BJ16" i="2" s="1"/>
  <c r="A16" i="19" s="1"/>
  <c r="BH17" i="2"/>
  <c r="BJ17" i="2" s="1"/>
  <c r="A17" i="19" s="1"/>
  <c r="BH18" i="2"/>
  <c r="BJ18" i="2" s="1"/>
  <c r="A18" i="19" s="1"/>
  <c r="BH19" i="2"/>
  <c r="BJ19" i="2" s="1"/>
  <c r="A19" i="19" s="1"/>
  <c r="BH20" i="2"/>
  <c r="BJ20" i="2" s="1"/>
  <c r="A20" i="19" s="1"/>
  <c r="BH21" i="2"/>
  <c r="BJ21" i="2" s="1"/>
  <c r="A21" i="19" s="1"/>
  <c r="BH22" i="2"/>
  <c r="BJ22" i="2" s="1"/>
  <c r="A22" i="19" s="1"/>
  <c r="BH23" i="2"/>
  <c r="BJ23" i="2" s="1"/>
  <c r="A23" i="19" s="1"/>
  <c r="BH24" i="2"/>
  <c r="BJ24" i="2" s="1"/>
  <c r="A24" i="19" s="1"/>
  <c r="BH25" i="2"/>
  <c r="BJ25" i="2" s="1"/>
  <c r="A25" i="19" s="1"/>
  <c r="BH26" i="2"/>
  <c r="BJ26" i="2" s="1"/>
  <c r="A26" i="19" s="1"/>
  <c r="BH27" i="2"/>
  <c r="BJ27" i="2" s="1"/>
  <c r="A27" i="19" s="1"/>
  <c r="BH28" i="2"/>
  <c r="BJ28" i="2" s="1"/>
  <c r="A28" i="19" s="1"/>
  <c r="BH29" i="2"/>
  <c r="BJ29" i="2" s="1"/>
  <c r="A29" i="19" s="1"/>
  <c r="BH30" i="2"/>
  <c r="BJ30" i="2" s="1"/>
  <c r="A30" i="19" s="1"/>
  <c r="BH31" i="2"/>
  <c r="BJ31" i="2" s="1"/>
  <c r="A31" i="19" s="1"/>
  <c r="BH32" i="2"/>
  <c r="BJ32" i="2" s="1"/>
  <c r="A32" i="19" s="1"/>
  <c r="BH33" i="2"/>
  <c r="BJ33" i="2" s="1"/>
  <c r="A33" i="19" s="1"/>
  <c r="BH34" i="2"/>
  <c r="BJ34" i="2" s="1"/>
  <c r="A34" i="19" s="1"/>
  <c r="BH35" i="2"/>
  <c r="BJ35" i="2" s="1"/>
  <c r="A35" i="19" s="1"/>
  <c r="BH36" i="2"/>
  <c r="BJ36" i="2" s="1"/>
  <c r="A36" i="19" s="1"/>
  <c r="BH1" i="2"/>
  <c r="O29" i="19" l="1"/>
  <c r="O28" i="19"/>
  <c r="O12" i="19"/>
  <c r="O27" i="19"/>
  <c r="O11" i="19"/>
  <c r="O26" i="19"/>
  <c r="O10" i="19"/>
  <c r="O25" i="19"/>
  <c r="O9" i="19"/>
  <c r="O16" i="19"/>
  <c r="O31" i="19"/>
  <c r="O15" i="19"/>
  <c r="O3" i="19"/>
  <c r="O22" i="19"/>
  <c r="O6" i="19"/>
  <c r="O24" i="19"/>
  <c r="O21" i="19"/>
  <c r="O20" i="19"/>
  <c r="O4" i="19"/>
  <c r="O19" i="19"/>
  <c r="O5" i="19"/>
  <c r="O18" i="19"/>
  <c r="O2" i="19"/>
  <c r="O17" i="19"/>
  <c r="O8" i="19"/>
  <c r="O23" i="19"/>
  <c r="O7" i="19"/>
  <c r="O30" i="19"/>
  <c r="O14" i="19"/>
  <c r="O13" i="19"/>
  <c r="H3" i="19"/>
  <c r="N19" i="19"/>
  <c r="N3" i="19"/>
  <c r="N18" i="19"/>
  <c r="N2" i="19"/>
  <c r="N17" i="19"/>
  <c r="N28" i="19"/>
  <c r="N11" i="19"/>
  <c r="N26" i="19"/>
  <c r="N31" i="19"/>
  <c r="N15" i="19"/>
  <c r="N16" i="19"/>
  <c r="N30" i="19"/>
  <c r="N14" i="19"/>
  <c r="N29" i="19"/>
  <c r="N13" i="19"/>
  <c r="N20" i="19"/>
  <c r="N27" i="19"/>
  <c r="N8" i="19"/>
  <c r="N25" i="19"/>
  <c r="N12" i="19"/>
  <c r="N4" i="19"/>
  <c r="N10" i="19"/>
  <c r="N9" i="19"/>
  <c r="N24" i="19"/>
  <c r="N23" i="19"/>
  <c r="N7" i="19"/>
  <c r="N22" i="19"/>
  <c r="N6" i="19"/>
  <c r="N21" i="19"/>
  <c r="N5" i="19"/>
  <c r="M19" i="19"/>
  <c r="M3" i="19"/>
  <c r="M12" i="19"/>
  <c r="M18" i="19"/>
  <c r="M2" i="19"/>
  <c r="M29" i="19"/>
  <c r="M20" i="19"/>
  <c r="M13" i="19"/>
  <c r="M8" i="19"/>
  <c r="M11" i="19"/>
  <c r="M10" i="19"/>
  <c r="M17" i="19"/>
  <c r="M4" i="19"/>
  <c r="M21" i="19"/>
  <c r="M31" i="19"/>
  <c r="M15" i="19"/>
  <c r="M30" i="19"/>
  <c r="M14" i="19"/>
  <c r="M25" i="19"/>
  <c r="M16" i="19"/>
  <c r="M5" i="19"/>
  <c r="M27" i="19"/>
  <c r="M26" i="19"/>
  <c r="M23" i="19"/>
  <c r="M7" i="19"/>
  <c r="M28" i="19"/>
  <c r="M22" i="19"/>
  <c r="M6" i="19"/>
  <c r="M9" i="19"/>
  <c r="M24" i="19"/>
  <c r="K31" i="19"/>
  <c r="K15" i="19"/>
  <c r="K24" i="19"/>
  <c r="K26" i="19"/>
  <c r="K10" i="19"/>
  <c r="K16" i="19"/>
  <c r="K21" i="19"/>
  <c r="K27" i="19"/>
  <c r="K11" i="19"/>
  <c r="K20" i="19"/>
  <c r="K22" i="19"/>
  <c r="K6" i="19"/>
  <c r="K12" i="19"/>
  <c r="K17" i="19"/>
  <c r="K4" i="19"/>
  <c r="K23" i="19"/>
  <c r="K7" i="19"/>
  <c r="K8" i="19"/>
  <c r="K18" i="19"/>
  <c r="K2" i="19"/>
  <c r="K29" i="19"/>
  <c r="K13" i="19"/>
  <c r="K19" i="19"/>
  <c r="K3" i="19"/>
  <c r="K30" i="19"/>
  <c r="K14" i="19"/>
  <c r="K28" i="19"/>
  <c r="K25" i="19"/>
  <c r="K9" i="19"/>
  <c r="K5" i="19"/>
  <c r="H15" i="19"/>
  <c r="H28" i="19"/>
  <c r="H20" i="19"/>
  <c r="H12" i="19"/>
  <c r="H4" i="19"/>
  <c r="H30" i="19"/>
  <c r="H22" i="19"/>
  <c r="H14" i="19"/>
  <c r="H6" i="19"/>
  <c r="H29" i="19"/>
  <c r="H21" i="19"/>
  <c r="H13" i="19"/>
  <c r="H5" i="19"/>
  <c r="H27" i="19"/>
  <c r="H23" i="19"/>
  <c r="H11" i="19"/>
  <c r="H19" i="19"/>
  <c r="H24" i="19"/>
  <c r="H16" i="19"/>
  <c r="H8" i="19"/>
  <c r="H7" i="19"/>
  <c r="H26" i="19"/>
  <c r="H18" i="19"/>
  <c r="H10" i="19"/>
  <c r="H2" i="19"/>
  <c r="H25" i="19"/>
  <c r="H17" i="19"/>
  <c r="H9" i="19"/>
  <c r="H31" i="19"/>
  <c r="I29" i="19"/>
  <c r="I13" i="19"/>
  <c r="I26" i="19"/>
  <c r="I18" i="19"/>
  <c r="I24" i="19"/>
  <c r="I8" i="19"/>
  <c r="I19" i="19"/>
  <c r="I3" i="19"/>
  <c r="I14" i="19"/>
  <c r="I25" i="19"/>
  <c r="I9" i="19"/>
  <c r="I6" i="19"/>
  <c r="I20" i="19"/>
  <c r="I4" i="19"/>
  <c r="I10" i="19"/>
  <c r="I31" i="19"/>
  <c r="I15" i="19"/>
  <c r="I2" i="19"/>
  <c r="I21" i="19"/>
  <c r="I5" i="19"/>
  <c r="I22" i="19"/>
  <c r="I16" i="19"/>
  <c r="I27" i="19"/>
  <c r="I11" i="19"/>
  <c r="I30" i="19"/>
  <c r="I17" i="19"/>
  <c r="I28" i="19"/>
  <c r="I12" i="19"/>
  <c r="I23" i="19"/>
  <c r="I7" i="19"/>
  <c r="L31" i="19"/>
  <c r="L22" i="19"/>
  <c r="L6" i="19"/>
  <c r="L17" i="19"/>
  <c r="L28" i="19"/>
  <c r="L12" i="19"/>
  <c r="L18" i="19"/>
  <c r="L2" i="19"/>
  <c r="L15" i="19"/>
  <c r="L29" i="19"/>
  <c r="L13" i="19"/>
  <c r="L24" i="19"/>
  <c r="L8" i="19"/>
  <c r="L11" i="19"/>
  <c r="L30" i="19"/>
  <c r="L14" i="19"/>
  <c r="L3" i="19"/>
  <c r="L25" i="19"/>
  <c r="L9" i="19"/>
  <c r="L7" i="19"/>
  <c r="L20" i="19"/>
  <c r="L4" i="19"/>
  <c r="L19" i="19"/>
  <c r="L26" i="19"/>
  <c r="L10" i="19"/>
  <c r="L21" i="19"/>
  <c r="L5" i="19"/>
  <c r="L23" i="19"/>
  <c r="L16" i="19"/>
  <c r="L27" i="19"/>
  <c r="J16" i="19"/>
  <c r="J27" i="19"/>
  <c r="J11" i="19"/>
  <c r="J21" i="19"/>
  <c r="J22" i="19"/>
  <c r="J6" i="19"/>
  <c r="J25" i="19"/>
  <c r="J28" i="19"/>
  <c r="J12" i="19"/>
  <c r="J23" i="19"/>
  <c r="J7" i="19"/>
  <c r="J18" i="19"/>
  <c r="J2" i="19"/>
  <c r="J24" i="19"/>
  <c r="J8" i="19"/>
  <c r="J13" i="19"/>
  <c r="J19" i="19"/>
  <c r="J3" i="19"/>
  <c r="J30" i="19"/>
  <c r="J14" i="19"/>
  <c r="J9" i="19"/>
  <c r="J20" i="19"/>
  <c r="J4" i="19"/>
  <c r="J29" i="19"/>
  <c r="J31" i="19"/>
  <c r="J15" i="19"/>
  <c r="J5" i="19"/>
  <c r="J26" i="19"/>
  <c r="J10" i="19"/>
  <c r="J17" i="19"/>
  <c r="O32" i="19" l="1"/>
  <c r="N32" i="19"/>
  <c r="M32" i="19"/>
  <c r="K32" i="19"/>
  <c r="H32" i="19"/>
  <c r="L32" i="19"/>
  <c r="I32" i="19"/>
  <c r="J32" i="19"/>
  <c r="CJ3" i="3" l="1"/>
  <c r="CJ2" i="3"/>
  <c r="CG3" i="3"/>
  <c r="CG2" i="3"/>
  <c r="CM3" i="3" l="1"/>
  <c r="CM2" i="3"/>
  <c r="N2" i="2"/>
  <c r="N17" i="2" s="1"/>
  <c r="CM4" i="3" l="1"/>
  <c r="AB8" i="2"/>
  <c r="AM7" i="2"/>
  <c r="AK4" i="3"/>
  <c r="D3" i="36" l="1"/>
  <c r="C3" i="36"/>
  <c r="AY2" i="3"/>
  <c r="AY7" i="3"/>
  <c r="AY10" i="3"/>
  <c r="AY8" i="3"/>
  <c r="AY5" i="3"/>
  <c r="AY6" i="3"/>
  <c r="AY9" i="3"/>
  <c r="AY3" i="3"/>
  <c r="AY12" i="3"/>
  <c r="AY14" i="3"/>
  <c r="AY11" i="3"/>
  <c r="AY4" i="3"/>
  <c r="AY13"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0330DED-4CDA-4BF3-911F-FC6C9777DB7E}"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5235CFEF-6EE9-47EA-AA50-D605399EB08B}" name="WorksheetConnection_1!$AH$24:$AH$27" type="102" refreshedVersion="6" minRefreshableVersion="5">
    <extLst>
      <ext xmlns:x15="http://schemas.microsoft.com/office/spreadsheetml/2010/11/main" uri="{DE250136-89BD-433C-8126-D09CA5730AF9}">
        <x15:connection id="Range">
          <x15:rangePr sourceName="_xlcn.WorksheetConnection_1AH24AH271"/>
        </x15:connection>
      </ext>
    </extLst>
  </connection>
</connections>
</file>

<file path=xl/sharedStrings.xml><?xml version="1.0" encoding="utf-8"?>
<sst xmlns="http://schemas.openxmlformats.org/spreadsheetml/2006/main" count="45252" uniqueCount="4238">
  <si>
    <t>id. Response ID</t>
  </si>
  <si>
    <t>submitdate. Date submitted</t>
  </si>
  <si>
    <t>lastpage. Last page</t>
  </si>
  <si>
    <t>startlanguage. Start language</t>
  </si>
  <si>
    <t>seed. Seed</t>
  </si>
  <si>
    <t>q0a. I have read the study information and agree with this process.</t>
  </si>
  <si>
    <t>q0b. Do you agree that your data will be anonymously published?</t>
  </si>
  <si>
    <t>q1a. What is your core facility specialized in?</t>
  </si>
  <si>
    <t>q1a[other]. What is your core facility specialized in? [Other]</t>
  </si>
  <si>
    <t>q1b. Does your core facility provide a full service, i.e. running studies for your customers?</t>
  </si>
  <si>
    <t>q1c. Does it provide the infrastructure and methods for the users to work here?</t>
  </si>
  <si>
    <t>q1d. What amount of data is produced per month?</t>
  </si>
  <si>
    <t>q1d[comment]. What amount of data is produced per month? [Comment]</t>
  </si>
  <si>
    <t>q1e. How many employees do you have?</t>
  </si>
  <si>
    <t>q1f. How many users are coming to your core facility per month?</t>
  </si>
  <si>
    <t>q2a. How are you communicating with your users?</t>
  </si>
  <si>
    <t>q2b. Would you like to have the communication with your users improved?</t>
  </si>
  <si>
    <t>q2bi. How?</t>
  </si>
  <si>
    <t>q2c. Are you using a communication software?</t>
  </si>
  <si>
    <t>q2ci. Which software are you using for communicating with your users?</t>
  </si>
  <si>
    <t>q2ci[other]. Which software are you using for communicating with your users? [Other]</t>
  </si>
  <si>
    <t>q2cii. What is your experience?</t>
  </si>
  <si>
    <t>q2ciii. Do you think it would make sense to use a communication platform?  </t>
  </si>
  <si>
    <t>q2civ. Would you see obstacles?</t>
  </si>
  <si>
    <t>q3a. Do you train your users about experimental techniques used in your facility?</t>
  </si>
  <si>
    <t>q3a[comment]. Do you train your users about experimental techniques used in your facility? [Comment]</t>
  </si>
  <si>
    <t>q3ai. What is the most important aspect of your training?</t>
  </si>
  <si>
    <t>q3b. How important do you consider training?</t>
  </si>
  <si>
    <t>q4a. Are you involved in experimental design?</t>
  </si>
  <si>
    <t>q4ai. Why are you not involved?</t>
  </si>
  <si>
    <t>q4aii. Would it be important for you to be involved?  </t>
  </si>
  <si>
    <t>q4aiii. How do you provide it?</t>
  </si>
  <si>
    <t>q4aiv. How do you get involved? </t>
  </si>
  <si>
    <t>q5a. Do you provide information to the user on sample preparation?             </t>
  </si>
  <si>
    <t>q5ai. Would that be important for you to provide?</t>
  </si>
  <si>
    <t>q5b. Do you know what controls the user includes?</t>
  </si>
  <si>
    <t>q5c. Do you know how the user prepares the samples?</t>
  </si>
  <si>
    <t>q5d. If you are aware of poor sample quality do you allow the user to proceed?</t>
  </si>
  <si>
    <t>q6a. Do you provide written standard experimental protocols?</t>
  </si>
  <si>
    <t>q6b. Do you provide guidance how to increase quality and robustness of research outcome? </t>
  </si>
  <si>
    <t>q6c. Do you help the users troubleshoot? </t>
  </si>
  <si>
    <t>q6ci. Do you think this would be important?</t>
  </si>
  <si>
    <t>q6d[q6d1][1]. Please rate the current situation and the importance to implement the feature.   1 = strongly agree  2 = somewhat agree  3 = neither agree nor disagree  4 = somewhat disagree  5 = strongly disagree [Samples are randomized.][Scale 1]</t>
  </si>
  <si>
    <t>q6d[q6d1][2]. Please rate the current situation and the importance to implement the feature.   1 = strongly agree  2 = somewhat agree  3 = neither agree nor disagree  4 = somewhat disagree  5 = strongly disagree [Samples are randomized.][Scale 2]</t>
  </si>
  <si>
    <t>q6d[q6d2][1]. Please rate the current situation and the importance to implement the feature.   1 = strongly agree  2 = somewhat agree  3 = neither agree nor disagree  4 = somewhat disagree  5 = strongly disagree [Samples/experiments are replicated.][Scale 1]</t>
  </si>
  <si>
    <t>q6d[q6d2][2]. Please rate the current situation and the importance to implement the feature.   1 = strongly agree  2 = somewhat agree  3 = neither agree nor disagree  4 = somewhat disagree  5 = strongly disagree [Samples/experiments are replicated.][Scale 2]</t>
  </si>
  <si>
    <t>q6d[q6d3][1]. Please rate the current situation and the importance to implement the feature.   1 = strongly agree  2 = somewhat agree  3 = neither agree nor disagree  4 = somewhat disagree  5 = strongly disagree [Experiments are performed blinded.][Scale 1]</t>
  </si>
  <si>
    <t>q6d[q6d3][2]. Please rate the current situation and the importance to implement the feature.   1 = strongly agree  2 = somewhat agree  3 = neither agree nor disagree  4 = somewhat disagree  5 = strongly disagree [Experiments are performed blinded.][Scale 2]</t>
  </si>
  <si>
    <t>q7a. Who saves the raw data?</t>
  </si>
  <si>
    <t>q7b. Where is the raw data saved?</t>
  </si>
  <si>
    <t>q7c. How are the raw data transferred from the core facility to the user? </t>
  </si>
  <si>
    <t>q7d. Who performs the primary analysis of raw data?</t>
  </si>
  <si>
    <t>q7di. Do you provide guidance or train the user how to analyse raw data?</t>
  </si>
  <si>
    <t>q7e. If applicable, who performs the statistical analysis and is that person appropriately trained?   </t>
  </si>
  <si>
    <t>q7f. Is there a quality control mechanism in place to check whether the data was analysed and interpreted correctly?</t>
  </si>
  <si>
    <t>q7fi. Could you please briefly describe?</t>
  </si>
  <si>
    <t>q7fii. Would it be important and what could it look like?</t>
  </si>
  <si>
    <t>q7g. Do you have a system in place allowing the identification of raw data behind a published figure (where is the raw data stored)?</t>
  </si>
  <si>
    <t>q7gi. Could you please briefly describe?</t>
  </si>
  <si>
    <t>q7h. Are the data backed up?</t>
  </si>
  <si>
    <t>q7i. Are the data archived?</t>
  </si>
  <si>
    <t>q8a. Who maintains the lab book/the documentation?</t>
  </si>
  <si>
    <t>q8b. Do you believe that there is enough documentation about the overall experimental procedure? </t>
  </si>
  <si>
    <t>q8bi. How could that be improved?</t>
  </si>
  <si>
    <t>q9a. Do you provide support for writing the “materials &amp; methods” section for a publication?  </t>
  </si>
  <si>
    <t>q9b. Do the users contact you when writing their publication?</t>
  </si>
  <si>
    <t>q9c. Do you think it could improve the quality of published research data to involve the core facility in the publication and why?  </t>
  </si>
  <si>
    <t>q10a. Do the users actually use the information you provide?</t>
  </si>
  <si>
    <t>q10ai. What do you do to encourage them to use it?</t>
  </si>
  <si>
    <t>q10b. Do you have a data management plan in place (= a written statement/protocol on the management of research data)?</t>
  </si>
  <si>
    <t>q10bi. If you are willing to share with us, please contact us.</t>
  </si>
  <si>
    <t>q10bii. Would you find it useful to implement one and why?  </t>
  </si>
  <si>
    <t>q10c. Do you have sufficient staff to run your facility?</t>
  </si>
  <si>
    <t>q10d. Do you have sufficient funding to maintain and upgrade your equipment? </t>
  </si>
  <si>
    <t>q10e. Are you currently using any tools to achieve higher research quality in your core facility? </t>
  </si>
  <si>
    <t>q10ei. What are these tools? </t>
  </si>
  <si>
    <t>q10f. What are the most important factors for achieving research data quality in your core facility?  </t>
  </si>
  <si>
    <t>q10g. Where do you see the greatest need for improvements in your Core Facility?  </t>
  </si>
  <si>
    <t>q10h. What challenges do you see?</t>
  </si>
  <si>
    <t>en</t>
  </si>
  <si>
    <t>N/A</t>
  </si>
  <si>
    <t>yes</t>
  </si>
  <si>
    <t>No</t>
  </si>
  <si>
    <t>1980-01-01 00:00:00</t>
  </si>
  <si>
    <t>Yes</t>
  </si>
  <si>
    <t>crystallography</t>
  </si>
  <si>
    <t>1-1000 MB</t>
  </si>
  <si>
    <t>1-4</t>
  </si>
  <si>
    <t>email, website, phone, meetings</t>
  </si>
  <si>
    <t>Discussing a project requires many different documents provided by the users</t>
  </si>
  <si>
    <t>moderately important</t>
  </si>
  <si>
    <t>Yes, we are actively involved</t>
  </si>
  <si>
    <t>project discussion with user</t>
  </si>
  <si>
    <t>always</t>
  </si>
  <si>
    <t>Core Facility (CF); Users have to save data that is important for them</t>
  </si>
  <si>
    <t>CF</t>
  </si>
  <si>
    <t>CF LIMS with access for users</t>
  </si>
  <si>
    <t>the user</t>
  </si>
  <si>
    <t>cross check by CF personnel</t>
  </si>
  <si>
    <t>the core facility</t>
  </si>
  <si>
    <t>sometimes</t>
  </si>
  <si>
    <t>Even after axtensive training, users tend to forget the basics</t>
  </si>
  <si>
    <t>communication with users</t>
  </si>
  <si>
    <t>renew machines and computers</t>
  </si>
  <si>
    <t>obtain funding for renewal of machines / computers</t>
  </si>
  <si>
    <t>flow cytometry</t>
  </si>
  <si>
    <t>I don’t know</t>
  </si>
  <si>
    <t>microscopy</t>
  </si>
  <si>
    <t>1-1000 TB</t>
  </si>
  <si>
    <t>3-5</t>
  </si>
  <si>
    <t>In person (English)</t>
  </si>
  <si>
    <t>Yes, we provide information</t>
  </si>
  <si>
    <t>rarely</t>
  </si>
  <si>
    <t>often</t>
  </si>
  <si>
    <t>Our facility does.</t>
  </si>
  <si>
    <t>In our server temporarily and archived lates (every month).</t>
  </si>
  <si>
    <t>Internal server</t>
  </si>
  <si>
    <t>Depends on the user and project.</t>
  </si>
  <si>
    <t>both</t>
  </si>
  <si>
    <t>Other</t>
  </si>
  <si>
    <t>Biophysics</t>
  </si>
  <si>
    <t>The data we generate does not require a lot of space since most of the files are tab -delimited text files.</t>
  </si>
  <si>
    <t>Email, in person</t>
  </si>
  <si>
    <t>Moderation of threads.</t>
  </si>
  <si>
    <t>For most of our instruments we train our users since we do not have the staff necessary to provide services on a large scale. Only a few (complicated) experiments are done on a service basis.</t>
  </si>
  <si>
    <t>- How to use the instrument; also, so users do not cause damage
- How to set up an experiment, incl. what controls are needed
- Data analysis</t>
  </si>
  <si>
    <t>very important</t>
  </si>
  <si>
    <t>In personal meetings. This is not necessarily done for all experiments.</t>
  </si>
  <si>
    <t>Users</t>
  </si>
  <si>
    <t>Computer harddrives. Users are responsible for moving/saving their data.</t>
  </si>
  <si>
    <t>Cloud.</t>
  </si>
  <si>
    <t>This depends on the instrument used. Where the core facility is involved in the data analysis we will comment here. Otherwise users are responsible. Our university offers courses on statistics on a regular basis.</t>
  </si>
  <si>
    <t>Ideally yes. If this were the case we would generally be more involved in the data analysis of all/most experiments. At the moment we only do this for a few, "difficult" experiments. However, this is rather unrealistic because I lack staff.</t>
  </si>
  <si>
    <t>For some experiments I do get contacted - this is in instances where the core facility is involved in carrying out/analysing experiments. However, in most cases I do not contacted. Most of the time this does not impact the quality of publications.</t>
  </si>
  <si>
    <t>Yes. Many students, especially early on in their careers do not (yet) realize how important good documentation is....</t>
  </si>
  <si>
    <t>I would like to organise more training courses, seminars and small workshops on the different techniques we offer.</t>
  </si>
  <si>
    <t>I need more time and more staff. I run the core facility as a "hobby", in addition to my own research group. I do not have any permanent staff (there was no option for this on the first page of the survey). We have solved our staffing problem by appointing a series of "superusers". These are experienced PhD students or postdocs that use a particular instrument on a regular basis. They help out in training new users. Generally this works quite well. However, we have a series of very different instruments - some can be explained very quickly, others require a lot of time and effort to explain set up, experimental design and data analysis. Also, we have a permanent turnover of "superusers" which causes additional organisational challenges.</t>
  </si>
  <si>
    <t>pluripotent stem cells</t>
  </si>
  <si>
    <t>&lt; 1MB</t>
  </si>
  <si>
    <t>Email, Meetings, Skype, phone, Booking System</t>
  </si>
  <si>
    <t>important</t>
  </si>
  <si>
    <t>We usually do the planning ourself (full-service).</t>
  </si>
  <si>
    <t>Facility</t>
  </si>
  <si>
    <t>Server</t>
  </si>
  <si>
    <t>Cloud</t>
  </si>
  <si>
    <t>NA</t>
  </si>
  <si>
    <t>Yes because they know best what they did.</t>
  </si>
  <si>
    <t>No.</t>
  </si>
  <si>
    <t>documentation</t>
  </si>
  <si>
    <t>more scientific staff</t>
  </si>
  <si>
    <t>Cost recovery</t>
  </si>
  <si>
    <t>The GB range is missing. I would have selected that.</t>
  </si>
  <si>
    <t>Via sound waves and emails</t>
  </si>
  <si>
    <t>Theoretical background and proper use of techniques.</t>
  </si>
  <si>
    <t>Via sound waves.</t>
  </si>
  <si>
    <t>Both the users and us.</t>
  </si>
  <si>
    <t>The users, we don't know.
We save it on a NAS device.</t>
  </si>
  <si>
    <t>USB and/or network interface.</t>
  </si>
  <si>
    <t>It's not the core facilities responsibility how the users handle their own data.</t>
  </si>
  <si>
    <t>It could.
But a core facility could provide sufficient training so that the core facility personnel wouldn't be needed for the handling of data and publication.</t>
  </si>
  <si>
    <t>Data belongs to the users, so we don't check.</t>
  </si>
  <si>
    <t>proteomics</t>
  </si>
  <si>
    <t>E-Mail, Phone</t>
  </si>
  <si>
    <t>The implementation might be a hurdle</t>
  </si>
  <si>
    <t>Data analysis</t>
  </si>
  <si>
    <t>If possible we meet the users before they start doing any experiment.</t>
  </si>
  <si>
    <t>We save it on duplicated NAS systems . Additioanlly user data are stored at QBIC (Quantitative biology center Tübingen).</t>
  </si>
  <si>
    <t>On duplicated NAS systems inn house plus at QBIC.</t>
  </si>
  <si>
    <t>Normally the raw data are not transferred to the users, only the results. If users need raw data, these can be downloaded via a web portal.</t>
  </si>
  <si>
    <t>In most cases a trained core facility member. For more complex approaches, QBIC is doing the data analysis. If the users provide samples more frequently, they will be trained by us.</t>
  </si>
  <si>
    <t>A second person always checks the analysis</t>
  </si>
  <si>
    <t>Published data are made available via PRIDE.</t>
  </si>
  <si>
    <t>Yes, core users are normally not as familiar with the data produced as the core facility members are. Therefore, it is necessary and in most cases also wanted by the users to involve the core faciltiy.</t>
  </si>
  <si>
    <t>Explain the data, try to highlight interesting findings. This takes a lot of time but is worth it.</t>
  </si>
  <si>
    <t>Standard procedures, constant quality control, advise users to ensure high sample quality and experimental design.</t>
  </si>
  <si>
    <t>Lower the administrative workload.</t>
  </si>
  <si>
    <t>To acquire state-of-the-art machines.
Advising users takes a lot of time and requires flexibility.
Constant development of the core facility to keep up with the rapid development.</t>
  </si>
  <si>
    <t>transgenic technology</t>
  </si>
  <si>
    <t>Not applicable!!!</t>
  </si>
  <si>
    <t>e-mail, website, phone, animal database and most preferably direct meetings</t>
  </si>
  <si>
    <t>but rarely. Only for specific techniques for analysis of mouse preimplantation embryos.</t>
  </si>
  <si>
    <t>Precision, motivation and patience</t>
  </si>
  <si>
    <t>Facility and users</t>
  </si>
  <si>
    <t>electronically, on animal database and on signed printouts</t>
  </si>
  <si>
    <t>electronically and on animal database</t>
  </si>
  <si>
    <t>users if required</t>
  </si>
  <si>
    <t>before the publication process</t>
  </si>
  <si>
    <t>Notebooks of users</t>
  </si>
  <si>
    <t>Yes, because in addition of being head of the facility I am also a developmental biologist and colllaborate on research projects whenever I get the possibility to do it.</t>
  </si>
  <si>
    <t>Use my experience as a developmental biologist and my experience gained internationnally from networking with colleagues in the field of transgenic technologies...</t>
  </si>
  <si>
    <t>a voir</t>
  </si>
  <si>
    <t>Precision, SOP's</t>
  </si>
  <si>
    <t>Increase research collaborations with user groups.</t>
  </si>
  <si>
    <t>Increase communication and collaboration with all stakeholders</t>
  </si>
  <si>
    <t>Data management/Bioinformatics</t>
  </si>
  <si>
    <t>&gt;16</t>
  </si>
  <si>
    <t>Zendesk</t>
  </si>
  <si>
    <t>perfect</t>
  </si>
  <si>
    <t>Understanding each other</t>
  </si>
  <si>
    <t>We don't do projects without being involved</t>
  </si>
  <si>
    <t>We</t>
  </si>
  <si>
    <t>locally</t>
  </si>
  <si>
    <t>portal interface</t>
  </si>
  <si>
    <t>Zenodo</t>
  </si>
  <si>
    <t>Web forms
e-mails</t>
  </si>
  <si>
    <t>web forms / PPMS</t>
  </si>
  <si>
    <t>communication with users ok, more effort in communications with PIs</t>
  </si>
  <si>
    <t>specific training for each application, each microscope</t>
  </si>
  <si>
    <t>1 to 1 talks</t>
  </si>
  <si>
    <t>users</t>
  </si>
  <si>
    <t>Initially on local computer and server of facility (LSDF)</t>
  </si>
  <si>
    <t>by user, mostly on external harddisks</t>
  </si>
  <si>
    <t>the user- or somebody in his group or collaborator. This is in the responsibility of the PI</t>
  </si>
  <si>
    <t>This is in the responsibility of the PI. We teach on do and don'ts</t>
  </si>
  <si>
    <t>Framework of documentation would need to be enforced. However for that an agreement would have to be reached between PIs and Facility and between different PIs. A a common effort would have to be made. We do not see how documentation could be easy enough, for everybody to comply to a common standard.</t>
  </si>
  <si>
    <t>Yes!</t>
  </si>
  <si>
    <t>usually they need the information and are thankful for it</t>
  </si>
  <si>
    <t>We have users from different institutes, we do not have the authority to impose it, nor the manpower to enforce it. In the end the PI/ last author is responsible for it.  We can provide guidance, but it would be silly to take responsibility for it, because it is mostly out of our hands.</t>
  </si>
  <si>
    <t>Training users, learning from users and going to conferences. Checking instrumentation and getting new technologies.</t>
  </si>
  <si>
    <t>Good, motivated staff</t>
  </si>
  <si>
    <t>Sustainable funding of staff and equipment. Being part of the scientific community.</t>
  </si>
  <si>
    <t>Increasing Bureaucracy.</t>
  </si>
  <si>
    <t>preclinical In vivo imaging (MRI, CT, multi-photon, PET)</t>
  </si>
  <si>
    <t>website, newsletters, workshop and seminars</t>
  </si>
  <si>
    <t>find the budget to hire dedicated person for communication</t>
  </si>
  <si>
    <t>knowledge of the system</t>
  </si>
  <si>
    <t>initial discussion before and during trainings</t>
  </si>
  <si>
    <t>institutional server</t>
  </si>
  <si>
    <t>network, using a DMZ, a data management zone</t>
  </si>
  <si>
    <t>user, or another dedicated facility</t>
  </si>
  <si>
    <t>I am taking care mainly on the quality of the acquisition by maintening and training users. For analysis there is another facility that can be used with dedicted people.</t>
  </si>
  <si>
    <t>the institutional server provides active storage that can be accessible only by investigators and archive storage. As such raw data can archived on a specific folder to a specific project to be retreived in the future.</t>
  </si>
  <si>
    <t>by hiring more expert people, to have more time dedicated on updating our knowledge</t>
  </si>
  <si>
    <t>It would provide precise procedures to the manuscript and on the facility side facility managers will feel more concerned about the data collection and improving the service</t>
  </si>
  <si>
    <t>show case during workshop and seminars</t>
  </si>
  <si>
    <t>that would be very useful to help researchers to go faster and to help them until the end of the process from the acquisition to the analysis.</t>
  </si>
  <si>
    <t>hiring more people to have more time to test systems in order to prevent problems.</t>
  </si>
  <si>
    <t>data center, more staff</t>
  </si>
  <si>
    <t>to keep up to date on last technologies. Concerning data management, factors like data privacy doesn't allow my staff to get access and rights on the data. As a consequence I can't deal with data management.</t>
  </si>
  <si>
    <t>bi-annual newsletter, email list per instrument, annual user meeting, incidents are reported on our reservation system (PPMS)</t>
  </si>
  <si>
    <t>PPMS</t>
  </si>
  <si>
    <t>communication is very important</t>
  </si>
  <si>
    <t>instrument training</t>
  </si>
  <si>
    <t>discussion, protocols on our website</t>
  </si>
  <si>
    <t>academic NAS</t>
  </si>
  <si>
    <t>network</t>
  </si>
  <si>
    <t>no</t>
  </si>
  <si>
    <t>only in selected case upon demand</t>
  </si>
  <si>
    <t>good training, good intruments</t>
  </si>
  <si>
    <t>hiring a data analyst</t>
  </si>
  <si>
    <t>personnel</t>
  </si>
  <si>
    <t>lipidomics</t>
  </si>
  <si>
    <t>This depends on the acquisition modes - we perform more targeted then untargeted analysis and thus the data size is much lower but the number of projects is fairly significant</t>
  </si>
  <si>
    <t>5-8</t>
  </si>
  <si>
    <t>10 on average</t>
  </si>
  <si>
    <t>By mail, by phone and through "in vivo" discussions. Discussions constitute the preferred way of communication in order to understand the biological question, make sure that the experiemnt has been designed properly and suggest the best approach and/or analysis type to produce the most useful data (to answer the question).</t>
  </si>
  <si>
    <t>It can always be improved but I believe this is rather a personal issue. We should make an effort to educate researchers on the best practices while designing their experiments and collecting and storingtheir samples for metabolomic analysis.</t>
  </si>
  <si>
    <t>Communication is indeed very important and I would say it relies exclusively on exchange of information and how much each person involved cares about the outcome.</t>
  </si>
  <si>
    <t>We don't have open-access instrumentation.
Users need to have the general idea on how we proceed with teh measurement but they don't need to know about the principle of instrument function. They simply need to understand the workflow (from sample preparation through data acquisition and to data processing and analysis).</t>
  </si>
  <si>
    <t>Through the discussion with our users, in person.</t>
  </si>
  <si>
    <t>We do it as a platform</t>
  </si>
  <si>
    <t>On our servers</t>
  </si>
  <si>
    <t>Always in a final report - so processed and analyzed (and of course following the data quality assessment by metabolomics experts)</t>
  </si>
  <si>
    <t>We perform teh exploratory statistical analysis following the advice of our statistician and/or bioinformatician</t>
  </si>
  <si>
    <t>Mainly based on QCs, as well as interanl standards and calibration curves for quantification methods (that in case go through the process of validation before applictaion)</t>
  </si>
  <si>
    <t>On our server</t>
  </si>
  <si>
    <t>Yes of course, it is all about the expertise in every field, and this is the same with the application of different technologies</t>
  </si>
  <si>
    <t>We highlight were it can be found and that we have provided it, we stay in contact</t>
  </si>
  <si>
    <t>we are using all the open access tools in addition to vendors software</t>
  </si>
  <si>
    <t>The interest about the project and the expertise to judge the data quality.</t>
  </si>
  <si>
    <t>Doing more research and development - this is the key to successfull service activity because metabolomics is a rapidly evolving field.</t>
  </si>
  <si>
    <t>the same - doing research and service in parallel is hard but doable and should be our priority</t>
  </si>
  <si>
    <t>200GB</t>
  </si>
  <si>
    <t>e-mail, website, twitter</t>
  </si>
  <si>
    <t>So I know that they are reading the information not just receiving</t>
  </si>
  <si>
    <t>Maybe a good thing but still depends on the users being engaged to read</t>
  </si>
  <si>
    <t>Ensuring they know when to ask questions.</t>
  </si>
  <si>
    <t>We vary our approach depending on the user's requirements.  Some choose to make the most of our expertise but others prefer to choose other routes.  We cannot force researchers to listen.</t>
  </si>
  <si>
    <t>The user is responsible for backing up their own data but we do pay to keep a 2 year backup.</t>
  </si>
  <si>
    <t>Our backup is on university server space.  The users backup is unknown.</t>
  </si>
  <si>
    <t>Via an internal cloud based system.</t>
  </si>
  <si>
    <t>The facility does not provide statistical support.  This is often the user or in some cases a bioinformatician.</t>
  </si>
  <si>
    <t>That is important - facility staff (field specialists) should be involved before data is sent to be published.</t>
  </si>
  <si>
    <t>Yes, because they are the field experts and can view the data unbiased.  Would reduce the amount of unreproducible data in print.</t>
  </si>
  <si>
    <t>Respond with the information requested as a website link.</t>
  </si>
  <si>
    <t>Yes, I think this would be helpful but it should be part be a higher level institute plan.</t>
  </si>
  <si>
    <t>Helping users have a basic understanding of science and what constitutes a good experiment.</t>
  </si>
  <si>
    <t>Need institutional attitudes towards core facilities to change and have them fully integrated in the new research landscape.</t>
  </si>
  <si>
    <t>The research/core facility structure needs to be a symbiotic relationship with a common output goal.  Creating this environment relies on institutional change and this will be be the biggest challenge.</t>
  </si>
  <si>
    <t>Chemical Biology</t>
  </si>
  <si>
    <t>9-12</t>
  </si>
  <si>
    <t>1-2</t>
  </si>
  <si>
    <t>personal meetings
email, phone
presentations</t>
  </si>
  <si>
    <t>we have a standardised reporting process usually with powerpoint and excel table outputs. Any platform needs to be operating system independent</t>
  </si>
  <si>
    <t>We do limited training in specialised workshops/courses once per year</t>
  </si>
  <si>
    <t>New and up and coming techniques in drug discovery and validation</t>
  </si>
  <si>
    <t>slightly important</t>
  </si>
  <si>
    <t>We provide expertise in design of assays before they are transferred to us. We then do the whole work independently and report the outcome to the users.</t>
  </si>
  <si>
    <t>We save all the data</t>
  </si>
  <si>
    <t>on a central database which is backed up</t>
  </si>
  <si>
    <t>On request</t>
  </si>
  <si>
    <t>we perform basic statistics using standardised SOPs</t>
  </si>
  <si>
    <t>This is implemented into the data analysis work flow</t>
  </si>
  <si>
    <t>electronic lab journals which are being implemented</t>
  </si>
  <si>
    <t>Yes- users often over/miss interpret data and what it means</t>
  </si>
  <si>
    <t>machine sign in, eLab books, quality control templates and SOPs</t>
  </si>
  <si>
    <t>Good starting materials and iterative dialogue with the PIs at the beginning of a project.</t>
  </si>
  <si>
    <t>Funding for state of the art equipment and continuous staff training. Chemistry resources</t>
  </si>
  <si>
    <t>Long term stable funding</t>
  </si>
  <si>
    <t>histology</t>
  </si>
  <si>
    <t>e mail, website, visual display, brochures, personal interaction, facebook</t>
  </si>
  <si>
    <t>more regular outreach</t>
  </si>
  <si>
    <t>time resource</t>
  </si>
  <si>
    <t>technical competence to use equipment</t>
  </si>
  <si>
    <t>verbal and written guidance, SOP's</t>
  </si>
  <si>
    <t>server/datastore</t>
  </si>
  <si>
    <t>network, external storage</t>
  </si>
  <si>
    <t>We are a MHRA GLP/GCP accredited academic facility for service work we perform, academic users generally don't work to accredited quality systems</t>
  </si>
  <si>
    <t>for materials and methods, imaging data and photomicrographs, digital images core facility staff may be able to provide better material than researcher</t>
  </si>
  <si>
    <t>its their choice to use us or not</t>
  </si>
  <si>
    <t>We have SOP's standard documents as required under MHRA GLP regulatrions</t>
  </si>
  <si>
    <t>skilled experienced staff and a quality system</t>
  </si>
  <si>
    <t>rewarding and recruiting skilled valued staff</t>
  </si>
  <si>
    <t>Difficulty in recruiting and retaining highly technically skilled staff</t>
  </si>
  <si>
    <t>genomics</t>
  </si>
  <si>
    <t>emails mainly</t>
  </si>
  <si>
    <t>It should be fully searchable, and exportable in standard fomat.</t>
  </si>
  <si>
    <t>Our core members.</t>
  </si>
  <si>
    <t>On backuped servers.</t>
  </si>
  <si>
    <t>Through the internal network.</t>
  </si>
  <si>
    <t>We have a list of check points to control. We tick the boxes when done.</t>
  </si>
  <si>
    <t>We remind them we gave these info to them already.</t>
  </si>
  <si>
    <t>no, too much paperwork</t>
  </si>
  <si>
    <t>More staff would be great, to insure experiments are performed without time pressure (which increases risk of error)</t>
  </si>
  <si>
    <t>Staff number to have less time pressure, and to be able to do more upstream testing of new protocols, and optimization.</t>
  </si>
  <si>
    <t>The Faculty does not have unlimited money.</t>
  </si>
  <si>
    <t>cell culture</t>
  </si>
  <si>
    <t>100-120</t>
  </si>
  <si>
    <t>Facility Induction tours, facility handbooks, user group meetings, emails, in person</t>
  </si>
  <si>
    <t>Experimental design is group leaders responsibility</t>
  </si>
  <si>
    <t>never</t>
  </si>
  <si>
    <t>Researchers</t>
  </si>
  <si>
    <t>Lab books, University servers</t>
  </si>
  <si>
    <t>Not applicable</t>
  </si>
  <si>
    <t>hands on training in aspectic and cell culture techniques for all new PhD students</t>
  </si>
  <si>
    <t>Provide them with catalogue information for the consumables and solutions we supply for PhD thesis/MSc project write up etc.</t>
  </si>
  <si>
    <t>Liquid handling robots, plate washers</t>
  </si>
  <si>
    <t>reduces pipetting errors etc. increases throughput.</t>
  </si>
  <si>
    <t>more staff to improve service standards and train new students in asepctic technique etc.</t>
  </si>
  <si>
    <t>Funding for new post</t>
  </si>
  <si>
    <t>E-mail, messaging via iLabs, Telephone, face-to-face</t>
  </si>
  <si>
    <t>Better overview of e-mails</t>
  </si>
  <si>
    <t>No bio-informatic support, please note this is reflected in questions 2 and 3 at the beginning.</t>
  </si>
  <si>
    <t>That the users understand why they are doing certain steps and how they work.</t>
  </si>
  <si>
    <t>meeting face to face and discussion about aims of the users project</t>
  </si>
  <si>
    <t>user we store for two months</t>
  </si>
  <si>
    <t>unknown</t>
  </si>
  <si>
    <t>via BelWue</t>
  </si>
  <si>
    <t>Bioinformatician. This is a core facility the users themselves are told several times to find a bioinformatician in their field who can understand the biology better.</t>
  </si>
  <si>
    <t>only one person in the lab don't know who to go to for support</t>
  </si>
  <si>
    <t>iLabs</t>
  </si>
  <si>
    <t>Better time turn over of samples. 
Ideal production of meta data to be sent with data to show what has been done. 
Lot number tracking.
Bioinformatic support</t>
  </si>
  <si>
    <t>Funding and hiring of staff.</t>
  </si>
  <si>
    <t>mouse</t>
  </si>
  <si>
    <t>personally</t>
  </si>
  <si>
    <t>how to use our eqipment</t>
  </si>
  <si>
    <t>training</t>
  </si>
  <si>
    <t>Behavioural Analysis</t>
  </si>
  <si>
    <t>Through the core facility website and also by email</t>
  </si>
  <si>
    <t>Yes, because we work with live animals and this is sensitive subject</t>
  </si>
  <si>
    <t>Compliance with animal testing regulations and ethics</t>
  </si>
  <si>
    <t>From the genesis of the project to its finality</t>
  </si>
  <si>
    <t>Mail, Phone, Meeting</t>
  </si>
  <si>
    <t>Construct design, background of mice, technology</t>
  </si>
  <si>
    <t>The facility</t>
  </si>
  <si>
    <t>Fileserver</t>
  </si>
  <si>
    <t>Network</t>
  </si>
  <si>
    <t>protein expression</t>
  </si>
  <si>
    <t>By email, by phone, by face-to-face meeting.</t>
  </si>
  <si>
    <t>Software for project progression.</t>
  </si>
  <si>
    <t>By project management, start project, experimental design, report, invoicing.</t>
  </si>
  <si>
    <t>The Core Facility.</t>
  </si>
  <si>
    <t>Internal server.</t>
  </si>
  <si>
    <t>The stay in the core. The user gets a report or data sheet related to the produced protein.</t>
  </si>
  <si>
    <t>Advisory board and evaluation board (external)</t>
  </si>
  <si>
    <t>Email, Twitter</t>
  </si>
  <si>
    <t>Intranet page, local forum</t>
  </si>
  <si>
    <t>Don't understand it</t>
  </si>
  <si>
    <t>Occasional PhD students in techniques e.g. Real-time PCR, NGS library prep.</t>
  </si>
  <si>
    <t>Making the student confident in their ongoing work, using the insturments correctly</t>
  </si>
  <si>
    <t>Face to face discussion and email</t>
  </si>
  <si>
    <t>We save for a short time but it transfers to the user</t>
  </si>
  <si>
    <t>Cluster and/or BaseSpace</t>
  </si>
  <si>
    <t>BaseSpace email for small files</t>
  </si>
  <si>
    <t>User, they may use the Uni's analysis group</t>
  </si>
  <si>
    <t>Not easy to implement here.</t>
  </si>
  <si>
    <t>Yes, correct and detailed methods should be published</t>
  </si>
  <si>
    <t>Nothing, its up to them</t>
  </si>
  <si>
    <t>Yes, ISO accreditation in the future</t>
  </si>
  <si>
    <t>Accuracy, training, attention to detail</t>
  </si>
  <si>
    <t>Automation, more equipment</t>
  </si>
  <si>
    <t>Funding and competing on price with large commercial providers</t>
  </si>
  <si>
    <t>bioinformatics</t>
  </si>
  <si>
    <t>E-mail, weekly meetings, github</t>
  </si>
  <si>
    <t>Sufficient amount of time has to be dedicated for training.
Users should ideally be trained on their own data.</t>
  </si>
  <si>
    <t>We would like to be involved. Unfortunately in 95% of cases data will be produced without our consultation.</t>
  </si>
  <si>
    <t>The user</t>
  </si>
  <si>
    <t>With the user</t>
  </si>
  <si>
    <t>Shared network volumes, analysis reports vie email</t>
  </si>
  <si>
    <t>this is us, and yes, we are very very well trained</t>
  </si>
  <si>
    <t>There is almost no way to assess if the data was analysed correctly.  A totally  independent analysis would be the best approach. Costs too much time for complicated studies though.</t>
  </si>
  <si>
    <t>Exclusion/Inclusion is never properly documented. Sampling bias is a huge problem.
Independent biological replication is difficult to evaluate as important experimental parameters are not communicated. e.g. sampling date, batch of cells, batch of protein. etc.</t>
  </si>
  <si>
    <t>Complete documentation of M&amp;M requires involvement of the cores.</t>
  </si>
  <si>
    <t>Communication, education</t>
  </si>
  <si>
    <t>Acquisition of competence by reading, exchanging, discussing</t>
  </si>
  <si>
    <t>better staffing, more time</t>
  </si>
  <si>
    <t>no funds for cores</t>
  </si>
  <si>
    <t>email, opening hours, scheduled meeting</t>
  </si>
  <si>
    <t>website, regular updates, seminars</t>
  </si>
  <si>
    <t>Parkour</t>
  </si>
  <si>
    <t>hands on courses</t>
  </si>
  <si>
    <t>meetings</t>
  </si>
  <si>
    <t>Bioinformatic unit</t>
  </si>
  <si>
    <t>internal server</t>
  </si>
  <si>
    <t>access to a data directory</t>
  </si>
  <si>
    <t>Bioinformatic unit, but mainly the user (interact with central and research group based informaticians)</t>
  </si>
  <si>
    <t>yes
typically know the procedure very detailed (but also only part of the workflow)</t>
  </si>
  <si>
    <t>seminars</t>
  </si>
  <si>
    <t>personell discussion before and after sample submission</t>
  </si>
  <si>
    <t>Discussions are time consuming. More experienced persons in the Core facility are needed.</t>
  </si>
  <si>
    <t>iLab Agilent</t>
  </si>
  <si>
    <t>It is ok for management of samples and data. It does not replace discussions.</t>
  </si>
  <si>
    <t>Users should know the basic principles of the technique and learn how results look like, how to deal with them, which software packs are available for that and how to work with them.</t>
  </si>
  <si>
    <t>User tell what they want to analyze and what they expect from the core facility. We tell, how we would analyze the samples and what are preferred methods to do the experiments to end up with samples compatible with the methods of the core facility.</t>
  </si>
  <si>
    <t>university computing center</t>
  </si>
  <si>
    <t>HeiBox</t>
  </si>
  <si>
    <t>users and members of the core facility</t>
  </si>
  <si>
    <t>would be very important</t>
  </si>
  <si>
    <t>public repository</t>
  </si>
  <si>
    <t>It would of course improve the quality of published data because of expert knowledge, but there are also time constrains.</t>
  </si>
  <si>
    <t>Would be helpful, because in that case it would be more easy to collect data for method part of a publication</t>
  </si>
  <si>
    <t>sending members of the core facility to training courses
visiting similar core facilities abroad</t>
  </si>
  <si>
    <t>Personal</t>
  </si>
  <si>
    <t>metabolomics</t>
  </si>
  <si>
    <t>10-20</t>
  </si>
  <si>
    <t>face2face, personal email, intranet page, automatic emails from sample tracking system</t>
  </si>
  <si>
    <t>More users should ask for help/feedback/advice before/during experiments rather than be unhappy with data afterwards. More users should read the manuals that we provide</t>
  </si>
  <si>
    <t>It's difficult to get users to use yet another communication channel. Email works quite well for us. I see that new ways of lab communication like slack are adopted very slowly. Anything where users would have to look or actively access is an obstacle</t>
  </si>
  <si>
    <t>Consult about adapting standard sample prep protocols to specific needs, use of data analysis software</t>
  </si>
  <si>
    <t>I very much like it when users ask about advice on experimental design. Usually in a face2face meeting or by email. Not all users chose to do so.</t>
  </si>
  <si>
    <t>We in the facility save the raw data for 1 to 2 years depending on the measuring platform and then delete it. Users can keep it longer if they want to</t>
  </si>
  <si>
    <t>Server, accessible in intranet and backed up by IT</t>
  </si>
  <si>
    <t>Hardly any user ever asks for raw data because there is little they can do with it. If requested we can copy it to a shared network drive or USB harddrive</t>
  </si>
  <si>
    <t>Usually users perform the statistical analysis. Some are better trained than others.</t>
  </si>
  <si>
    <t>That would be nice to have, but it would require users to annotate their samples. One cannot do or check the statistical analysis without knowing which samples belong to one group of replicates. Our users are sometimes not willing to share this information. Moreover experimental designs can be very different, so that it's difficult to assess the validity of the statistical analysis without knowing the details of the experiment. In consequence I don't know how such a quality check could be implemented</t>
  </si>
  <si>
    <t>Users should share their interpretation with core facility earlier, not only 2 days before submission of the manuscript. Sometimes users mis- or over-interpret their data and might even have done follow up experiments based on incorrect data interpretation. Because of timelines users can become quite resistant to concerns about the validity of their interpretation, if their controls are sufficient...</t>
  </si>
  <si>
    <t>?</t>
  </si>
  <si>
    <t>In theory that would be nice to have, but I think in my current situation it would be a waste of time to implement such a plan because nobody would care about it. Users are the owners of their data and are responsible for what they do with it. Including data management.</t>
  </si>
  <si>
    <t>Good experimental design: unfortunately not very much in our hands
Checksamples, machines in good operating conditions: We are currently improving on the check samples 
More standardization of protocols for better comparability and less machine downtime: Works 80% of the time, but we also have to fulfill special requests
Sound statistical data analysis and interpretation: Would require awareness by users and willingness to use the support we offer.</t>
  </si>
  <si>
    <t>More support for users in data analysis and data interpretation</t>
  </si>
  <si>
    <t>Willingness of users to share experimental details with core facility staff, time constraints</t>
  </si>
  <si>
    <t>Via email or online booking system or personal meetings.</t>
  </si>
  <si>
    <t>iLab</t>
  </si>
  <si>
    <t>Works very well for our needs</t>
  </si>
  <si>
    <t>Personal project discussions</t>
  </si>
  <si>
    <t>Core staff</t>
  </si>
  <si>
    <t>Local hard-drive</t>
  </si>
  <si>
    <t>No raw data is transferred. Only the results.</t>
  </si>
  <si>
    <t>This is performed by the user.</t>
  </si>
  <si>
    <t>No, this is the task and responsibility of the user.</t>
  </si>
  <si>
    <t>Electronic lab book - where also the raw data could be EASILY transferred to.
Currently, that is not feasible.</t>
  </si>
  <si>
    <t>Yes, input from the core to experimental sections could be beneficial.</t>
  </si>
  <si>
    <t>I don't know what is meant hereby.</t>
  </si>
  <si>
    <t>More staff would be required.</t>
  </si>
  <si>
    <t>Not enough funding for staff members.
Poor quality of applicants when you have the funding to hire someone.</t>
  </si>
  <si>
    <t>CRISPR</t>
  </si>
  <si>
    <t>email
face-to-face</t>
  </si>
  <si>
    <t>simple project management software - eg MS Teams with Planner and OneNote</t>
  </si>
  <si>
    <t>email</t>
  </si>
  <si>
    <t>7 year postdoc
5 years core facility head (N = 18 people)
1 year interim core facility head (N = 30 people)
Journal Editor - The CRISPR Journal</t>
  </si>
  <si>
    <t>We have a different service for PhD vs other users. PhD are strongly encouraged to do the relationship is more teacher-student. The other interactions are more collaborative.</t>
  </si>
  <si>
    <t>face time</t>
  </si>
  <si>
    <t>In some cases we design the entire experiment (about 20%)
In other cases it's more of a collaborative relationship (about 55%)
In others it's more of a pure service role (approx 25%)</t>
  </si>
  <si>
    <t>Both User and Core</t>
  </si>
  <si>
    <t>Institute Drives
Shared electronic notebook</t>
  </si>
  <si>
    <t>Sometimes the Core, sometimes the User.
Yes, we are trained.</t>
  </si>
  <si>
    <t>as have a statistician that we can use if we wish</t>
  </si>
  <si>
    <t>Electronic lab book</t>
  </si>
  <si>
    <t>In our case, yes. Our field is a fast evolving field and so our service changes fast and consequently so too will what is written in the methods of a paper.</t>
  </si>
  <si>
    <t>We have a carefully curated 'hand over' package which signals the end of our project. It includes an excerpt for a methods section and publication quality figures.</t>
  </si>
  <si>
    <t>Familiarity with the cutting edge and gold standards in the field. These standards are revealed through reading publications and presenting at conferences.</t>
  </si>
  <si>
    <t>Increased emphasis on technology innovation</t>
  </si>
  <si>
    <t>Balancing being agile and adapting in a fast moving field, with having a cost recovery model that is fit for purpose.</t>
  </si>
  <si>
    <t>up to 10</t>
  </si>
  <si>
    <t>Email &amp; personal communication</t>
  </si>
  <si>
    <t>Does not provide benefits &amp; costs time/money</t>
  </si>
  <si>
    <t>Email</t>
  </si>
  <si>
    <t>the facility</t>
  </si>
  <si>
    <t>server/cloud</t>
  </si>
  <si>
    <t>N/A - interpreted results are transferred</t>
  </si>
  <si>
    <t>yes - the facility on the raw data itself. The precessed data is interpreted by the user - here the situation might be different</t>
  </si>
  <si>
    <t>We have various means to control the data for stringency. e.g. by measuring a combined sample as a QC sample.</t>
  </si>
  <si>
    <t>Yes - check if the information provided by the facility has not been distorted (e.g. by accidentally assigning fructose phosphate to fructose bis phosphate)</t>
  </si>
  <si>
    <t>I think that is the business of our users. We store what is relevant to us and what they do with the data is their business. We cannot control this anyway.</t>
  </si>
  <si>
    <t>Performing excellent analytical work.</t>
  </si>
  <si>
    <t>Qualified and motivated ersonal</t>
  </si>
  <si>
    <t>Acquire resources for methods development / implementation of new instrumentation / testing of new columns, solvent systems, data interpretation software etc. 
The biggest challenge is to mediate the constant pressure between academic customers, research institutions and founding bodies on the question who is paying the full costs of the facility.</t>
  </si>
  <si>
    <t>Mail, Database</t>
  </si>
  <si>
    <t>Training for other facilities</t>
  </si>
  <si>
    <t>Mail, Phone</t>
  </si>
  <si>
    <t>Researcher</t>
  </si>
  <si>
    <t>No raw data</t>
  </si>
  <si>
    <t>No idea</t>
  </si>
  <si>
    <t>Yes. The users dont know enough about the methods and materials used.</t>
  </si>
  <si>
    <t>Nothing</t>
  </si>
  <si>
    <t>More support for the researchers in the design of the experiment.</t>
  </si>
  <si>
    <t>Not enough staff.</t>
  </si>
  <si>
    <t>consulting or E-Mails</t>
  </si>
  <si>
    <t>ilab</t>
  </si>
  <si>
    <t>core unit</t>
  </si>
  <si>
    <t>gwdg and local</t>
  </si>
  <si>
    <t>power folder or FTP server</t>
  </si>
  <si>
    <t>core unit or users</t>
  </si>
  <si>
    <t>via email, phone, our booking platform</t>
  </si>
  <si>
    <t>our students/researchers are overloaded with information, newsletters, social media, other communication channels...</t>
  </si>
  <si>
    <t>how the instrument(s) actually operate (important for troubleshooting)</t>
  </si>
  <si>
    <t>if the users allow us to, we give recommendations on their experimental controls and panel design (suggest to shift fluorophores for example);</t>
  </si>
  <si>
    <t>the user; we provide a back-up until the respective people leave the institute</t>
  </si>
  <si>
    <t>on external hard drives, or a server</t>
  </si>
  <si>
    <t>usually by USB-Stick or external hard drives</t>
  </si>
  <si>
    <t>the user; we hope they are trained...</t>
  </si>
  <si>
    <t>I would like to see the analysis of the data before it goes out (just it never happens)</t>
  </si>
  <si>
    <t>definitely; we are doing complex high-parameter Cytometry, the users often lack the knowledge to use the correct controls or ways of display, without being aware that they are not following best-practice</t>
  </si>
  <si>
    <t>remind them</t>
  </si>
  <si>
    <t>yes, it's always better to have written recommendations</t>
  </si>
  <si>
    <t>training, workshops, seminars, SOPs</t>
  </si>
  <si>
    <t>willingness of the users to improve their data</t>
  </si>
  <si>
    <t>stringency and follow-up on what people are doing with the data</t>
  </si>
  <si>
    <t>research group leaders see this as a too strong involvement/interference</t>
  </si>
  <si>
    <t>mouse, rat, zebrafish behavior</t>
  </si>
  <si>
    <t>Most data are video recordings of animals</t>
  </si>
  <si>
    <t>4-10</t>
  </si>
  <si>
    <t>Mainly email, and in person meetings</t>
  </si>
  <si>
    <t>More feedback of users which is kind of lacking</t>
  </si>
  <si>
    <t>implementation by our IT department</t>
  </si>
  <si>
    <t>Making sure they know what to do and how to do it, following the rules of the facility</t>
  </si>
  <si>
    <t>Advise on what tests to use and animal numbers</t>
  </si>
  <si>
    <t>The user, most programs we use automatically do this</t>
  </si>
  <si>
    <t>Both on the computer that was used, and a backup drive</t>
  </si>
  <si>
    <t>They can download the data from the backup core drive</t>
  </si>
  <si>
    <t>The core does not perform statistical analysis for its users, they are advised who to use</t>
  </si>
  <si>
    <t>The user is personally responsible for data quality, we help with interpretation if asked</t>
  </si>
  <si>
    <t>More data input in the experiment settings, such as who is user, and other comments</t>
  </si>
  <si>
    <t>Yes, better interpretation and quality</t>
  </si>
  <si>
    <t>Provide for free, and indicate the "helpfulness" of it</t>
  </si>
  <si>
    <t>Yes, currently I decide everything</t>
  </si>
  <si>
    <t>Better data management and improving  running protocols</t>
  </si>
  <si>
    <t>Good protocols and well-trained users</t>
  </si>
  <si>
    <t>more support and more money</t>
  </si>
  <si>
    <t>neither is easily available, higher echelons do not see the importance of this</t>
  </si>
  <si>
    <t>Home made LIMS system. Meeting in person.</t>
  </si>
  <si>
    <t>home made web interface based LIMS</t>
  </si>
  <si>
    <t>only a very selected number of power users  (one person per year)</t>
  </si>
  <si>
    <t>Experimental design, sample preparation and data analysis</t>
  </si>
  <si>
    <t>Project lacking appropriate experimental design are not conducted.</t>
  </si>
  <si>
    <t>The facility.</t>
  </si>
  <si>
    <t>Servers that are backed-up.</t>
  </si>
  <si>
    <t>Normally never.</t>
  </si>
  <si>
    <t>Core facility member. Training on the job.</t>
  </si>
  <si>
    <t>Having proper spike in controls, which is a difficult task in case of proteomics.</t>
  </si>
  <si>
    <t>Data management system (database) on in-house server. The database stores the Sample IDs, the experiment and project they belong to. Medadata are also stored (e.g. figures).</t>
  </si>
  <si>
    <t>E labbooks</t>
  </si>
  <si>
    <t>Yes. Important for all aspects of paper and biological data interpretation/discussion of the results. In case the core facilty data represent an important parto of the biological findings in a paper the core facility member(s) have to be coauthors.</t>
  </si>
  <si>
    <t>Explain the potential biologcial meaning of the data. Generation of new hypotheses.</t>
  </si>
  <si>
    <t>Quality control measurements and analysis.</t>
  </si>
  <si>
    <t>High sample quality with appropriate controls and replicate number.</t>
  </si>
  <si>
    <t>Advanced knowledge in statistics and improved programming and data engineering skills.</t>
  </si>
  <si>
    <t>High fluctuation of staff (in the facilty and in the ressearch gpoups=users).
IT infrastructure not up to date.
Keeping track on the latest develoments.</t>
  </si>
  <si>
    <t>flow cytometry and mass cytometry</t>
  </si>
  <si>
    <t>raw data from mass cytometry
flow cytometry only would be &lt; 300 GB/month</t>
  </si>
  <si>
    <t>20-30</t>
  </si>
  <si>
    <t>email
personally
phone
openIris scheduler</t>
  </si>
  <si>
    <t>Users are overwhelmed with the different means of communication. We have a strict rule that people using the core facility have to read their email for information. Also the scheduling software uses email to "communicate". We do not communicate via private means (mobile phone, whats app, etc.). To add an additional means of communication would not be more efficient.</t>
  </si>
  <si>
    <t>We do not have lab space for experiments. We only train for technology and use of instruments, not for sample preparation (unfortunately).</t>
  </si>
  <si>
    <t>All users should get a basic understanding of the technology. To make sure the user feels comfortable with the technology/the instrument. To make sure the user is able to use the QM procedures correctly and understands them and will notice, if the instrument is not in a state to measure samples. We want to support the users in producing reproducible, good quality data.</t>
  </si>
  <si>
    <t>We have a project meeting for every user and we get involved if a user has a special application and needs advice. This is mainly for mass cytometry and imaging mass cytometry.</t>
  </si>
  <si>
    <t>The users are responsible for their data.
The CF saves the data for the cell sorter with backup. The CF saves the data for the user on HD for the mass cytometer.</t>
  </si>
  <si>
    <t>As the users are responsible for that, I can't say.</t>
  </si>
  <si>
    <t>Via a data server provided by the core facilty.
flow cytometry analyser: done by the user
cell sorter, mass cytometer: done by the facility</t>
  </si>
  <si>
    <t>Yes, definitively. Method description, verification of data presentation, etc.</t>
  </si>
  <si>
    <t>personal motivation</t>
  </si>
  <si>
    <t>stick to QM protocols</t>
  </si>
  <si>
    <t>Equipments needs updating</t>
  </si>
  <si>
    <t>Via email and Skype mostly, sometimes via telephone.</t>
  </si>
  <si>
    <t>More streamlined, ticketing system, less pressure to answer immediately.</t>
  </si>
  <si>
    <t>YouTrack software with home-made website built on top of it</t>
  </si>
  <si>
    <t>Communication is almost a full-time job.  It falls apart in 2 different aspects: practical/organization issues and scientific/expert advice. Ideally those can be covered by different people or teams. The expert advice takes most time and is basically a consultancy job. Myself and many core facilities manager colleagues have to care of both types of communication which makes the job rather heavy. It feels like running a small business where you are both the contact for scientific questions and for billing related issues. Most institutes should provide much more support to their core facilities and setup more professional structures (a core facility institute?).</t>
  </si>
  <si>
    <t>We currently train users ad hoc. We hope to setup a training program soon, to group trainees and consume time more efficiently.</t>
  </si>
  <si>
    <t>Software-based analysis of proteomics data so users can perform their own statistical tests and generate their own figures.</t>
  </si>
  <si>
    <t>Most researchers have no idea how to setup their experiment, often because they are lacking the expert knowledge about our technology (proteomics). Hence, they cannot judge what to expect, how many replicates should be included, if multiplexing is appropriate, etc... Experimental design is almost exclusively our task, of course in close consultation with the user.</t>
  </si>
  <si>
    <t>We save the raw mass spectrometry data. Upon publication the raw data files are uploaded in a public repository, mostly the PRIDE database hosted by EBI in our case.</t>
  </si>
  <si>
    <t>First on a 20 TB network drive, then on tape which is in principle stored infinitely.</t>
  </si>
  <si>
    <t>Raw data files are rarely transferred to the users, simply because users don't have the instrument software necessary to open them. If needed, we generate an accessible link to the user folder on our network drive.</t>
  </si>
  <si>
    <t>The core facility personel, under the guidance of the core facility bio-IT responsible and core manager (me). Most setups are rather simple and the same tests can be used often (e.g. t-tests and ANOVA tests). For more complicated setups, the bio-IT responsible takes over and analyzes the data using more complicated tests.</t>
  </si>
  <si>
    <t>Manual check by the core head and nearly always a feedback meeting after the service is finished to discuss the report.</t>
  </si>
  <si>
    <t>We (try to) refer to figures in the materials &amp; methods sections that we provide. Those materials and methods section then provide the link and identifiers to the public repository where the raw data is stored.</t>
  </si>
  <si>
    <t>Absolutely. It is in our terms and conditions to be acknowledged in papers (mandatory), however, very often users spontaneously offer co-authorship (not mandatory). Especially in the latter case we feel responsible for the data provided and make sure everything is correct.</t>
  </si>
  <si>
    <t>Our experience, track record, they trust that we know what we are doing.</t>
  </si>
  <si>
    <t>Cloud-based Quality Control system for MS-based proteomics called QCloud, developed at CRG in Barcelona. Works with commercially available QC samples and makes proteomics QC painless and easy to implement.</t>
  </si>
  <si>
    <t>Standard protocols, data analysis pipelines and reporting templates, the abovementioned QC pipeline.
Full option maintenance contracts on our mass spectrometry equipment. Instruments get broken and dirty, cleaning by the manufacturer is required every 3 months. Excellent maintenance of the equipment is a prerequisite for good service, often forgotten or neglected.</t>
  </si>
  <si>
    <t>Still better and faster instrument maintenance and more institutional policies on which samples/projects to accept, reject or to prioritize to lower the current burden of too many demands. Too many projects also hold a risk for lower quality by too much pressure.</t>
  </si>
  <si>
    <t>core facility specialization</t>
  </si>
  <si>
    <t>full service?</t>
  </si>
  <si>
    <t>users work here?</t>
  </si>
  <si>
    <t>data per month</t>
  </si>
  <si>
    <t>Comment</t>
  </si>
  <si>
    <t># employees</t>
  </si>
  <si>
    <t>users per month</t>
  </si>
  <si>
    <t>1-1000 GB</t>
  </si>
  <si>
    <t>1-20</t>
  </si>
  <si>
    <t>21-40</t>
  </si>
  <si>
    <t>41-60</t>
  </si>
  <si>
    <t>61-80</t>
  </si>
  <si>
    <t>&gt;100</t>
  </si>
  <si>
    <t>How are you communicating with users?</t>
  </si>
  <si>
    <t>communication needs improvement</t>
  </si>
  <si>
    <t xml:space="preserve"> Which software?</t>
  </si>
  <si>
    <t>What is your experience?</t>
  </si>
  <si>
    <t>Would you see obstacles?</t>
  </si>
  <si>
    <t>antibodies</t>
  </si>
  <si>
    <t>NMR</t>
  </si>
  <si>
    <t>1-1000 PB</t>
  </si>
  <si>
    <t>13-16</t>
  </si>
  <si>
    <t>81-100</t>
  </si>
  <si>
    <t>mouse / rat</t>
  </si>
  <si>
    <t>use of communication software</t>
  </si>
  <si>
    <t>If using communication software, does communication still needs improvement?</t>
  </si>
  <si>
    <t>If NOT using communication software, does communication needs improvement?</t>
  </si>
  <si>
    <t>Do you train your users about experimental techniques used in your facility?</t>
  </si>
  <si>
    <t>What is the most important aspect of your training?</t>
  </si>
  <si>
    <t>How important do you consider training?</t>
  </si>
  <si>
    <t>unimportant</t>
  </si>
  <si>
    <t>Are you involved in experimental design?</t>
  </si>
  <si>
    <t>Would it be important for you to be involved?  </t>
  </si>
  <si>
    <t>How do you provide it?</t>
  </si>
  <si>
    <t>How do you get involved? </t>
  </si>
  <si>
    <t>Do you know what controls the user includes?</t>
  </si>
  <si>
    <t>Do you know how the user prepares the samples?</t>
  </si>
  <si>
    <t>If you are aware of poor sample quality do you allow the user to proceed?</t>
  </si>
  <si>
    <t>Do you provide information to the user on sample preparation?      </t>
  </si>
  <si>
    <t>control</t>
  </si>
  <si>
    <t>sample</t>
  </si>
  <si>
    <t>Do you provide written standard experimental protocols?</t>
  </si>
  <si>
    <t>Do you provide guidance how to increase quality and robustness of research outcome? </t>
  </si>
  <si>
    <t>Do you help the users troubleshoot? </t>
  </si>
  <si>
    <t>strongly disagree</t>
  </si>
  <si>
    <t>somewhat disagree</t>
  </si>
  <si>
    <t>neither</t>
  </si>
  <si>
    <t>somewhat agree</t>
  </si>
  <si>
    <t>strongly agree</t>
  </si>
  <si>
    <t xml:space="preserve"> Samples are randomized [current situation]</t>
  </si>
  <si>
    <t>Samples/experiments are replicated [current situation]</t>
  </si>
  <si>
    <t>Samples are randomized [importance]</t>
  </si>
  <si>
    <t>Samples/experiments are replicated [importance]</t>
  </si>
  <si>
    <t>Experiments are performed blinded [current situation]</t>
  </si>
  <si>
    <t xml:space="preserve"> Experiments are performed blinded [importance]</t>
  </si>
  <si>
    <t>currently</t>
  </si>
  <si>
    <t>importance</t>
  </si>
  <si>
    <t>Samples/experiments are replicated</t>
  </si>
  <si>
    <t>Experiments are performed blinded</t>
  </si>
  <si>
    <t>Samples are randomized</t>
  </si>
  <si>
    <t>How are the raw data transferred from the core facility to the user? </t>
  </si>
  <si>
    <t>Who performs the primary analysis of raw data?</t>
  </si>
  <si>
    <t>Is there a quality control mechanism in place to check whether the data was analysed and interpreted correctly?</t>
  </si>
  <si>
    <t>who performs the statistical analysis and is that person appropriately trained?   </t>
  </si>
  <si>
    <t xml:space="preserve"> Do you have a system in place allowing the identification of raw data behind a published figure?</t>
  </si>
  <si>
    <t>Are the data backed up?</t>
  </si>
  <si>
    <t>Are the data archived?</t>
  </si>
  <si>
    <t>Data are searchable and findable [current situation]</t>
  </si>
  <si>
    <t>Data are searchable and findable [importance]</t>
  </si>
  <si>
    <t>Data are compatible / interoperable on another device/software [current situation]</t>
  </si>
  <si>
    <t>Data are compatible / interoperable on another device/software [importance]</t>
  </si>
  <si>
    <t>Data are reusable [current situation]</t>
  </si>
  <si>
    <t>Data are reusable [importance]</t>
  </si>
  <si>
    <t>Data are attributable (Understand who acquired and/or edited the data and when?) [current situation]</t>
  </si>
  <si>
    <t>Data are attributable (Understand who acquired and/or edited the data and when?) [importance]</t>
  </si>
  <si>
    <t>Data are complete and all data included? [current situation]</t>
  </si>
  <si>
    <t>Data are complete and all data included? [importance]</t>
  </si>
  <si>
    <t>Who maintains the lab book/the documentation?</t>
  </si>
  <si>
    <t>Do you believe that there is enough documentation about the overall experimental procedure? </t>
  </si>
  <si>
    <t>Do you provide support for writing the “materials &amp; methods” section for a publication?  </t>
  </si>
  <si>
    <t>Do the users contact you when writing their publication?</t>
  </si>
  <si>
    <t>Do you think it could improve the quality of published research data to involve the core facility in the publication and why?  </t>
  </si>
  <si>
    <t>Do the users actually use the information you provide?</t>
  </si>
  <si>
    <t>What do you do to encourage them to use it?</t>
  </si>
  <si>
    <t>Do you have a data management plan in place (= a written statement/protocol on the management of research data)?</t>
  </si>
  <si>
    <t>Do you have sufficient staff to run your facility?</t>
  </si>
  <si>
    <t>Do you have sufficient funding to maintain and upgrade your equipment? </t>
  </si>
  <si>
    <t>Are you currently using any tools to achieve higher research quality in your core facility? </t>
  </si>
  <si>
    <t>What are the most important factors for achieving research data quality in your core facility?  </t>
  </si>
  <si>
    <t>Where do you see the greatest need for improvements in your Core Facility?  </t>
  </si>
  <si>
    <t>What challenges do you see?</t>
  </si>
  <si>
    <t>other</t>
  </si>
  <si>
    <t>Data are searchable and findable</t>
  </si>
  <si>
    <t xml:space="preserve">Data are compatible / interoperable on another device/software </t>
  </si>
  <si>
    <t>Data are reusable</t>
  </si>
  <si>
    <t>Data are attributable</t>
  </si>
  <si>
    <t>Data are complete and all data included</t>
  </si>
  <si>
    <t>Core Facility</t>
  </si>
  <si>
    <t>user</t>
  </si>
  <si>
    <t xml:space="preserve">user </t>
  </si>
  <si>
    <t>User</t>
  </si>
  <si>
    <t>Do you have a system in place allowing the identification of raw data behind a published figure?</t>
  </si>
  <si>
    <t>140/ active users per month (November 2019)  , total number of users  -  cca 240/ per year</t>
  </si>
  <si>
    <t>First time user can always approach us in person and via email. We send first time users the link to new user project questions - asking user to describe their project, then a) general personal introductory session is scheduled for small group of new users - once a wee - to talk about how to use the Light Microscopy  Facility ( LMF), user guidelines, administration and safety aspects , LMF staff meets once e week to discuss new user project requests - deciding who from LMF staff will be primary care giver to the user, user projects are documented in Trello board, then  individual personal project discussion is schedule one to one between new users and LMF care giver , based on one to one user project discussion individual users training is set on on instruments and user is trained by LMF staff to the point where he/she becomes independent, standard LMF booking database where LMF staff can be booked by users for an assistance and as well instruments can be booked by users too  is for users available 24/7, LMF help-line phone available Mo-Friday 9.00 - 18.00 for ''user emergency type of requests, follow-up on user projects is more ad hoc , either on personal level - personal discussion or via email.</t>
  </si>
  <si>
    <t>I feel that we could have better documented the follow-up regarding the user projects, yet there is also issue of the capacity of the LMF staff - with 4 staff members we have to process 240 users per year many of them with multiple requests.  While we feel that we are quite good at the initial phase with users to get them started in our LMF, we feel that time for follow-up is rather limited and that follow-up on user projects is not done that well.</t>
  </si>
  <si>
    <t>In case that we move to communication platform - we have to make sure that this is SINGLE ENTRY POINT EASY TO USE for users and LMF staff  and for all services and facilities in the institute. Users should not be forced to communicate with different services and facilities using different communication tools. Yet , in case that there is one communication platform - it still must reflect the needs of all users and all services and facilities which are very diverse and this can make the communication tool very complex. Ideally communication tool should allow to communicate about projects, scheduling of the instruments and assistants, trouble tracking of the hardware, administration , billing and statistics of users and instruments etc. This list of features already shows that it will make the tool quite complex. So biggest obstacle is to keep USER Friendliness despite the COMPLEXITY of  such software.</t>
  </si>
  <si>
    <t>To make sure that users become independent in using the techniques which we offer.</t>
  </si>
  <si>
    <t>As already described, we provide new users with the the link to our new user project questions, we discuss the project with user then individual on one to one basis and based on the user project questions and one to one meeting with user we make a plan about which instruments will be used to acquire  data - and we also talk about how the experiment should be design so it meets the needs of the user. We provide suggestions, final decision is up to the user and their research groups leaders.</t>
  </si>
  <si>
    <t>User saves their raw data themselves.</t>
  </si>
  <si>
    <t>Data is saved to the central fileserver of the institution. External users have to save data to their external storage devices.</t>
  </si>
  <si>
    <t>Internal users transfer data themselves to the central fileserver vial institutional network. External users transfer their data themselves  using their external storage devices.</t>
  </si>
  <si>
    <t>Data analysis, image analysis and statistical analysis  is provided by Scientific Computing Facility - SCF  of our institution - should user ask for it. Staff of SCF is trained for that.</t>
  </si>
  <si>
    <t>Yes this is important aspect of research, yet in our role we strongly feel that responsibility for data analysis and interpretation must be in hands of researchers, especially in the hands of research group leaders who are responsible for final research outcome. Given the amount of staff of our LMF, we neither have a capacity nor we have position to judge if the data was analyzes and interpreted correctly. Ultimately quality control is in the hands of the scientific community - should researchers publish reproducible data and other research can reproduce their results then it proves the quality of the published research.</t>
  </si>
  <si>
    <t>Yes -  facility can assure that material and methods section related to the technical aspect of the project is described correctly. Plus it is essential to include facility in acknowledgemets  - and to specify which aspects of the research project were done with the support of the  facility - this is something what scientific journals and their editors should proactively ask for.</t>
  </si>
  <si>
    <t>Our central booking database which provides information about technical aspects our instrumentation. Users are also always encouraged to contact us via email if they wish to have additional information related to their project.</t>
  </si>
  <si>
    <t>Yes - we have to have trackable data in conjution with electronic lab book, our institute is now going into this direction , yet we are not fully there.</t>
  </si>
  <si>
    <t>Educated users, educated staff of the facility, up to data hardware and software, data management system with trackable data coupled to electronic lab books where all data is searchable , mapped to the user and their experiment.</t>
  </si>
  <si>
    <t>Improved staffing - with the current staff we can keep facility operational 240users/4 staff members,  25 instrument/4 staff members - but we have not capacity to follow-up on any of these excellent ideas related to data management, data insfrustructure which this survey is trying to monitor. Also given the fast development in the field of imaging - another big need to is make sure that our hardware and software infrastructure is up-to date - state of the art. And yes, having centralized data management system with trackable data - mapped to the users and their project is another need which we see in front of us,</t>
  </si>
  <si>
    <t>I see that biggest challenge is now lack of finances to improve on above mentioned topics.</t>
  </si>
  <si>
    <t>5-15</t>
  </si>
  <si>
    <t>Facility email address, open office hours, walk-up lab access</t>
  </si>
  <si>
    <t>- automated progress tracking and reporting for users after log-in
- automated invoicing</t>
  </si>
  <si>
    <t>Faculty is too slow to purchase one.</t>
  </si>
  <si>
    <t>Seminars, methods courses, training on projects</t>
  </si>
  <si>
    <t>Project success: only successfuly users are promoters</t>
  </si>
  <si>
    <t>Madatory up-front project discussions for all new projects</t>
  </si>
  <si>
    <t>The core facility.</t>
  </si>
  <si>
    <t>Long-term back to a local computational/data center using tape drives.</t>
  </si>
  <si>
    <t>Not at all. Users usually only get processed results.</t>
  </si>
  <si>
    <t>First-level statistics (PCA, t-testing) is usually done by the core facility to assure data quality.
Advanced statistics sometimes forwarded to a statistics core facility.</t>
  </si>
  <si>
    <t>- Core facility runs QC samples in defined frequency
- Core facility checks results for plausibility</t>
  </si>
  <si>
    <t>Not necessarily. We define this during initial project discussion. If standard methods are used 'as is' then there is no further input needed, so no scientific contribution. If experiments are more complex, scientific contribution of the core facility is discussed up-front.</t>
  </si>
  <si>
    <t>I do not understand the question.</t>
  </si>
  <si>
    <t>Yes. More automated  and standardized procedures are more failsafe.</t>
  </si>
  <si>
    <t>Scientific qualification of core facility personnel. Scientific qualification of core facility personnel. State-of-the-art equipment.</t>
  </si>
  <si>
    <t>Funding for state-of-the-art equipment. Proper staffing, education and career development for core facility personnnel.</t>
  </si>
  <si>
    <t>Funding for state-of-the-art equipment. Proper staffing, education and career development for core facility personnel.</t>
  </si>
  <si>
    <t>Thare is a gap in your list of choices from 1 GB to 1 TB</t>
  </si>
  <si>
    <t>10-15</t>
  </si>
  <si>
    <t>e-mail or in person (phone, less frequently)</t>
  </si>
  <si>
    <t>writing emails is good because the information remains recorded, but takes a lot of time</t>
  </si>
  <si>
    <t>It depends , I have no idea what you mean with " communication platform"</t>
  </si>
  <si>
    <t>only theoretical training</t>
  </si>
  <si>
    <t>Make them understand the possibilities/limitations and the nature of the data generated</t>
  </si>
  <si>
    <t>In depth discussions, ideally  before experiments start.</t>
  </si>
  <si>
    <t>We do</t>
  </si>
  <si>
    <t>Institutional archive</t>
  </si>
  <si>
    <t>e-mail or data transfer server for bigger data</t>
  </si>
  <si>
    <t>The core facility. Specialized bioinformaticians in the user's groups for complex projects</t>
  </si>
  <si>
    <t>Question is unclear.  What would that look like ? In which situation ? You mean standard QC ?It is just not possible. We have to make sure we do a good job.</t>
  </si>
  <si>
    <t>We recommend deposing in Proteomexchange all raw data for manuscripts submitted and we support the process. But we cannot be sure that our users actuially do it.</t>
  </si>
  <si>
    <t>Mostly yes but there are aspectes we could certainly improve. Capturing complex workflows is difficult and time consuming.</t>
  </si>
  <si>
    <t>It is often essential and it happens in most cases (though not in all).</t>
  </si>
  <si>
    <t>Try to highlight some interesting aspects in the data is useful to motivate them</t>
  </si>
  <si>
    <t>Question is too vague. What kind of tools ?</t>
  </si>
  <si>
    <t>1) Good projects with sound biology 2) user committment to sample preparation 3) in-depth discussion and defining all the steps to get to a optimal experimental design 4) up-to-date instrumentation exploited well</t>
  </si>
  <si>
    <t>Better organization and more standardization of sample prep protocols. More automation. More user education. More streamlining of data analysis.</t>
  </si>
  <si>
    <t>Projects become more and more complex. Managing them becomes more and more difficult for a core without having a dedicated person (which is just impossible).</t>
  </si>
  <si>
    <t>1-1000 GB is unfortunately missing</t>
  </si>
  <si>
    <t>mostly e-mail and in person</t>
  </si>
  <si>
    <t>Enable them to use the microscopes such that they get good data, without damaging the hardware.</t>
  </si>
  <si>
    <t>we talk to people</t>
  </si>
  <si>
    <t>temporarily on microscope computers, then on user hardware.</t>
  </si>
  <si>
    <t>by network</t>
  </si>
  <si>
    <t>user or coworker.</t>
  </si>
  <si>
    <t>It would be good to have and it would mean we would need additional positions for respective experts. So this is not going to happen.</t>
  </si>
  <si>
    <t>Yes. Often basic information on the microscopy performed is missing, such as used objective (magnification, NA), pixel size, etc.</t>
  </si>
  <si>
    <t>no. As a core, we cannot take care of our users data. They have to do it themselves.</t>
  </si>
  <si>
    <t>Additional position for bioimaging specialist. 
Maintenance tools to check if the light microscopes are performing well should be provided by the manufacturers.</t>
  </si>
  <si>
    <t>Getting the money to keep the equipment running. Researchers in Germany are not used to pay for microscopy. Some may use an old and bad microscope they found in some corner rather than to pay usage fees for well maintained machines. The situation is improving, but slowly.</t>
  </si>
  <si>
    <t>several GB</t>
  </si>
  <si>
    <t>Phone
email
meetings</t>
  </si>
  <si>
    <t>the users should be able to work with pluripotent stem cells by themthelfs</t>
  </si>
  <si>
    <t>meetings, discussion, project supervision, collaboration</t>
  </si>
  <si>
    <t>the facility and the user, but this is largely irrelevant for my facility</t>
  </si>
  <si>
    <t>preclinical pharmacology</t>
  </si>
  <si>
    <t>This is variable, let say between 20 and 30.</t>
  </si>
  <si>
    <t>I do not see obstacles but the fact is that there is presently no need for a true communication platform</t>
  </si>
  <si>
    <t>Exceptionally some user (i.e. our customers) asked us for training. Nevertheless, this is not something we plan to generalize as by definition our business is to perform experiment for our customers/users.</t>
  </si>
  <si>
    <t>We prepare the study plans and they are approved by us and by our customers/users.</t>
  </si>
  <si>
    <t>We perform experiment for our clients/users. We save the data we produce.</t>
  </si>
  <si>
    <t>The data produced by us are saved in our test facility.</t>
  </si>
  <si>
    <t>Usually by email but other media are possible.</t>
  </si>
  <si>
    <t>We perform the statistical analysis of the data we produce.</t>
  </si>
  <si>
    <t>Concerning the data we produce, all steps are verified according to our verification procedures: collection, primaru analysis, statistical analysis, interpretation and reporting.</t>
  </si>
  <si>
    <t>All studies performed by us receive a unique idenfier number.</t>
  </si>
  <si>
    <t>The data we produce belong to our customers/users who are entirely responsible for their dissemination. Involving us (i.e. the core facility) in the publication may improve the quality of the data provided the independency of the core facility is ensured.</t>
  </si>
  <si>
    <t>We are ourselves active players of research in preclinical pharmacology and can thus communicate with our customers/users in a peer-to-peer manner.</t>
  </si>
  <si>
    <t>We have detailed documentation describing our data management activities. This documentation is confidential but can be shared with our customers/users in case of audit.</t>
  </si>
  <si>
    <t>We have a team of quality assurance who is supporting an activity of continuous improvement of our activities. More specifically concerning research quality we are members of the EQIPD/IMI consortium.</t>
  </si>
  <si>
    <t>Study preparation (i.e. defining how we will colect the data).
Study execution (i.e. collection of data).
Study reporting (i.e. analyzing and interpreting the data and archiving everything related to a given study).</t>
  </si>
  <si>
    <t>Study preparation, in particular study design (blinding, randomization, determination of effective in experimental groups, etc...).</t>
  </si>
  <si>
    <t>Finding the right balance between the highest possible scientific quality and business constraints (i.e. cost for our customers/users, limits related to our capacities).</t>
  </si>
  <si>
    <t>20 +</t>
  </si>
  <si>
    <t>E-Mail, phone, Messenger service such as Whattsapp, in person</t>
  </si>
  <si>
    <t>That users know their experiment and what they want to analyse and therefore choosing the right controls, colors and protocols. In the practical training I want that the user understands what he/she does and why, e.g. choosing the right voltages, understanding compensation.</t>
  </si>
  <si>
    <t>We are not involved in all user experiments but if our help is needed, we provide cell isolation protocols, staining protocols, support with panel design</t>
  </si>
  <si>
    <t>Depending
Analyzer every user saves their own raw data
Sorter I save the raw data and provide it for the user
Databackup of raw data is done for analyzer and sorter on a regular base by Core Facility</t>
  </si>
  <si>
    <t>Server and external hard drive</t>
  </si>
  <si>
    <t>Either directly via the medma network to the indiviudual server or by transferring data to a hard drive or sending data via download link</t>
  </si>
  <si>
    <t>email, informatics system</t>
  </si>
  <si>
    <t>Agendo</t>
  </si>
  <si>
    <t>Good</t>
  </si>
  <si>
    <t>Previous meetings, goals clarification, research question statement</t>
  </si>
  <si>
    <t>Institute</t>
  </si>
  <si>
    <t>Local repository</t>
  </si>
  <si>
    <t>user and core facility</t>
  </si>
  <si>
    <t>PRIDE Accession Number</t>
  </si>
  <si>
    <t>Research Instrumentation and Cell Services</t>
  </si>
  <si>
    <t>We have 380 users per year and usage varies, but on average ~32 / month</t>
  </si>
  <si>
    <t>Helpdesk tickets, 1:1, email, seminars, user groups and a specialised Core Facility Management Software</t>
  </si>
  <si>
    <t>To run a technology club to advertise to a wider audience any new technologies or equipment that comes into the Core</t>
  </si>
  <si>
    <t>Stratocore PPMS and Helpdesk</t>
  </si>
  <si>
    <t>Helpdesk software is very useful for tracking user requests. PPMS software is useful for understanding user base for equipment, and communicating when equipment is booked or not available.</t>
  </si>
  <si>
    <t>We train on Western blotting, cell culture technique and safe use of liquid nitrogen as formal training sessions. We also train ad-hoc on a 1:1 basis when users require</t>
  </si>
  <si>
    <t>To ensure best practice is taken away from any training, and an understanding on how to generate good quality research data, pros/cons on performing experiments certain ways</t>
  </si>
  <si>
    <t>1:1 sessions and workshops</t>
  </si>
  <si>
    <t>on an Institute server which is backed up</t>
  </si>
  <si>
    <t>using the internet</t>
  </si>
  <si>
    <t>this is up to the user for the most part. We have a statistics core facility that can offer help if required</t>
  </si>
  <si>
    <t>With so many users I think this would be difficult for my core facility</t>
  </si>
  <si>
    <t>Electronic notebooks (our Institute is in the process of implementing this)</t>
  </si>
  <si>
    <t>Sometimes yes as we have input into the way experiments are done and why</t>
  </si>
  <si>
    <t>they understand that we know best for some things (that's the point of having experts in specific areas!)</t>
  </si>
  <si>
    <t>Possibly, but it needs to be an Institute policy</t>
  </si>
  <si>
    <t>controls for all our cell culture quality control methods</t>
  </si>
  <si>
    <t>To make sure we are generating the most accurate data and communicating the correct information to users</t>
  </si>
  <si>
    <t>Ensuring that users take quality control seriously and submit samples routinely for testing</t>
  </si>
  <si>
    <t>personal communication, e-mail, intranet-site, labfolder (electronical notebook), bulletin board</t>
  </si>
  <si>
    <t>restyaboard</t>
  </si>
  <si>
    <t>I am just starting doing to set it up myself. I have been invited to an other group using Trello. It is very usefull to organize workflows. In addition, we are using an electronical lab book which is shared within the group and users. The electronical lab book has improved the documentation and my people are better organized.</t>
  </si>
  <si>
    <t>to teach aseptic cell culture and scientific practice including safety rules and most importantly insure quality control and characterization of the cell cultures and assays.</t>
  </si>
  <si>
    <t>people ask for help by mail or get send to us by their supervisor</t>
  </si>
  <si>
    <t>It's send to the user and also kept by the facility</t>
  </si>
  <si>
    <t>institute server</t>
  </si>
  <si>
    <t>e-mail, institute-owncloud</t>
  </si>
  <si>
    <t>we collaborate with our users or the scientific computational facility if we cannot perform the statistical analysis ourselves</t>
  </si>
  <si>
    <t>The user should check the data himself!</t>
  </si>
  <si>
    <t>our institute is working towards having a systematic solution. I think different repositories are used at the moment (gitlab, etc.)</t>
  </si>
  <si>
    <t>We ask to be listed as core facility in every publication using our services. It is very important to be acknowledged. Core facilities are often contributing very important work or new data but unfortunately are not included in the author list. Many users take the work for granted even though they could not do it themselves.</t>
  </si>
  <si>
    <t>we provide quality results and consultation</t>
  </si>
  <si>
    <t>yes, it's a very powerful management tool to be efficient. I am working on it ;-)</t>
  </si>
  <si>
    <t>using high end and state of the art methods which are in accordance to international white papers</t>
  </si>
  <si>
    <t>workflow and time management</t>
  </si>
  <si>
    <t>keep happy users but appeal to take time for planning, to set up the assays carefully and not to miss out on any quality control</t>
  </si>
  <si>
    <t>Personal interactions
email</t>
  </si>
  <si>
    <t>Sample preparation
Imaging
Data interpretation</t>
  </si>
  <si>
    <t>We propose the experimental solutions, check the literature if necessary</t>
  </si>
  <si>
    <t>Our server</t>
  </si>
  <si>
    <t>FTP</t>
  </si>
  <si>
    <t>Depends</t>
  </si>
  <si>
    <t>Yes. Not sure</t>
  </si>
  <si>
    <t>Yes. These people are frequently involved in data preparation and interpretation.</t>
  </si>
  <si>
    <t>More scientific freedom and research and development option</t>
  </si>
  <si>
    <t>The overall "service" approach to the facility work. It is not correct, since a lot of it is experimental, as in any other lab.</t>
  </si>
  <si>
    <t>Histopathology</t>
  </si>
  <si>
    <t>email, phone, personally</t>
  </si>
  <si>
    <t>Handling of samples
processing</t>
  </si>
  <si>
    <t>in meetings, in writing</t>
  </si>
  <si>
    <t>we</t>
  </si>
  <si>
    <t>Server of the Charité</t>
  </si>
  <si>
    <t>ownCloud</t>
  </si>
  <si>
    <t>user
I don´t know</t>
  </si>
  <si>
    <t>experienced and standardized</t>
  </si>
  <si>
    <t>communicate</t>
  </si>
  <si>
    <t>high-end equipment and software and seminars</t>
  </si>
  <si>
    <t>standardized methods and procedures, blinded evaluation</t>
  </si>
  <si>
    <t>more personel, better maintenance of equipment, improved infrastructure</t>
  </si>
  <si>
    <t>keeping up with new methods and the development</t>
  </si>
  <si>
    <t>email and online booking software</t>
  </si>
  <si>
    <t>too many different options dont work for us, users don't read (e.g. please contact us via online scheduler) so they just send an email and ask what they have to do.</t>
  </si>
  <si>
    <t>people should understand what they are doing, not just copy from established experiments from colleagues or CF staff</t>
  </si>
  <si>
    <t>user meetings are mandatory before using the facility - we then discuss the experiment and give the minimum requirements for controls, setup, staining techniques etc</t>
  </si>
  <si>
    <t>user and for a short time the facility</t>
  </si>
  <si>
    <t>on the instrument and on a fileserver</t>
  </si>
  <si>
    <t>users can download data from fileserver</t>
  </si>
  <si>
    <t>we check the data analysis whenever possible, but cannot sit behind every user 24/7</t>
  </si>
  <si>
    <t>people are highly encouraged to provide the manuscript, but they don't always do it. During lectures, we also emphasize importance of data quality (figure labelling, detailend M&amp;M section) with bad examples from published literature.</t>
  </si>
  <si>
    <t>show them the amount of offered literature, protocols, sample prep guidelines, detailed user instructions for instruments we prepared and collected during initial user meeting. Still people want to re-invent established protocols, but later on they realize we wrote them down for a reason as we know what works and what does not</t>
  </si>
  <si>
    <t>Appropriate instrument setup, sufficient control, clear labelling (plot axis, sample names, ...), mandatory data analysis strategy figure in supplement.</t>
  </si>
  <si>
    <t>People should understand we are here to help them, not to annoy them, although we always ask them to do more (more and better controls, better data analysis).</t>
  </si>
  <si>
    <t>email and personal contact</t>
  </si>
  <si>
    <t>independency</t>
  </si>
  <si>
    <t>user defined</t>
  </si>
  <si>
    <t>server, hard drive etc</t>
  </si>
  <si>
    <t>us</t>
  </si>
  <si>
    <t>z prime value</t>
  </si>
  <si>
    <t>proper controls</t>
  </si>
  <si>
    <t>staff</t>
  </si>
  <si>
    <t>a multilevel support through cell phenotyping and molecular profiling</t>
  </si>
  <si>
    <t>through emails and annual user meetings</t>
  </si>
  <si>
    <t>generaly the users, for sc mRNA the platform</t>
  </si>
  <si>
    <t>20-50, varies a lot as full service is provided (meaning user does not need to access the facility necessarily at all)</t>
  </si>
  <si>
    <t>Interactive database (PyRAT), email, telephone, personally</t>
  </si>
  <si>
    <t>One always wants better communication, although we are fairly happy with the way it works at the moment. The shortcomings are typically human (forgetfulness, cultural)</t>
  </si>
  <si>
    <t>PyRAT</t>
  </si>
  <si>
    <t>Excellent, although PyRAT is not really communication software, but it handles work requests well</t>
  </si>
  <si>
    <t>Interest to learn :-)</t>
  </si>
  <si>
    <t>By meeting scientists when they plan their experiments, and being actively involved if experimental licences are needed (eg. animal welfare)</t>
  </si>
  <si>
    <t>User and us. Basic experimental info exist in PyRAT, but after sampling (eg. what happens in user labs) the user is responsible.</t>
  </si>
  <si>
    <t>Don't know, probably lab book / lab folder. All experimental data concerning live animals is saved in PyRAT database.</t>
  </si>
  <si>
    <t>User, don't know</t>
  </si>
  <si>
    <t>Sure, but how is the question.</t>
  </si>
  <si>
    <t>Had to answer yes to be able to comment (otherwise I would have answered no), but honestly I don't know. User is responsible and I don't know how this is organised - but knowing we have an excellent IT I'm pretty sure it's done well</t>
  </si>
  <si>
    <t>Absolutely, I think it should be part of a good scientific practice to allow facilities to check the M&amp;M especially before publication</t>
  </si>
  <si>
    <t>Talk with them - regularly. Join their lab meetings.</t>
  </si>
  <si>
    <t>Honest and open communication with users, atmosphere of transparence and collegiality.</t>
  </si>
  <si>
    <t>Personal management, motivation</t>
  </si>
  <si>
    <t>Changes in rules and regulations (specifically how they are applied on local level) that affect the way we work</t>
  </si>
  <si>
    <t>Histology</t>
  </si>
  <si>
    <t>Website and email</t>
  </si>
  <si>
    <t>Training on equipments</t>
  </si>
  <si>
    <t>During discussion</t>
  </si>
  <si>
    <t>The researchers</t>
  </si>
  <si>
    <t>A LIMS</t>
  </si>
  <si>
    <t>~60 users mostly using us as a service, some booking equipment</t>
  </si>
  <si>
    <t>In order of frequency: Email/PPMS and face to face with highest frequency, we also have a user booklet, then twitter, yammer, seminars, inviting users to our retreats/weekly meeting to present on their projects. Starting up a user group meeting again in the new year - every 6 months to start with. The last one failed but that was over 3/4 years ago and was possibly too frequent. Our intranet is out of date but we have just started using sharepoint which will replace this anyway. Core facility newsletters will be implemented next year too.</t>
  </si>
  <si>
    <t>As per the above future actions</t>
  </si>
  <si>
    <t>MS-SharePoint</t>
  </si>
  <si>
    <t>Sharepoint is new and not set up yet for our core to maximize use. To date PPMS and outlook has been the most used electronic communication system.</t>
  </si>
  <si>
    <t>Mostly we give overviews, training for ordering our services or training on equipment/software we offer as bookable on PPMS</t>
  </si>
  <si>
    <t>Most of the training we give is so that users can use the equipment/software themselves. There is a H&amp;S aspect to this as well as a theoretical understanding and scientific quality aspect, which are all equally important but overall safety has to come first if pushed for the most important aspect in our core.</t>
  </si>
  <si>
    <t>This very much depends on the user and the project. e.g. for Tissue Microarray building we are heavily involved in the design of the TMAs but for the most part in terms of the larger project we are not involved so actively. Users tend to come to us for advice but only on specific histology technical/logistical aspects.</t>
  </si>
  <si>
    <t>Images scanned on our scanners are saved automatically to dedicated servers. If users use our microscope, they save their raw data. Some user capture images themselves in their own labs from stained slides we have created. Image analysis data is saved on a dedicated server. External users sometimes have their images copied to a hard drive to take away but we also have software for sharing / annotating images externally with collaborators.</t>
  </si>
  <si>
    <t>Dedicated servers mostly - see above.</t>
  </si>
  <si>
    <t>Hard drive for external users, FTP site for one large project. Via Phillips Xplore software for external collaborators. Copied out of image sharing software for some internal users or transferred to a public data share and given one month to save their own data. Depends on the service we are talking about and whether the user is internal or external and sometimes on the users preference where they have a choice.</t>
  </si>
  <si>
    <t>We have a bioinformatics core facility - we are not trained to do this or help users.</t>
  </si>
  <si>
    <t>We are looking into this currently to see if we need to introduce further QC.</t>
  </si>
  <si>
    <t>We are currently working to improve our SOP had have better version control. As an institute we are looking at electronic lab notebooks. We are also looking at better image sharing software, an on-line training record system and better sample tracking/ID systems for no-primary human/animal samples (plus whether we can introduce a unified ID system throughout the institute).</t>
  </si>
  <si>
    <t>Involving the core facility for work they carried out ensures correct understanding and an accurate account of what happened.</t>
  </si>
  <si>
    <t>We don't actually track this and it is mostly my senior team who interact with the users on this so I wouldn't see what they have said versus what is published.</t>
  </si>
  <si>
    <t>There isn't one for our core facility but it would be good to think about having one to make it clear to users where their responsibilities lie versus those of the core.</t>
  </si>
  <si>
    <t>Quality control checks at every stage but at the very least before sending stained slides to users.</t>
  </si>
  <si>
    <t>We need to make time for more method development to stay at the cutting edge in our field for our researchers. We are so busy keeping up with our turnaround times that there is often little time for this.</t>
  </si>
  <si>
    <t>Our users want everything ASAP and everything is urgent, it's really hard to stay cutting edge as well as to keep up with the routine everyday demand but we are looking at ways to streamline all the time and to improve our processes to free up time.</t>
  </si>
  <si>
    <t>220, but this questions is not clear to answer (different users?) There are often users coming multiple times per month.</t>
  </si>
  <si>
    <t>Directly face to face or via E-mail or in special workshop with specific topics</t>
  </si>
  <si>
    <t>Users are not using directly online communication even if we have it on the desktop of all set-ups</t>
  </si>
  <si>
    <t>Teaching handling instrument and recording properly. Iaging Ethics, also unbaised recording</t>
  </si>
  <si>
    <t>Every new users gets a personal meeting with us discussing the project and what we consider the right instrument and experimantal design also some information about the proper statistics. If quantification is neded or wanted its a longer process. Also we do sometimes pilot experiments with the users.</t>
  </si>
  <si>
    <t>First locally on the systems, but we currently can not provide the backup. Users have to take care of their data immediately by storing it to their own resources.</t>
  </si>
  <si>
    <t>USB or other external devices. We also provide sometimes dircet link to their home servers or also possible via our own FTP server.
We teach users to and how to tke care of backups.</t>
  </si>
  <si>
    <t>user, but often not properly trained</t>
  </si>
  <si>
    <t>yes, this would be staff specifically trained for that task. But I see no money to pay these staff.</t>
  </si>
  <si>
    <t>for sure, very often complete nosense is written or even worth done during the ongoing study. There is no real control mechanism established.
Even if we tried.</t>
  </si>
  <si>
    <t>Talking talking talking</t>
  </si>
  <si>
    <t>To some extent we have that and teach people in the beginnging when the start working in the CF, but we do not control.</t>
  </si>
  <si>
    <t>Standards and tools to check instrument performance and reliability.</t>
  </si>
  <si>
    <t>user training and instrument maintenance and QC</t>
  </si>
  <si>
    <t>More staff for teaching and QC of insruments. More hardware to run data base like OMERO and teach users in its use</t>
  </si>
  <si>
    <t>Where to get the mony from</t>
  </si>
  <si>
    <t>email, in person, phone</t>
  </si>
  <si>
    <t>getting best results, avoiding damage</t>
  </si>
  <si>
    <t>mediocre</t>
  </si>
  <si>
    <t>q7j[q7j1][1]. Please rate the current situation [Data can get lost / orphaned][Scale 1]</t>
  </si>
  <si>
    <t>q7j[q7j2][1]. Please rate the current situation  [Data are searchable and findable][Scale 1]</t>
  </si>
  <si>
    <t>q7j[q7j2][2]. Please rate  the importance to improve it.   [Data are searchable and findable][Scale 2]</t>
  </si>
  <si>
    <t>q7j[q7j1][2]. Please rate the importance to improve it  [Data can get lost / orphaned][Scale 2]</t>
  </si>
  <si>
    <t>q7j[q7j3][1]. Please rate the current situation [Data are compatible / interoperable on another device/software][Scale 1]</t>
  </si>
  <si>
    <t>q7j[q7j3][2]. Please rate the importance to improve it.  [Data are compatible / interoperable on another device/software][Scale 2]</t>
  </si>
  <si>
    <t>q7j[q7j4][1]. Please rate the current situation [Data are reusable][Scale 1]</t>
  </si>
  <si>
    <t>q7j[q7j4][2]. Please rate the importance to improve it.  [Data are reusable][Scale 2]</t>
  </si>
  <si>
    <t>q7j[q7j5][1]. Please rate the current situation [Data are attributable (Understand who acquired and/or edited the data and when?)][Scale 1]</t>
  </si>
  <si>
    <t>q7j[q7j5][2]. Please rate the importance to improve it.   [Data are attributable (Understand who acquired and/or edited the data and when?)][Scale 2]</t>
  </si>
  <si>
    <t>q7j[q7j6][1]. Please rate the current situation  [Data are complete and all data included ?][Scale 1]</t>
  </si>
  <si>
    <t>q7j[q7j6][2]. Please rate the importance to improve it.  [Data are complete and all data included?][Scale 2]</t>
  </si>
  <si>
    <t>in person</t>
  </si>
  <si>
    <t>phone</t>
  </si>
  <si>
    <t>user group meeting</t>
  </si>
  <si>
    <t>website</t>
  </si>
  <si>
    <t>seminars/workshops</t>
  </si>
  <si>
    <t>social media</t>
  </si>
  <si>
    <t>It can always be improved but I believe this is rather a personal issue. We should make an effort to educate researchers on the best practices while designing their experiments and collecting and storing their samples for metabolomic analysis.</t>
  </si>
  <si>
    <r>
      <rPr>
        <sz val="10"/>
        <color rgb="FFFF0000"/>
        <rFont val="Arial"/>
        <family val="2"/>
      </rPr>
      <t>Works very well</t>
    </r>
    <r>
      <rPr>
        <sz val="10"/>
        <rFont val="Arial"/>
        <family val="2"/>
        <charset val="1"/>
      </rPr>
      <t xml:space="preserve"> for our needs</t>
    </r>
  </si>
  <si>
    <t>Would it make sense to use a communication platform?  </t>
  </si>
  <si>
    <r>
      <t xml:space="preserve">project </t>
    </r>
    <r>
      <rPr>
        <sz val="10"/>
        <color rgb="FFC00000"/>
        <rFont val="Arial"/>
        <family val="2"/>
      </rPr>
      <t>discussion</t>
    </r>
    <r>
      <rPr>
        <sz val="10"/>
        <rFont val="Arial"/>
        <family val="2"/>
        <charset val="1"/>
      </rPr>
      <t xml:space="preserve"> with user</t>
    </r>
  </si>
  <si>
    <r>
      <t xml:space="preserve">In </t>
    </r>
    <r>
      <rPr>
        <sz val="10"/>
        <color rgb="FFC00000"/>
        <rFont val="Arial"/>
        <family val="2"/>
      </rPr>
      <t>personal</t>
    </r>
    <r>
      <rPr>
        <sz val="10"/>
        <rFont val="Arial"/>
        <family val="2"/>
        <charset val="1"/>
      </rPr>
      <t xml:space="preserve"> meetings. This is not necessarily done for all experiments.</t>
    </r>
  </si>
  <si>
    <r>
      <t xml:space="preserve">If possible we </t>
    </r>
    <r>
      <rPr>
        <sz val="10"/>
        <color rgb="FFC00000"/>
        <rFont val="Arial"/>
        <family val="2"/>
      </rPr>
      <t>meet</t>
    </r>
    <r>
      <rPr>
        <sz val="10"/>
        <rFont val="Arial"/>
        <family val="2"/>
        <charset val="1"/>
      </rPr>
      <t xml:space="preserve"> the users before they start doing any experiment.</t>
    </r>
  </si>
  <si>
    <r>
      <t xml:space="preserve">initial </t>
    </r>
    <r>
      <rPr>
        <sz val="10"/>
        <color rgb="FFC00000"/>
        <rFont val="Arial"/>
        <family val="2"/>
      </rPr>
      <t>discussion</t>
    </r>
    <r>
      <rPr>
        <sz val="10"/>
        <rFont val="Arial"/>
        <family val="2"/>
        <charset val="1"/>
      </rPr>
      <t xml:space="preserve"> before and during trainings</t>
    </r>
  </si>
  <si>
    <r>
      <rPr>
        <sz val="10"/>
        <color rgb="FFC00000"/>
        <rFont val="Arial"/>
        <family val="2"/>
      </rPr>
      <t>discussion</t>
    </r>
    <r>
      <rPr>
        <sz val="10"/>
        <rFont val="Arial"/>
        <family val="2"/>
        <charset val="1"/>
      </rPr>
      <t>, protocols on our website</t>
    </r>
  </si>
  <si>
    <r>
      <t xml:space="preserve">Through the </t>
    </r>
    <r>
      <rPr>
        <sz val="10"/>
        <color rgb="FFC00000"/>
        <rFont val="Arial"/>
        <family val="2"/>
      </rPr>
      <t>discussion</t>
    </r>
    <r>
      <rPr>
        <sz val="10"/>
        <rFont val="Arial"/>
        <family val="2"/>
        <charset val="1"/>
      </rPr>
      <t xml:space="preserve"> with our users, in person.</t>
    </r>
  </si>
  <si>
    <r>
      <t xml:space="preserve">We vary our approach depending on the user's requirements.  Some choose to make the most of our expertise but others prefer to choose other routes.  </t>
    </r>
    <r>
      <rPr>
        <sz val="10"/>
        <color rgb="FFC00000"/>
        <rFont val="Arial"/>
        <family val="2"/>
      </rPr>
      <t>We cannot force researchers to listen</t>
    </r>
    <r>
      <rPr>
        <sz val="10"/>
        <rFont val="Arial"/>
        <family val="2"/>
        <charset val="1"/>
      </rPr>
      <t>.</t>
    </r>
  </si>
  <si>
    <r>
      <rPr>
        <sz val="10"/>
        <color rgb="FFC00000"/>
        <rFont val="Arial"/>
        <family val="2"/>
      </rPr>
      <t>verbal and written</t>
    </r>
    <r>
      <rPr>
        <sz val="10"/>
        <rFont val="Arial"/>
        <family val="2"/>
        <charset val="1"/>
      </rPr>
      <t xml:space="preserve"> guidance, SOP's</t>
    </r>
  </si>
  <si>
    <r>
      <t xml:space="preserve">meeting face to face and </t>
    </r>
    <r>
      <rPr>
        <sz val="10"/>
        <color rgb="FFC00000"/>
        <rFont val="Arial"/>
        <family val="2"/>
      </rPr>
      <t>discussion</t>
    </r>
    <r>
      <rPr>
        <sz val="10"/>
        <rFont val="Arial"/>
        <family val="2"/>
        <charset val="1"/>
      </rPr>
      <t xml:space="preserve"> about aims of the users project</t>
    </r>
  </si>
  <si>
    <r>
      <t xml:space="preserve">We would like to be involved. </t>
    </r>
    <r>
      <rPr>
        <sz val="10"/>
        <color rgb="FFC00000"/>
        <rFont val="Arial"/>
        <family val="2"/>
      </rPr>
      <t>Unfortunately in 95% of cases data will be produced without our consultation.</t>
    </r>
  </si>
  <si>
    <r>
      <t xml:space="preserve">User tell what they want to analyze and what they expect from the core facility. We </t>
    </r>
    <r>
      <rPr>
        <sz val="10"/>
        <color rgb="FFC00000"/>
        <rFont val="Arial"/>
        <family val="2"/>
      </rPr>
      <t>tell</t>
    </r>
    <r>
      <rPr>
        <sz val="10"/>
        <rFont val="Arial"/>
        <family val="2"/>
        <charset val="1"/>
      </rPr>
      <t>, how we would analyze the samples and what are preferred methods to do the experiments to end up with samples compatible with the methods of the core facility.</t>
    </r>
  </si>
  <si>
    <r>
      <t xml:space="preserve">I very much like it when users ask about advice on experimental design. Usually in a </t>
    </r>
    <r>
      <rPr>
        <sz val="10"/>
        <color rgb="FFC00000"/>
        <rFont val="Arial"/>
        <family val="2"/>
      </rPr>
      <t>face2face</t>
    </r>
    <r>
      <rPr>
        <sz val="10"/>
        <rFont val="Arial"/>
        <family val="2"/>
        <charset val="1"/>
      </rPr>
      <t xml:space="preserve"> meeting or by </t>
    </r>
    <r>
      <rPr>
        <sz val="10"/>
        <color rgb="FFC00000"/>
        <rFont val="Arial"/>
        <family val="2"/>
      </rPr>
      <t>email</t>
    </r>
    <r>
      <rPr>
        <sz val="10"/>
        <rFont val="Arial"/>
        <family val="2"/>
        <charset val="1"/>
      </rPr>
      <t>. Not all users chose to do so.</t>
    </r>
  </si>
  <si>
    <r>
      <rPr>
        <sz val="10"/>
        <color rgb="FFC00000"/>
        <rFont val="Arial"/>
        <family val="2"/>
      </rPr>
      <t>Face to face</t>
    </r>
    <r>
      <rPr>
        <sz val="10"/>
        <rFont val="Arial"/>
        <family val="2"/>
        <charset val="1"/>
      </rPr>
      <t xml:space="preserve"> discussion and </t>
    </r>
    <r>
      <rPr>
        <sz val="10"/>
        <color rgb="FFC00000"/>
        <rFont val="Arial"/>
        <family val="2"/>
      </rPr>
      <t>email</t>
    </r>
  </si>
  <si>
    <r>
      <rPr>
        <sz val="10"/>
        <color rgb="FFC00000"/>
        <rFont val="Arial"/>
        <family val="2"/>
      </rPr>
      <t>Personal</t>
    </r>
    <r>
      <rPr>
        <sz val="10"/>
        <rFont val="Arial"/>
        <family val="2"/>
        <charset val="1"/>
      </rPr>
      <t xml:space="preserve"> project discussions</t>
    </r>
  </si>
  <si>
    <r>
      <t xml:space="preserve">We have a project </t>
    </r>
    <r>
      <rPr>
        <sz val="10"/>
        <color rgb="FFC00000"/>
        <rFont val="Arial"/>
        <family val="2"/>
      </rPr>
      <t>meeting</t>
    </r>
    <r>
      <rPr>
        <sz val="10"/>
        <rFont val="Arial"/>
        <family val="2"/>
        <charset val="1"/>
      </rPr>
      <t xml:space="preserve"> for every user and we get involved if a user has a special application and needs advice. This is mainly for mass cytometry and imaging mass cytometry.</t>
    </r>
  </si>
  <si>
    <r>
      <rPr>
        <sz val="10"/>
        <color rgb="FFC00000"/>
        <rFont val="Arial"/>
        <family val="2"/>
      </rPr>
      <t>Most researchers have no idea how to setup their experiment</t>
    </r>
    <r>
      <rPr>
        <sz val="10"/>
        <rFont val="Arial"/>
        <family val="2"/>
        <charset val="1"/>
      </rPr>
      <t xml:space="preserve">, often because they are lacking the expert knowledge about our technology (proteomics). Hence, they cannot judge what to expect, how many replicates should be included, if multiplexing is appropriate, etc... </t>
    </r>
    <r>
      <rPr>
        <sz val="10"/>
        <color rgb="FFC00000"/>
        <rFont val="Arial"/>
        <family val="2"/>
      </rPr>
      <t>Experimental design is almost exclusively our task, of course in close consultation with the user.</t>
    </r>
  </si>
  <si>
    <r>
      <t xml:space="preserve">As already described, we provide new users with the the link to our new user project questions, we </t>
    </r>
    <r>
      <rPr>
        <sz val="10"/>
        <color rgb="FFC00000"/>
        <rFont val="Arial"/>
        <family val="2"/>
      </rPr>
      <t>discuss</t>
    </r>
    <r>
      <rPr>
        <sz val="10"/>
        <rFont val="Arial"/>
        <family val="2"/>
        <charset val="1"/>
      </rPr>
      <t xml:space="preserve"> the project with user then individual on one to one basis and based on the user project questions and one to one meeting with user we make a plan about which instruments will be used to acquire  data - and we also talk about how the experiment should be design so it meets the needs of the user. We provide suggestions, final decision is up to the user and their research groups leaders.</t>
    </r>
  </si>
  <si>
    <r>
      <t xml:space="preserve">In depth </t>
    </r>
    <r>
      <rPr>
        <sz val="10"/>
        <color rgb="FFC00000"/>
        <rFont val="Arial"/>
        <family val="2"/>
      </rPr>
      <t>discussions</t>
    </r>
    <r>
      <rPr>
        <sz val="10"/>
        <rFont val="Arial"/>
        <family val="2"/>
        <charset val="1"/>
      </rPr>
      <t>, ideally  before experiments start.</t>
    </r>
  </si>
  <si>
    <r>
      <t xml:space="preserve">we </t>
    </r>
    <r>
      <rPr>
        <sz val="10"/>
        <color rgb="FFC00000"/>
        <rFont val="Arial"/>
        <family val="2"/>
      </rPr>
      <t>talk</t>
    </r>
    <r>
      <rPr>
        <sz val="10"/>
        <rFont val="Arial"/>
        <family val="2"/>
        <charset val="1"/>
      </rPr>
      <t xml:space="preserve"> to people</t>
    </r>
  </si>
  <si>
    <r>
      <t xml:space="preserve">meetings, </t>
    </r>
    <r>
      <rPr>
        <sz val="10"/>
        <color rgb="FFC00000"/>
        <rFont val="Arial"/>
        <family val="2"/>
      </rPr>
      <t>discussion</t>
    </r>
    <r>
      <rPr>
        <sz val="10"/>
        <rFont val="Arial"/>
        <family val="2"/>
        <charset val="1"/>
      </rPr>
      <t>, project supervision, collaboration</t>
    </r>
  </si>
  <si>
    <r>
      <t xml:space="preserve">We are not involved in all user experiments but if our help is needed, we provide cell isolation </t>
    </r>
    <r>
      <rPr>
        <sz val="10"/>
        <color rgb="FFC00000"/>
        <rFont val="Arial"/>
        <family val="2"/>
      </rPr>
      <t>protocols</t>
    </r>
    <r>
      <rPr>
        <sz val="10"/>
        <rFont val="Arial"/>
        <family val="2"/>
        <charset val="1"/>
      </rPr>
      <t>, staining protocols, support with panel design</t>
    </r>
  </si>
  <si>
    <r>
      <t xml:space="preserve">Previous </t>
    </r>
    <r>
      <rPr>
        <sz val="10"/>
        <color rgb="FFC00000"/>
        <rFont val="Arial"/>
        <family val="2"/>
      </rPr>
      <t>meetings</t>
    </r>
    <r>
      <rPr>
        <sz val="10"/>
        <rFont val="Arial"/>
        <family val="2"/>
        <charset val="1"/>
      </rPr>
      <t>, goals clarification, research question statement</t>
    </r>
  </si>
  <si>
    <r>
      <rPr>
        <sz val="10"/>
        <color rgb="FFC00000"/>
        <rFont val="Arial"/>
        <family val="2"/>
      </rPr>
      <t>1:1</t>
    </r>
    <r>
      <rPr>
        <sz val="10"/>
        <rFont val="Arial"/>
        <family val="2"/>
        <charset val="1"/>
      </rPr>
      <t xml:space="preserve"> sessions and workshops</t>
    </r>
  </si>
  <si>
    <r>
      <t xml:space="preserve">people ask for help by </t>
    </r>
    <r>
      <rPr>
        <sz val="10"/>
        <color rgb="FFC00000"/>
        <rFont val="Arial"/>
        <family val="2"/>
      </rPr>
      <t>mail</t>
    </r>
    <r>
      <rPr>
        <sz val="10"/>
        <rFont val="Arial"/>
        <family val="2"/>
        <charset val="1"/>
      </rPr>
      <t xml:space="preserve"> or get send</t>
    </r>
    <r>
      <rPr>
        <sz val="10"/>
        <color rgb="FFC00000"/>
        <rFont val="Arial"/>
        <family val="2"/>
      </rPr>
      <t xml:space="preserve"> to us</t>
    </r>
    <r>
      <rPr>
        <sz val="10"/>
        <rFont val="Arial"/>
        <family val="2"/>
        <charset val="1"/>
      </rPr>
      <t xml:space="preserve"> by their supervisor</t>
    </r>
  </si>
  <si>
    <r>
      <t xml:space="preserve">in </t>
    </r>
    <r>
      <rPr>
        <sz val="10"/>
        <color rgb="FFC00000"/>
        <rFont val="Arial"/>
        <family val="2"/>
      </rPr>
      <t>meetings</t>
    </r>
    <r>
      <rPr>
        <sz val="10"/>
        <rFont val="Arial"/>
        <family val="2"/>
        <charset val="1"/>
      </rPr>
      <t xml:space="preserve">, in </t>
    </r>
    <r>
      <rPr>
        <sz val="10"/>
        <color rgb="FFC00000"/>
        <rFont val="Arial"/>
        <family val="2"/>
      </rPr>
      <t>writing</t>
    </r>
  </si>
  <si>
    <r>
      <t xml:space="preserve">user </t>
    </r>
    <r>
      <rPr>
        <sz val="10"/>
        <color rgb="FFC00000"/>
        <rFont val="Arial"/>
        <family val="2"/>
      </rPr>
      <t>meetings</t>
    </r>
    <r>
      <rPr>
        <sz val="10"/>
        <rFont val="Arial"/>
        <family val="2"/>
        <charset val="1"/>
      </rPr>
      <t xml:space="preserve"> are mandatory before using the facility - we then discuss the experiment and give the minimum requirements for controls, setup, staining techniques etc</t>
    </r>
  </si>
  <si>
    <r>
      <t xml:space="preserve">By </t>
    </r>
    <r>
      <rPr>
        <sz val="10"/>
        <color rgb="FFC00000"/>
        <rFont val="Arial"/>
        <family val="2"/>
      </rPr>
      <t>meeting</t>
    </r>
    <r>
      <rPr>
        <sz val="10"/>
        <rFont val="Arial"/>
        <family val="2"/>
        <charset val="1"/>
      </rPr>
      <t xml:space="preserve"> scientists when they plan their experiments, and being actively involved if experimental licences are needed (eg. animal welfare)</t>
    </r>
  </si>
  <si>
    <r>
      <t xml:space="preserve">During </t>
    </r>
    <r>
      <rPr>
        <sz val="10"/>
        <color rgb="FFC00000"/>
        <rFont val="Arial"/>
        <family val="2"/>
      </rPr>
      <t>discussion</t>
    </r>
  </si>
  <si>
    <t>both / either</t>
  </si>
  <si>
    <r>
      <rPr>
        <sz val="10"/>
        <color rgb="FFFF0000"/>
        <rFont val="Arial"/>
        <family val="2"/>
      </rPr>
      <t>cross check</t>
    </r>
    <r>
      <rPr>
        <sz val="10"/>
        <rFont val="Arial"/>
        <family val="2"/>
        <charset val="1"/>
      </rPr>
      <t xml:space="preserve"> by CF personnel</t>
    </r>
  </si>
  <si>
    <r>
      <t xml:space="preserve">A </t>
    </r>
    <r>
      <rPr>
        <sz val="10"/>
        <color rgb="FFFF0000"/>
        <rFont val="Arial"/>
        <family val="2"/>
      </rPr>
      <t>second person always checks</t>
    </r>
    <r>
      <rPr>
        <sz val="10"/>
        <rFont val="Arial"/>
        <family val="2"/>
        <charset val="1"/>
      </rPr>
      <t xml:space="preserve"> the analysis</t>
    </r>
  </si>
  <si>
    <r>
      <t xml:space="preserve">We have a list of </t>
    </r>
    <r>
      <rPr>
        <sz val="10"/>
        <color rgb="FFFF0000"/>
        <rFont val="Arial"/>
        <family val="2"/>
      </rPr>
      <t>check points to control</t>
    </r>
    <r>
      <rPr>
        <sz val="10"/>
        <rFont val="Arial"/>
        <family val="2"/>
        <charset val="1"/>
      </rPr>
      <t>. We tick the boxes when done.</t>
    </r>
  </si>
  <si>
    <r>
      <t xml:space="preserve">as have a </t>
    </r>
    <r>
      <rPr>
        <sz val="10"/>
        <color rgb="FFFF0000"/>
        <rFont val="Arial"/>
        <family val="2"/>
      </rPr>
      <t>statistician</t>
    </r>
    <r>
      <rPr>
        <sz val="10"/>
        <rFont val="Arial"/>
        <family val="2"/>
        <charset val="1"/>
      </rPr>
      <t xml:space="preserve"> that we can use if we wish</t>
    </r>
  </si>
  <si>
    <r>
      <t xml:space="preserve"> - Core facility runs </t>
    </r>
    <r>
      <rPr>
        <sz val="10"/>
        <color rgb="FFFF0000"/>
        <rFont val="Arial"/>
        <family val="2"/>
      </rPr>
      <t>QC samples</t>
    </r>
    <r>
      <rPr>
        <sz val="10"/>
        <rFont val="Arial"/>
        <family val="2"/>
        <charset val="1"/>
      </rPr>
      <t xml:space="preserve"> in defined frequency
 - Core facility </t>
    </r>
    <r>
      <rPr>
        <sz val="10"/>
        <color rgb="FFFF0000"/>
        <rFont val="Arial"/>
        <family val="2"/>
      </rPr>
      <t>checks results</t>
    </r>
    <r>
      <rPr>
        <sz val="10"/>
        <rFont val="Arial"/>
        <family val="2"/>
        <charset val="1"/>
      </rPr>
      <t xml:space="preserve"> for plausibility</t>
    </r>
  </si>
  <si>
    <r>
      <t xml:space="preserve">Published data are made available via </t>
    </r>
    <r>
      <rPr>
        <sz val="10"/>
        <color rgb="FFFF0000"/>
        <rFont val="Arial"/>
        <family val="2"/>
      </rPr>
      <t>PRIDE</t>
    </r>
    <r>
      <rPr>
        <sz val="10"/>
        <rFont val="Arial"/>
        <family val="2"/>
        <charset val="1"/>
      </rPr>
      <t>.</t>
    </r>
  </si>
  <si>
    <r>
      <rPr>
        <sz val="10"/>
        <color rgb="FFFF0000"/>
        <rFont val="Arial"/>
        <family val="2"/>
      </rPr>
      <t>Framework of documentation would need to be enforced.</t>
    </r>
    <r>
      <rPr>
        <sz val="10"/>
        <rFont val="Arial"/>
        <family val="2"/>
        <charset val="1"/>
      </rPr>
      <t xml:space="preserve"> However for that an agreement would have to be reached between PIs and Facility and between different PIs. A a common effort would have to be made.</t>
    </r>
    <r>
      <rPr>
        <sz val="10"/>
        <color rgb="FFFF0000"/>
        <rFont val="Arial"/>
        <family val="2"/>
      </rPr>
      <t xml:space="preserve"> We do not see how documentation could be easy enough, for everybody to comply to a common standard.</t>
    </r>
  </si>
  <si>
    <r>
      <rPr>
        <sz val="10"/>
        <color rgb="FFFF0000"/>
        <rFont val="Arial"/>
        <family val="2"/>
      </rPr>
      <t>electronic lab journals</t>
    </r>
    <r>
      <rPr>
        <sz val="10"/>
        <rFont val="Arial"/>
        <family val="2"/>
        <charset val="1"/>
      </rPr>
      <t xml:space="preserve"> which are being implemented</t>
    </r>
  </si>
  <si>
    <r>
      <rPr>
        <sz val="10"/>
        <color rgb="FFFF0000"/>
        <rFont val="Arial"/>
        <family val="2"/>
      </rPr>
      <t>Electronic lab book</t>
    </r>
    <r>
      <rPr>
        <sz val="10"/>
        <rFont val="Arial"/>
        <family val="2"/>
        <charset val="1"/>
      </rPr>
      <t xml:space="preserve"> - where also the raw data could be EASILY transferred to.
Currently, that is not feasible.</t>
    </r>
  </si>
  <si>
    <r>
      <rPr>
        <sz val="10"/>
        <color rgb="FFFF0000"/>
        <rFont val="Arial"/>
        <family val="2"/>
      </rPr>
      <t>Electronic notebooks</t>
    </r>
    <r>
      <rPr>
        <sz val="10"/>
        <rFont val="Arial"/>
        <family val="2"/>
        <charset val="1"/>
      </rPr>
      <t xml:space="preserve"> (our Institute is in the process of implementing this)</t>
    </r>
  </si>
  <si>
    <r>
      <t xml:space="preserve">We are currently working to improve our SOP had have better version control. As an institute we are looking at </t>
    </r>
    <r>
      <rPr>
        <sz val="10"/>
        <color rgb="FFFF0000"/>
        <rFont val="Arial"/>
        <family val="2"/>
      </rPr>
      <t>electronic lab notebooks</t>
    </r>
    <r>
      <rPr>
        <sz val="10"/>
        <rFont val="Arial"/>
        <family val="2"/>
        <charset val="1"/>
      </rPr>
      <t xml:space="preserve">. We are also looking at better image sharing software, an on-line training record system and </t>
    </r>
    <r>
      <rPr>
        <sz val="10"/>
        <color rgb="FFFF0000"/>
        <rFont val="Arial"/>
        <family val="2"/>
      </rPr>
      <t>better sample tracking/ID systems</t>
    </r>
    <r>
      <rPr>
        <sz val="10"/>
        <rFont val="Arial"/>
        <family val="2"/>
        <charset val="1"/>
      </rPr>
      <t xml:space="preserve"> for no-primary human/animal samples (plus whether we can introduce a </t>
    </r>
    <r>
      <rPr>
        <sz val="10"/>
        <color rgb="FFFF0000"/>
        <rFont val="Arial"/>
        <family val="2"/>
      </rPr>
      <t>unified ID system throughout the institute</t>
    </r>
    <r>
      <rPr>
        <sz val="10"/>
        <rFont val="Arial"/>
        <family val="2"/>
        <charset val="1"/>
      </rPr>
      <t>).</t>
    </r>
  </si>
  <si>
    <r>
      <t xml:space="preserve">We ask to be listed as core facility in every publication using our services. It is very important to be acknowledged. </t>
    </r>
    <r>
      <rPr>
        <sz val="10"/>
        <color rgb="FFFF0000"/>
        <rFont val="Arial"/>
        <family val="2"/>
      </rPr>
      <t>Core facilities are often contributing very important work or new data but unfortunately are not included in the author list. Many users take the work for granted even though they could not do it themselves.</t>
    </r>
  </si>
  <si>
    <t>Do you think it could improve the quality of published research data to involve the core facility in the publication? </t>
  </si>
  <si>
    <r>
      <rPr>
        <sz val="10"/>
        <color rgb="FFFF0000"/>
        <rFont val="Arial"/>
        <family val="2"/>
      </rPr>
      <t>Explain the data, try to highlight interesting findings.</t>
    </r>
    <r>
      <rPr>
        <sz val="10"/>
        <rFont val="Arial"/>
        <family val="2"/>
        <charset val="1"/>
      </rPr>
      <t xml:space="preserve"> This takes a lot of time but is worth it.</t>
    </r>
  </si>
  <si>
    <r>
      <rPr>
        <sz val="10"/>
        <color rgb="FFFF0000"/>
        <rFont val="Arial"/>
        <family val="2"/>
      </rPr>
      <t>show case during</t>
    </r>
    <r>
      <rPr>
        <sz val="10"/>
        <rFont val="Arial"/>
        <family val="2"/>
        <charset val="1"/>
      </rPr>
      <t xml:space="preserve"> </t>
    </r>
    <r>
      <rPr>
        <sz val="10"/>
        <color rgb="FFFF0000"/>
        <rFont val="Arial"/>
        <family val="2"/>
      </rPr>
      <t>workshop and seminars</t>
    </r>
  </si>
  <si>
    <r>
      <t>We highlight where it can be found and that we have provided it,</t>
    </r>
    <r>
      <rPr>
        <sz val="10"/>
        <color rgb="FFFF0000"/>
        <rFont val="Arial"/>
        <family val="2"/>
      </rPr>
      <t xml:space="preserve"> we stay in contact</t>
    </r>
  </si>
  <si>
    <r>
      <t xml:space="preserve">We </t>
    </r>
    <r>
      <rPr>
        <sz val="10"/>
        <color rgb="FFFF0000"/>
        <rFont val="Arial"/>
        <family val="2"/>
      </rPr>
      <t>remind</t>
    </r>
    <r>
      <rPr>
        <sz val="10"/>
        <rFont val="Arial"/>
        <family val="2"/>
        <charset val="1"/>
      </rPr>
      <t xml:space="preserve"> them we gave these info to them already.</t>
    </r>
  </si>
  <si>
    <r>
      <rPr>
        <sz val="10"/>
        <color rgb="FFFF0000"/>
        <rFont val="Arial"/>
        <family val="2"/>
      </rPr>
      <t>remind</t>
    </r>
    <r>
      <rPr>
        <sz val="10"/>
        <rFont val="Arial"/>
        <family val="2"/>
        <charset val="1"/>
      </rPr>
      <t xml:space="preserve"> them</t>
    </r>
  </si>
  <si>
    <r>
      <t xml:space="preserve">Our central booking database which provides information about technical aspects our instrumentation. Users are also always </t>
    </r>
    <r>
      <rPr>
        <sz val="10"/>
        <color rgb="FFFF0000"/>
        <rFont val="Arial"/>
        <family val="2"/>
      </rPr>
      <t>encouraged</t>
    </r>
    <r>
      <rPr>
        <sz val="10"/>
        <rFont val="Arial"/>
        <family val="2"/>
        <charset val="1"/>
      </rPr>
      <t xml:space="preserve"> to contact us via email if they wish to have additional information related to their project.</t>
    </r>
  </si>
  <si>
    <r>
      <rPr>
        <sz val="10"/>
        <color rgb="FFFF0000"/>
        <rFont val="Arial"/>
        <family val="2"/>
      </rPr>
      <t>Provide</t>
    </r>
    <r>
      <rPr>
        <sz val="10"/>
        <rFont val="Arial"/>
        <family val="2"/>
        <charset val="1"/>
      </rPr>
      <t xml:space="preserve"> for free, and indicate the "helpfulness" of it</t>
    </r>
  </si>
  <si>
    <r>
      <t xml:space="preserve">Try to highlight some interesting aspects in the data is useful to </t>
    </r>
    <r>
      <rPr>
        <sz val="10"/>
        <color rgb="FFFF0000"/>
        <rFont val="Arial"/>
        <family val="2"/>
      </rPr>
      <t>motivate</t>
    </r>
    <r>
      <rPr>
        <sz val="10"/>
        <rFont val="Arial"/>
        <family val="2"/>
        <charset val="1"/>
      </rPr>
      <t xml:space="preserve"> them</t>
    </r>
  </si>
  <si>
    <r>
      <rPr>
        <sz val="10"/>
        <color rgb="FFFF0000"/>
        <rFont val="Arial"/>
        <family val="2"/>
      </rPr>
      <t>show</t>
    </r>
    <r>
      <rPr>
        <sz val="10"/>
        <rFont val="Arial"/>
        <family val="2"/>
        <charset val="1"/>
      </rPr>
      <t xml:space="preserve"> them the amount of offered literature, protocols, sample prep guidelines, detailed user instructions for instruments we prepared and collected during initial user </t>
    </r>
    <r>
      <rPr>
        <sz val="10"/>
        <color rgb="FFFF0000"/>
        <rFont val="Arial"/>
        <family val="2"/>
      </rPr>
      <t>meeting</t>
    </r>
    <r>
      <rPr>
        <sz val="10"/>
        <rFont val="Arial"/>
        <family val="2"/>
        <charset val="1"/>
      </rPr>
      <t>. Still people want to re-invent established protocols, but later on they realize we wrote them down for a reason as we know what works and what does not</t>
    </r>
  </si>
  <si>
    <r>
      <rPr>
        <sz val="10"/>
        <color rgb="FFFF0000"/>
        <rFont val="Arial"/>
        <family val="2"/>
      </rPr>
      <t>Talk</t>
    </r>
    <r>
      <rPr>
        <sz val="10"/>
        <rFont val="Arial"/>
        <family val="2"/>
        <charset val="1"/>
      </rPr>
      <t xml:space="preserve"> with them - regularly. </t>
    </r>
    <r>
      <rPr>
        <sz val="10"/>
        <color rgb="FFFF0000"/>
        <rFont val="Arial"/>
        <family val="2"/>
      </rPr>
      <t>Join their lab meetings.</t>
    </r>
  </si>
  <si>
    <r>
      <rPr>
        <sz val="10"/>
        <color rgb="FFFF0000"/>
        <rFont val="Arial"/>
        <family val="2"/>
      </rPr>
      <t xml:space="preserve">Talking </t>
    </r>
    <r>
      <rPr>
        <sz val="10"/>
        <rFont val="Arial"/>
        <family val="2"/>
        <charset val="1"/>
      </rPr>
      <t>talking talking</t>
    </r>
  </si>
  <si>
    <t>communication</t>
  </si>
  <si>
    <t>staff, equipment</t>
  </si>
  <si>
    <t xml:space="preserve">users </t>
  </si>
  <si>
    <t>SOP, user</t>
  </si>
  <si>
    <t>SOP</t>
  </si>
  <si>
    <t xml:space="preserve">Quality control </t>
  </si>
  <si>
    <t xml:space="preserve">communication </t>
  </si>
  <si>
    <t xml:space="preserve">SOP,  quality control, users </t>
  </si>
  <si>
    <t xml:space="preserve">sample, communication </t>
  </si>
  <si>
    <t xml:space="preserve">staff </t>
  </si>
  <si>
    <t>staff, equipment.</t>
  </si>
  <si>
    <t xml:space="preserve">experimental design, sample ,communication, equipment </t>
  </si>
  <si>
    <t xml:space="preserve"> communication </t>
  </si>
  <si>
    <t>time</t>
  </si>
  <si>
    <t>experimental design</t>
  </si>
  <si>
    <t>quality control</t>
  </si>
  <si>
    <t>equipment</t>
  </si>
  <si>
    <t>administration</t>
  </si>
  <si>
    <t>development</t>
  </si>
  <si>
    <t>funding, staff</t>
  </si>
  <si>
    <t>funding</t>
  </si>
  <si>
    <t xml:space="preserve">development, </t>
  </si>
  <si>
    <t>training, equipment</t>
  </si>
  <si>
    <t>recognition</t>
  </si>
  <si>
    <t>project complexity</t>
  </si>
  <si>
    <t>interaction with users</t>
  </si>
  <si>
    <t>interaction with users, development</t>
  </si>
  <si>
    <t>cost recovery</t>
  </si>
  <si>
    <t>bureaucracy</t>
  </si>
  <si>
    <t>development, data protection</t>
  </si>
  <si>
    <t>staff, funding</t>
  </si>
  <si>
    <t>development, cost recovery</t>
  </si>
  <si>
    <t>funding, equipment</t>
  </si>
  <si>
    <t>data protection</t>
  </si>
  <si>
    <t>in writing</t>
  </si>
  <si>
    <r>
      <t xml:space="preserve">It is ok for management of samples and data. It </t>
    </r>
    <r>
      <rPr>
        <sz val="10"/>
        <color rgb="FFFF0000"/>
        <rFont val="Arial"/>
        <family val="2"/>
      </rPr>
      <t>does not replace discussions</t>
    </r>
    <r>
      <rPr>
        <sz val="10"/>
        <rFont val="Arial"/>
        <family val="2"/>
        <charset val="1"/>
      </rPr>
      <t>.</t>
    </r>
  </si>
  <si>
    <t>General info: website
Personal communication by email, phone</t>
  </si>
  <si>
    <t>Better presentation of information on website (fees, procedures, offered services)
Regular and better feedback during course of projects e.g. reaching of milestones.
Trying to minimize „lost” unanswered emails</t>
  </si>
  <si>
    <t>Additional platforms for single core facilities will not be accepted by users: too high investment in registration / installation. Combined platform for all facilities could be attractive.
Optimized email communication is sufficient (e.g. with ticketing system).</t>
  </si>
  <si>
    <t>No general training to all users but workshops offered that explain technique and laboratory-procedures</t>
  </si>
  <si>
    <t>Explaining benefits and limitations of the technique</t>
  </si>
  <si>
    <t>General warnings on website to consult with us early
Personal discussions: refer to experts for design and analyses, describe best practices and problems of samples. Suggest controls and protocols for specific methods.</t>
  </si>
  <si>
    <t>Our facility</t>
  </si>
  <si>
    <t>Temporarily on local NAS, synchronized with dedicated file server outside of facility (long term storage). Professional tape backup,</t>
  </si>
  <si>
    <t>By university cloud (only on demand)</t>
  </si>
  <si>
    <t>Cooperating bioinformatics core facility. Appropriately trained personnel.</t>
  </si>
  <si>
    <t>Important but labour-intensive (needs project-specific knowledge). Could be done by scientists at core facilities (proteomics and bioinformatics).
Much of published data is also stored in public repositories.</t>
  </si>
  <si>
    <t>Limited improvements because core facility has little expertise in specific project details. But core facility necessary for materials, methods and data interpretation</t>
  </si>
  <si>
    <t>nothing</t>
  </si>
  <si>
    <t>Should be covered by general scientific guidelines, terms of use (of general infrastructure and of specific core facility)</t>
  </si>
  <si>
    <t>Good experimental design (including good hypotheses), good sample quality.
Adherence to standard procedures during all steps. Strict quality checks of instrumentation.
Sufficient time for data analyses.</t>
  </si>
  <si>
    <t>Additional personnel.</t>
  </si>
  <si>
    <t>Keeping up with method developments and finding good personnel. Need for more revenue to balance high costs.</t>
  </si>
  <si>
    <t>Phone, E-Mail, Homepage, Face-to-face, seminars</t>
  </si>
  <si>
    <t>More seminars</t>
  </si>
  <si>
    <t>Data protection, as hospital</t>
  </si>
  <si>
    <t>Good and correct sample preparation</t>
  </si>
  <si>
    <t>we advise new users regarding the optimal dyes for the FACS instrument in question and the sample preparation If we already have experience or protocols, users can fall back on these</t>
  </si>
  <si>
    <t>The user and the facility (for some of the data)</t>
  </si>
  <si>
    <t>on House Network Folders (Back uped)</t>
  </si>
  <si>
    <t>Via E-mail, House network or Cloud</t>
  </si>
  <si>
    <t>n/a</t>
  </si>
  <si>
    <t>QM system</t>
  </si>
  <si>
    <t>YES!</t>
  </si>
  <si>
    <t>booking platform
e-mail
telephone</t>
  </si>
  <si>
    <t>no e mail ping pong</t>
  </si>
  <si>
    <t>learn how to use the maschines
what flow cytometry is</t>
  </si>
  <si>
    <t>meetings with the researchers</t>
  </si>
  <si>
    <t>our users</t>
  </si>
  <si>
    <t>can't tell exactly
I think servers and external hard drives</t>
  </si>
  <si>
    <t>via network</t>
  </si>
  <si>
    <t>users
don't know if they are trained</t>
  </si>
  <si>
    <t>maybe e labbook where all members can join the project</t>
  </si>
  <si>
    <t>we use it during our introductions and so they already know it and use it afterwards</t>
  </si>
  <si>
    <t>communication/management software</t>
  </si>
  <si>
    <t>LIMS</t>
  </si>
  <si>
    <t>OpenIris</t>
  </si>
  <si>
    <r>
      <t xml:space="preserve">The users, we don't know.
We save it on a </t>
    </r>
    <r>
      <rPr>
        <sz val="10"/>
        <color rgb="FFFF0000"/>
        <rFont val="Arial"/>
        <family val="2"/>
      </rPr>
      <t xml:space="preserve">NAS </t>
    </r>
    <r>
      <rPr>
        <sz val="10"/>
        <rFont val="Arial"/>
        <family val="2"/>
      </rPr>
      <t>device</t>
    </r>
    <r>
      <rPr>
        <sz val="10"/>
        <rFont val="Arial"/>
        <family val="2"/>
        <charset val="1"/>
      </rPr>
      <t>.</t>
    </r>
  </si>
  <si>
    <r>
      <t xml:space="preserve">On duplicated </t>
    </r>
    <r>
      <rPr>
        <sz val="10"/>
        <color rgb="FFFF0000"/>
        <rFont val="Arial"/>
        <family val="2"/>
      </rPr>
      <t>NAS</t>
    </r>
    <r>
      <rPr>
        <sz val="10"/>
        <rFont val="Arial"/>
        <family val="2"/>
        <charset val="1"/>
      </rPr>
      <t xml:space="preserve"> systems in house plus at </t>
    </r>
    <r>
      <rPr>
        <sz val="10"/>
        <color rgb="FFFF0000"/>
        <rFont val="Arial"/>
        <family val="2"/>
      </rPr>
      <t>QBIC</t>
    </r>
    <r>
      <rPr>
        <sz val="10"/>
        <rFont val="Arial"/>
        <family val="2"/>
        <charset val="1"/>
      </rPr>
      <t xml:space="preserve"> (Quantitative biology center Tübingen).</t>
    </r>
  </si>
  <si>
    <t>We save it on duplicated NAS systems . Additionally user data are stored at QBIC (Quantitative biology center Tübingen).</t>
  </si>
  <si>
    <r>
      <t xml:space="preserve">Initially on </t>
    </r>
    <r>
      <rPr>
        <sz val="10"/>
        <color rgb="FFFF0000"/>
        <rFont val="Arial"/>
        <family val="2"/>
      </rPr>
      <t>local</t>
    </r>
    <r>
      <rPr>
        <sz val="10"/>
        <rFont val="Arial"/>
        <family val="2"/>
        <charset val="1"/>
      </rPr>
      <t xml:space="preserve"> computer and </t>
    </r>
    <r>
      <rPr>
        <sz val="10"/>
        <color rgb="FFFF0000"/>
        <rFont val="Arial"/>
        <family val="2"/>
      </rPr>
      <t>server</t>
    </r>
    <r>
      <rPr>
        <sz val="10"/>
        <rFont val="Arial"/>
        <family val="2"/>
        <charset val="1"/>
      </rPr>
      <t xml:space="preserve"> of facility (LSDF)</t>
    </r>
  </si>
  <si>
    <r>
      <t xml:space="preserve">institutional </t>
    </r>
    <r>
      <rPr>
        <sz val="10"/>
        <color rgb="FFFF0000"/>
        <rFont val="Arial"/>
        <family val="2"/>
      </rPr>
      <t>server</t>
    </r>
  </si>
  <si>
    <r>
      <t xml:space="preserve">academic </t>
    </r>
    <r>
      <rPr>
        <sz val="10"/>
        <color rgb="FFFF0000"/>
        <rFont val="Arial"/>
        <family val="2"/>
      </rPr>
      <t>NAS</t>
    </r>
  </si>
  <si>
    <r>
      <t xml:space="preserve">On our </t>
    </r>
    <r>
      <rPr>
        <sz val="10"/>
        <color rgb="FFFF0000"/>
        <rFont val="Arial"/>
        <family val="2"/>
      </rPr>
      <t>servers</t>
    </r>
  </si>
  <si>
    <r>
      <t xml:space="preserve">Our backup is on university </t>
    </r>
    <r>
      <rPr>
        <sz val="10"/>
        <color rgb="FFFF0000"/>
        <rFont val="Arial"/>
        <family val="2"/>
      </rPr>
      <t>server</t>
    </r>
    <r>
      <rPr>
        <sz val="10"/>
        <rFont val="Arial"/>
        <family val="2"/>
        <charset val="1"/>
      </rPr>
      <t xml:space="preserve"> space.  The users backup is unknown.</t>
    </r>
  </si>
  <si>
    <r>
      <t xml:space="preserve">on a </t>
    </r>
    <r>
      <rPr>
        <sz val="10"/>
        <color rgb="FFFF0000"/>
        <rFont val="Arial"/>
        <family val="2"/>
      </rPr>
      <t>central database</t>
    </r>
    <r>
      <rPr>
        <sz val="10"/>
        <rFont val="Arial"/>
        <family val="2"/>
        <charset val="1"/>
      </rPr>
      <t xml:space="preserve"> which is backed up</t>
    </r>
  </si>
  <si>
    <r>
      <rPr>
        <sz val="10"/>
        <color rgb="FFFF0000"/>
        <rFont val="Arial"/>
        <family val="2"/>
      </rPr>
      <t>server</t>
    </r>
    <r>
      <rPr>
        <sz val="10"/>
        <rFont val="Arial"/>
        <family val="2"/>
        <charset val="1"/>
      </rPr>
      <t>/datastore</t>
    </r>
  </si>
  <si>
    <r>
      <t xml:space="preserve">On backuped </t>
    </r>
    <r>
      <rPr>
        <sz val="10"/>
        <color rgb="FFFF0000"/>
        <rFont val="Arial"/>
        <family val="2"/>
      </rPr>
      <t>servers</t>
    </r>
    <r>
      <rPr>
        <sz val="10"/>
        <rFont val="Arial"/>
        <family val="2"/>
        <charset val="1"/>
      </rPr>
      <t>.</t>
    </r>
  </si>
  <si>
    <r>
      <t xml:space="preserve">Lab books, University </t>
    </r>
    <r>
      <rPr>
        <sz val="10"/>
        <color rgb="FFFF0000"/>
        <rFont val="Arial"/>
        <family val="2"/>
      </rPr>
      <t>servers</t>
    </r>
  </si>
  <si>
    <r>
      <rPr>
        <sz val="10"/>
        <color rgb="FFFF0000"/>
        <rFont val="Arial"/>
        <family val="2"/>
      </rPr>
      <t>Cluster</t>
    </r>
    <r>
      <rPr>
        <sz val="10"/>
        <rFont val="Arial"/>
        <family val="2"/>
        <charset val="1"/>
      </rPr>
      <t xml:space="preserve"> and/or </t>
    </r>
    <r>
      <rPr>
        <sz val="10"/>
        <color rgb="FFFF0000"/>
        <rFont val="Arial"/>
        <family val="2"/>
      </rPr>
      <t>BaseSpace</t>
    </r>
  </si>
  <si>
    <r>
      <t xml:space="preserve">With the </t>
    </r>
    <r>
      <rPr>
        <sz val="10"/>
        <color rgb="FFFF0000"/>
        <rFont val="Arial"/>
        <family val="2"/>
      </rPr>
      <t>user</t>
    </r>
  </si>
  <si>
    <r>
      <t xml:space="preserve">internal </t>
    </r>
    <r>
      <rPr>
        <sz val="10"/>
        <color rgb="FFFF0000"/>
        <rFont val="Arial"/>
        <family val="2"/>
      </rPr>
      <t>server</t>
    </r>
  </si>
  <si>
    <r>
      <t>Internal</t>
    </r>
    <r>
      <rPr>
        <sz val="10"/>
        <color rgb="FFFF0000"/>
        <rFont val="Arial"/>
        <family val="2"/>
      </rPr>
      <t xml:space="preserve"> server</t>
    </r>
    <r>
      <rPr>
        <sz val="10"/>
        <rFont val="Arial"/>
        <family val="2"/>
        <charset val="1"/>
      </rPr>
      <t>.</t>
    </r>
  </si>
  <si>
    <r>
      <t xml:space="preserve">university computing center </t>
    </r>
    <r>
      <rPr>
        <sz val="10"/>
        <color theme="4"/>
        <rFont val="Arial"/>
        <family val="2"/>
      </rPr>
      <t>(internal server)</t>
    </r>
  </si>
  <si>
    <r>
      <rPr>
        <sz val="10"/>
        <color rgb="FFFF0000"/>
        <rFont val="Arial"/>
        <family val="2"/>
      </rPr>
      <t>Server</t>
    </r>
    <r>
      <rPr>
        <sz val="10"/>
        <rFont val="Arial"/>
        <family val="2"/>
        <charset val="1"/>
      </rPr>
      <t>, accessible in intranet and backed up by IT</t>
    </r>
  </si>
  <si>
    <r>
      <t>Local hard-drive (</t>
    </r>
    <r>
      <rPr>
        <sz val="10"/>
        <color theme="4"/>
        <rFont val="Arial"/>
        <family val="2"/>
      </rPr>
      <t>locally</t>
    </r>
    <r>
      <rPr>
        <sz val="10"/>
        <rFont val="Arial"/>
        <family val="2"/>
        <charset val="1"/>
      </rPr>
      <t>)</t>
    </r>
  </si>
  <si>
    <r>
      <rPr>
        <sz val="10"/>
        <color rgb="FFFF0000"/>
        <rFont val="Arial"/>
        <family val="2"/>
      </rPr>
      <t>gwdg</t>
    </r>
    <r>
      <rPr>
        <sz val="10"/>
        <rFont val="Arial"/>
        <family val="2"/>
        <charset val="1"/>
      </rPr>
      <t xml:space="preserve"> and </t>
    </r>
    <r>
      <rPr>
        <sz val="10"/>
        <color rgb="FFFF0000"/>
        <rFont val="Arial"/>
        <family val="2"/>
      </rPr>
      <t>local</t>
    </r>
  </si>
  <si>
    <r>
      <t xml:space="preserve">on external hard drives </t>
    </r>
    <r>
      <rPr>
        <sz val="10"/>
        <color theme="4"/>
        <rFont val="Arial"/>
        <family val="2"/>
      </rPr>
      <t>(local)</t>
    </r>
    <r>
      <rPr>
        <sz val="10"/>
        <rFont val="Arial"/>
        <family val="2"/>
        <charset val="1"/>
      </rPr>
      <t xml:space="preserve">, or a </t>
    </r>
    <r>
      <rPr>
        <sz val="10"/>
        <color rgb="FFFF0000"/>
        <rFont val="Arial"/>
        <family val="2"/>
      </rPr>
      <t>server</t>
    </r>
  </si>
  <si>
    <r>
      <t>Both on the computer that was used, and a backup drive (</t>
    </r>
    <r>
      <rPr>
        <sz val="10"/>
        <color theme="4"/>
        <rFont val="Arial"/>
        <family val="2"/>
      </rPr>
      <t>local</t>
    </r>
    <r>
      <rPr>
        <sz val="10"/>
        <rFont val="Arial"/>
        <family val="2"/>
        <charset val="1"/>
      </rPr>
      <t>)</t>
    </r>
  </si>
  <si>
    <r>
      <rPr>
        <sz val="10"/>
        <color rgb="FFFF0000"/>
        <rFont val="Arial"/>
        <family val="2"/>
      </rPr>
      <t>Servers</t>
    </r>
    <r>
      <rPr>
        <sz val="10"/>
        <rFont val="Arial"/>
        <family val="2"/>
        <charset val="1"/>
      </rPr>
      <t xml:space="preserve"> that are backed-up.</t>
    </r>
  </si>
  <si>
    <r>
      <t xml:space="preserve">As the </t>
    </r>
    <r>
      <rPr>
        <sz val="10"/>
        <color rgb="FFFF0000"/>
        <rFont val="Arial"/>
        <family val="2"/>
      </rPr>
      <t>users</t>
    </r>
    <r>
      <rPr>
        <sz val="10"/>
        <rFont val="Arial"/>
        <family val="2"/>
        <charset val="1"/>
      </rPr>
      <t xml:space="preserve"> are responsible for that, I can't say.</t>
    </r>
  </si>
  <si>
    <r>
      <t xml:space="preserve">First on a 20 TB </t>
    </r>
    <r>
      <rPr>
        <sz val="10"/>
        <color rgb="FFFF0000"/>
        <rFont val="Arial"/>
        <family val="2"/>
      </rPr>
      <t>network drive</t>
    </r>
    <r>
      <rPr>
        <sz val="10"/>
        <rFont val="Arial"/>
        <family val="2"/>
        <charset val="1"/>
      </rPr>
      <t>, then on tape which is in principle stored infinitely. (</t>
    </r>
    <r>
      <rPr>
        <sz val="10"/>
        <color rgb="FF00B0F0"/>
        <rFont val="Arial"/>
        <family val="2"/>
      </rPr>
      <t>server</t>
    </r>
    <r>
      <rPr>
        <sz val="10"/>
        <rFont val="Arial"/>
        <family val="2"/>
        <charset val="1"/>
      </rPr>
      <t>)</t>
    </r>
  </si>
  <si>
    <r>
      <t xml:space="preserve">Data is saved to the central </t>
    </r>
    <r>
      <rPr>
        <sz val="10"/>
        <color rgb="FFFF0000"/>
        <rFont val="Arial"/>
        <family val="2"/>
      </rPr>
      <t>fileserver</t>
    </r>
    <r>
      <rPr>
        <sz val="10"/>
        <rFont val="Arial"/>
        <family val="2"/>
        <charset val="1"/>
      </rPr>
      <t xml:space="preserve"> of the institution. External users have to save data to their external storage devices.</t>
    </r>
  </si>
  <si>
    <r>
      <t xml:space="preserve">Long-term back to a </t>
    </r>
    <r>
      <rPr>
        <sz val="10"/>
        <color rgb="FFFF0000"/>
        <rFont val="Arial"/>
        <family val="2"/>
      </rPr>
      <t>local</t>
    </r>
    <r>
      <rPr>
        <sz val="10"/>
        <rFont val="Arial"/>
        <family val="2"/>
        <charset val="1"/>
      </rPr>
      <t xml:space="preserve"> computational/data center using tape drives.</t>
    </r>
  </si>
  <si>
    <t xml:space="preserve">temporarily on microscope computers, then on user hardware. </t>
  </si>
  <si>
    <r>
      <t>The data produced by us are saved in our test facility.  (</t>
    </r>
    <r>
      <rPr>
        <sz val="10"/>
        <color rgb="FF00B0F0"/>
        <rFont val="Arial"/>
        <family val="2"/>
      </rPr>
      <t>local</t>
    </r>
    <r>
      <rPr>
        <sz val="10"/>
        <rFont val="Arial"/>
        <family val="2"/>
        <charset val="1"/>
      </rPr>
      <t>)</t>
    </r>
  </si>
  <si>
    <r>
      <t xml:space="preserve">Internal </t>
    </r>
    <r>
      <rPr>
        <sz val="10"/>
        <color rgb="FFFF0000"/>
        <rFont val="Arial"/>
        <family val="2"/>
      </rPr>
      <t>server</t>
    </r>
  </si>
  <si>
    <r>
      <rPr>
        <sz val="10"/>
        <color rgb="FFFF0000"/>
        <rFont val="Arial"/>
        <family val="2"/>
      </rPr>
      <t>Cloud</t>
    </r>
    <r>
      <rPr>
        <sz val="10"/>
        <rFont val="Arial"/>
        <family val="2"/>
        <charset val="1"/>
      </rPr>
      <t>.</t>
    </r>
  </si>
  <si>
    <r>
      <t>CF</t>
    </r>
    <r>
      <rPr>
        <sz val="10"/>
        <color rgb="FFFF0000"/>
        <rFont val="Arial"/>
        <family val="2"/>
      </rPr>
      <t xml:space="preserve"> LIMS</t>
    </r>
    <r>
      <rPr>
        <sz val="10"/>
        <rFont val="Arial"/>
        <family val="2"/>
        <charset val="1"/>
      </rPr>
      <t xml:space="preserve"> with access for users</t>
    </r>
  </si>
  <si>
    <r>
      <rPr>
        <sz val="10"/>
        <color rgb="FFFF0000"/>
        <rFont val="Arial"/>
        <family val="2"/>
      </rPr>
      <t>Hard drive</t>
    </r>
    <r>
      <rPr>
        <sz val="10"/>
        <rFont val="Arial"/>
        <family val="2"/>
        <charset val="1"/>
      </rPr>
      <t xml:space="preserve"> for external users, </t>
    </r>
    <r>
      <rPr>
        <sz val="10"/>
        <color rgb="FFFF0000"/>
        <rFont val="Arial"/>
        <family val="2"/>
      </rPr>
      <t>FTP site</t>
    </r>
    <r>
      <rPr>
        <sz val="10"/>
        <rFont val="Arial"/>
        <family val="2"/>
        <charset val="1"/>
      </rPr>
      <t xml:space="preserve"> for one large project. Via Phillips Xplore </t>
    </r>
    <r>
      <rPr>
        <sz val="10"/>
        <color rgb="FFFF0000"/>
        <rFont val="Arial"/>
        <family val="2"/>
      </rPr>
      <t>software</t>
    </r>
    <r>
      <rPr>
        <sz val="10"/>
        <rFont val="Arial"/>
        <family val="2"/>
        <charset val="1"/>
      </rPr>
      <t xml:space="preserve"> for external collaborators. Copied out of image sharing software for some internal users or transferred to a public data share and given one month to save their own data. Depends on the service we are talking about and whether the user is internal or external and sometimes on the users preference where they have a choice.</t>
    </r>
  </si>
  <si>
    <t>q0b. Do you agree that the survey data will be published?</t>
  </si>
  <si>
    <t>q1b. Who performs the experiments at your core facility?</t>
  </si>
  <si>
    <t>q2a[q2a1]. How are you communicating with your users? [in person (face to face)]</t>
  </si>
  <si>
    <t>q2a[q2a2]. How are you communicating with your users? [email]</t>
  </si>
  <si>
    <t>q2a[q2a3]. How are you communicating with your users? [phone]</t>
  </si>
  <si>
    <t>q2a[q2a4]. How are you communicating with your users? [website]</t>
  </si>
  <si>
    <t>q2a[q2a5]. How are you communicating with your users? [social media]</t>
  </si>
  <si>
    <t>q2a[q2a6]. How are you communicating with your users? [communication/management software]</t>
  </si>
  <si>
    <t>q2a[q2a7]. How are you communicating with your users? [seminars/workshops]</t>
  </si>
  <si>
    <t>q2a[q2a8]. How are you communicating with your users? [user group meeting]</t>
  </si>
  <si>
    <t>q2a[other]. How are you communicating with your users? [Other]</t>
  </si>
  <si>
    <t>q4aiii[q4aiii1]. How do you provide it? [face to face discussion]</t>
  </si>
  <si>
    <t>q4aiii[q4aiii2]. How do you provide it? [phone]</t>
  </si>
  <si>
    <t>q4aiii[q4aiii3]. How do you provide it? [in writing (file or paper)]</t>
  </si>
  <si>
    <t>q4aiii[q4aiii4]. How do you provide it? [email]</t>
  </si>
  <si>
    <t>q4aiii[other]. How do you provide it? [Other]</t>
  </si>
  <si>
    <t>q4aiv[4aiv1]. How do you get involved?  [face to face discussion]</t>
  </si>
  <si>
    <t>q4aiv[4aiv2]. How do you get involved?  [phone]</t>
  </si>
  <si>
    <t>q4aiv[4aiv3]. How do you get involved?  [in writing (file or paper)]</t>
  </si>
  <si>
    <t>q4aiv[4aiv4]. How do you get involved?  [email]</t>
  </si>
  <si>
    <t>q4aiv[other]. How do you get involved?  [Other]</t>
  </si>
  <si>
    <t>q6bi. What does it look like?</t>
  </si>
  <si>
    <t>q7a. Who stores the raw data (long term)?</t>
  </si>
  <si>
    <t>q7a[other]. Who stores the raw data (long term)? [Other]</t>
  </si>
  <si>
    <t>q7ai. Do you think the core facility should also be responsible for storing the raw data?</t>
  </si>
  <si>
    <t>q7ai[comment]. Do you think the core facility should also be responsible for storing the raw data? [Comment]</t>
  </si>
  <si>
    <t>q7b[q7b1]. Where are the raw data stored (long term)? [at the core facility physically (PC, external drive…)]</t>
  </si>
  <si>
    <t>q7b[q7b1comment]. Where are the raw data stored (long term)? [Comment]</t>
  </si>
  <si>
    <t>q7b[q7b2]. Where are the raw data stored (long term)? [internal server/cloud at your organisation/university]</t>
  </si>
  <si>
    <t>q7b[q7b2comment]. Where are the raw data stored (long term)? [Comment]</t>
  </si>
  <si>
    <t>q7b[q7b3]. Where are the raw data stored (long term)? [external server/cloud through the internet]</t>
  </si>
  <si>
    <t>q7b[q7b3comment]. Where are the raw data stored (long term)? [Comment]</t>
  </si>
  <si>
    <t>q7b[q7b4]. Where are the raw data stored (long term)? [public repository]</t>
  </si>
  <si>
    <t>q7b[q7b4comment]. Where are the raw data stored (long term)? [Comment]</t>
  </si>
  <si>
    <t>q7b[other]. Where are the raw data stored (long term)? [Other]</t>
  </si>
  <si>
    <t>q7b[othercomment]. Where are the raw data stored (long term)? [Other comment]</t>
  </si>
  <si>
    <t>q7c[q7c1]. How are the raw data transferred from the core facility to the user?  [network (server, cloud, FTP…)]</t>
  </si>
  <si>
    <t>q7c[q7c1comment]. How are the raw data transferred from the core facility to the user?  [Comment]</t>
  </si>
  <si>
    <t>q7c[q7c2]. How are the raw data transferred from the core facility to the user?  [external disk / USB stick]</t>
  </si>
  <si>
    <t>q7c[q7c2comment]. How are the raw data transferred from the core facility to the user?  [Comment]</t>
  </si>
  <si>
    <t>q7c[q7c3]. How are the raw data transferred from the core facility to the user?  [email]</t>
  </si>
  <si>
    <t>q7c[q7c3comment]. How are the raw data transferred from the core facility to the user?  [Comment]</t>
  </si>
  <si>
    <t>q7c[other]. How are the raw data transferred from the core facility to the user?  [Other]</t>
  </si>
  <si>
    <t>q7c[othercomment]. How are the raw data transferred from the core facility to the user?  [Other comment]</t>
  </si>
  <si>
    <t>q7e[comment]. If applicable, who performs the statistical analysis and is that person appropriately trained?    [Comment]</t>
  </si>
  <si>
    <t>q7ei. Do you provide guidance or train the user how to perform the statistical analysis?  </t>
  </si>
  <si>
    <t>q7ei[comment]. Do you provide guidance or train the user how to perform the statistical analysis?   [Comment]</t>
  </si>
  <si>
    <t>q7fii. Do you think it would be important to have such quality control mechanism at your core facility?</t>
  </si>
  <si>
    <t>q7fii[comment]. Do you think it would be important to have such quality control mechanism at your core facility? [Comment]</t>
  </si>
  <si>
    <t>q7j[q7j1][1]. Please rate the current situation in respect to research data produced in your facility and the importance to improve it.   1 = strongly agree  2 = somewhat agree  3 = neither agree nor disagree  4 = somewhat disagree  5 = strongly disagree [Data cannot get lost / orphaned][Scale 1]</t>
  </si>
  <si>
    <t>q7j[q7j1][2]. Please rate the current situation in respect to research data produced in your facility and the importance to improve it.   1 = strongly agree  2 = somewhat agree  3 = neither agree nor disagree  4 = somewhat disagree  5 = strongly disagree [Data cannot get lost / orphaned][Scale 2]</t>
  </si>
  <si>
    <t>q7j[q7j2][1]. Please rate the current situation in respect to research data produced in your facility and the importance to improve it.   1 = strongly agree  2 = somewhat agree  3 = neither agree nor disagree  4 = somewhat disagree  5 = strongly disagree [Data are searchable and findable][Scale 1]</t>
  </si>
  <si>
    <t>q7j[q7j2][2]. Please rate the current situation in respect to research data produced in your facility and the importance to improve it.   1 = strongly agree  2 = somewhat agree  3 = neither agree nor disagree  4 = somewhat disagree  5 = strongly disagree [Data are searchable and findable][Scale 2]</t>
  </si>
  <si>
    <t>q7j[q7j3][1]. Please rate the current situation in respect to research data produced in your facility and the importance to improve it.   1 = strongly agree  2 = somewhat agree  3 = neither agree nor disagree  4 = somewhat disagree  5 = strongly disagree [Data are compatible / interoperable on another device/software][Scale 1]</t>
  </si>
  <si>
    <t>q7j[q7j3][2]. Please rate the current situation in respect to research data produced in your facility and the importance to improve it.   1 = strongly agree  2 = somewhat agree  3 = neither agree nor disagree  4 = somewhat disagree  5 = strongly disagree [Data are compatible / interoperable on another device/software][Scale 2]</t>
  </si>
  <si>
    <t>q7j[q7j4][1]. Please rate the current situation in respect to research data produced in your facility and the importance to improve it.   1 = strongly agree  2 = somewhat agree  3 = neither agree nor disagree  4 = somewhat disagree  5 = strongly disagree [Data are reusable][Scale 1]</t>
  </si>
  <si>
    <t>q7j[q7j4][2]. Please rate the current situation in respect to research data produced in your facility and the importance to improve it.   1 = strongly agree  2 = somewhat agree  3 = neither agree nor disagree  4 = somewhat disagree  5 = strongly disagree [Data are reusable][Scale 2]</t>
  </si>
  <si>
    <t>q7j[q7j5][1]. Please rate the current situation in respect to research data produced in your facility and the importance to improve it.   1 = strongly agree  2 = somewhat agree  3 = neither agree nor disagree  4 = somewhat disagree  5 = strongly disagree [Data are attributable (Understand who acquired and/or edited the data and when?)][Scale 1]</t>
  </si>
  <si>
    <t>q7j[q7j5][2]. Please rate the current situation in respect to research data produced in your facility and the importance to improve it.   1 = strongly agree  2 = somewhat agree  3 = neither agree nor disagree  4 = somewhat disagree  5 = strongly disagree [Data are attributable (Understand who acquired and/or edited the data and when?)][Scale 2]</t>
  </si>
  <si>
    <t>q7j[q7j6][1]. Please rate the current situation in respect to research data produced in your facility and the importance to improve it.   1 = strongly agree  2 = somewhat agree  3 = neither agree nor disagree  4 = somewhat disagree  5 = strongly disagree [Data are complete and all data included (any repeat or reanalysis performed on the sample)?][Scale 1]</t>
  </si>
  <si>
    <t>q7j[q7j6][2]. Please rate the current situation in respect to research data produced in your facility and the importance to improve it.   1 = strongly agree  2 = somewhat agree  3 = neither agree nor disagree  4 = somewhat disagree  5 = strongly disagree [Data are complete and all data included (any repeat or reanalysis performed on the sample)?][Scale 2]</t>
  </si>
  <si>
    <t>q9c[comment]. Do you think it could improve the quality of published research data to involve the core facility in the publication and why?   [Comment]</t>
  </si>
  <si>
    <t>q10bii[comment]. Would you find it useful to implement one and why?   [Comment]</t>
  </si>
  <si>
    <t>q10c. Do you have enough staff to run your facility?</t>
  </si>
  <si>
    <t>q10d. Do you have enough funding to maintain and upgrade your equipment? </t>
  </si>
  <si>
    <t>interviewtime. Total time</t>
  </si>
  <si>
    <t>groupTime296. Group time: Study information for the participants</t>
  </si>
  <si>
    <t>q0aTime. Question time: q0a</t>
  </si>
  <si>
    <t>q0bTime. Question time: q0b</t>
  </si>
  <si>
    <t>groupTime295. Group time: 1)	Scope of your core facility</t>
  </si>
  <si>
    <t>q1aTime. Question time: q1a</t>
  </si>
  <si>
    <t>q1bTime. Question time: q1b</t>
  </si>
  <si>
    <t>q1dTime. Question time: q1d</t>
  </si>
  <si>
    <t>q1eTime. Question time: q1e</t>
  </si>
  <si>
    <t>q1fTime. Question time: q1f</t>
  </si>
  <si>
    <t>groupTime297. Group time: 2)	Communication</t>
  </si>
  <si>
    <t>q2aTime. Question time: q2a</t>
  </si>
  <si>
    <t>q2bTime. Question time: q2b</t>
  </si>
  <si>
    <t>q2biTime. Question time: q2bi</t>
  </si>
  <si>
    <t>q2cTime. Question time: q2c</t>
  </si>
  <si>
    <t>q2ciTime. Question time: q2ci</t>
  </si>
  <si>
    <t>q2ciiTime. Question time: q2cii</t>
  </si>
  <si>
    <t>q2ciiiTime. Question time: q2ciii</t>
  </si>
  <si>
    <t>q2civTime. Question time: q2civ</t>
  </si>
  <si>
    <t>groupTime298. Group time: 3)	Training</t>
  </si>
  <si>
    <t>q3aTime. Question time: q3a</t>
  </si>
  <si>
    <t>q3aiTime. Question time: q3ai</t>
  </si>
  <si>
    <t>q3bTime. Question time: q3b</t>
  </si>
  <si>
    <t>groupTime299. Group time: 4)	Experimental design</t>
  </si>
  <si>
    <t>q4aTime. Question time: q4a</t>
  </si>
  <si>
    <t>q4aiTime. Question time: q4ai</t>
  </si>
  <si>
    <t>q4aiiTime. Question time: q4aii</t>
  </si>
  <si>
    <t>q4aiiiTime. Question time: q4aiii</t>
  </si>
  <si>
    <t>q4aivTime. Question time: q4aiv</t>
  </si>
  <si>
    <t>groupTime300. Group time: 5)	Sample preparation (from the user’s side)</t>
  </si>
  <si>
    <t>q5aTime. Question time: q5a</t>
  </si>
  <si>
    <t>q5aiTime. Question time: q5ai</t>
  </si>
  <si>
    <t>q5bTime. Question time: q5b</t>
  </si>
  <si>
    <t>q5cTime. Question time: q5c</t>
  </si>
  <si>
    <t>q5dTime. Question time: q5d</t>
  </si>
  <si>
    <t>groupTime301. Group time: 6)	Experimental procedure</t>
  </si>
  <si>
    <t>q6aTime. Question time: q6a</t>
  </si>
  <si>
    <t>q6bTime. Question time: q6b</t>
  </si>
  <si>
    <t>q6biTime. Question time: q6bi</t>
  </si>
  <si>
    <t>q6cTime. Question time: q6c</t>
  </si>
  <si>
    <t>q6ciTime. Question time: q6ci</t>
  </si>
  <si>
    <t>q6dTime. Question time: q6d</t>
  </si>
  <si>
    <t>groupTime302. Group time: 7)	Research data</t>
  </si>
  <si>
    <t>q7aTime. Question time: q7a</t>
  </si>
  <si>
    <t>q7aiTime. Question time: q7ai</t>
  </si>
  <si>
    <t>q7bTime. Question time: q7b</t>
  </si>
  <si>
    <t>q7cTime. Question time: q7c</t>
  </si>
  <si>
    <t>q7dTime. Question time: q7d</t>
  </si>
  <si>
    <t>q7diTime. Question time: q7di</t>
  </si>
  <si>
    <t>q7eTime. Question time: q7e</t>
  </si>
  <si>
    <t>q7eiTime. Question time: q7ei</t>
  </si>
  <si>
    <t>q7fTime. Question time: q7f</t>
  </si>
  <si>
    <t>q7fiTime. Question time: q7fi</t>
  </si>
  <si>
    <t>q7fiiTime. Question time: q7fii</t>
  </si>
  <si>
    <t>q7gTime. Question time: q7g</t>
  </si>
  <si>
    <t>q7giTime. Question time: q7gi</t>
  </si>
  <si>
    <t>q7hTime. Question time: q7h</t>
  </si>
  <si>
    <t>q7iTime. Question time: q7i</t>
  </si>
  <si>
    <t>q7jTime. Question time: q7j</t>
  </si>
  <si>
    <t>groupTime303. Group time: 8)	Documentation</t>
  </si>
  <si>
    <t>q8aTime. Question time: q8a</t>
  </si>
  <si>
    <t>q8bTime. Question time: q8b</t>
  </si>
  <si>
    <t>q8biTime. Question time: q8bi</t>
  </si>
  <si>
    <t>groupTime304. Group time: 9)	Publication</t>
  </si>
  <si>
    <t>q9aTime. Question time: q9a</t>
  </si>
  <si>
    <t>q9bTime. Question time: q9b</t>
  </si>
  <si>
    <t>q9cTime. Question time: q9c</t>
  </si>
  <si>
    <t>groupTime305. Group time: 10)	Quality improvement</t>
  </si>
  <si>
    <t>q10aTime. Question time: q10a</t>
  </si>
  <si>
    <t>q10aiTime. Question time: q10ai</t>
  </si>
  <si>
    <t>q10bTime. Question time: q10b</t>
  </si>
  <si>
    <t>q10biTime. Question time: q10bi</t>
  </si>
  <si>
    <t>q10biiTime. Question time: q10bii</t>
  </si>
  <si>
    <t>q10cTime. Question time: q10c</t>
  </si>
  <si>
    <t>q10dTime. Question time: q10d</t>
  </si>
  <si>
    <t>q10eTime. Question time: q10e</t>
  </si>
  <si>
    <t>q10eiTime. Question time: q10ei</t>
  </si>
  <si>
    <t>q10fTime. Question time: q10f</t>
  </si>
  <si>
    <t>q10gTime. Question time: q10g</t>
  </si>
  <si>
    <t>q10hTime. Question time: q10h</t>
  </si>
  <si>
    <t>The staff of the core facility does (the users don’t work at the core facility).</t>
  </si>
  <si>
    <t>The amount of data produced depends on analyses perfromed. In cases when more imaging analyses is done, the amount of data surges.</t>
  </si>
  <si>
    <t>1-20  users per month</t>
  </si>
  <si>
    <t>Having a kind of a chat system along with project/sample administartion. Each users' project would have a chat possibility with archiving properties so that every step can be traced and attributed to a tagged project.</t>
  </si>
  <si>
    <t>generally, no.</t>
  </si>
  <si>
    <t>Sample preparation technique prior to sample submission.</t>
  </si>
  <si>
    <t>Face to face meetings during the project planing and execution.</t>
  </si>
  <si>
    <t>The systems used for analysis are checked before and after every batch of samples using standardized sample, which is being purchased from a valdiated manufacturer.</t>
  </si>
  <si>
    <t>More man-power in the lab and improved documentation sample preparation procedures.</t>
  </si>
  <si>
    <t>In order to better understand the methods applied a commentary from professionals is always preferable.</t>
  </si>
  <si>
    <t>Describing and explaining the measurement and analyses steps in detail. Describing the influence of acquired data on the overall quality of the data.</t>
  </si>
  <si>
    <t>Improved tracebility, detection of errors, tracking of data.</t>
  </si>
  <si>
    <t>Proper sample storage and sample preparation. QC of the analytcal systems in use.</t>
  </si>
  <si>
    <t>Improving QC and data tracking.</t>
  </si>
  <si>
    <t>Lack of personnel.</t>
  </si>
  <si>
    <t>The users work at the core facility (you provide the infrastructure only).</t>
  </si>
  <si>
    <t>41-60  users per month</t>
  </si>
  <si>
    <t>Microscopy, Histology, Immunofluorescence and Sample Preparation</t>
  </si>
  <si>
    <t>the core facility and/or the user</t>
  </si>
  <si>
    <t>PIs should train their students better</t>
  </si>
  <si>
    <t>quality of data</t>
  </si>
  <si>
    <t>because he can rely on us</t>
  </si>
  <si>
    <t>quality control tools, SOPs</t>
  </si>
  <si>
    <t>maintaining the equipment, quality control on the equipment and contact to the users in sample preparation</t>
  </si>
  <si>
    <t>most of the people are not interested in Microscopy - they just want to aquire the data. I think that in future, the core facility has do provide everything- from sample preparation to aquisition and data analysis. For this the core facilities would need much more personal, which is always difficult in a university environment.</t>
  </si>
  <si>
    <t>Both are possible.</t>
  </si>
  <si>
    <t>81-100  users per month</t>
  </si>
  <si>
    <t>dedicated management software</t>
  </si>
  <si>
    <t>Yes for automated communication regarding system status, feedback. Individualized and fragmented software platforms for operating systems, active directories, management systems, etc.
No for any other type of communication like general communication.</t>
  </si>
  <si>
    <t>Project related scientific and technical training to use complex instrumentation for data generation.
How to use the generated data properley.
Raising awareness for correct, optimal sample preparation, limitations of the technique, alternatives as well as downstream analysis of the data (which may be  outside the scope of the actual training).</t>
  </si>
  <si>
    <t>SOPs. 
Electronic guides on imaging optimized for each system (work in progress). 
Lunchseminars
Courses</t>
  </si>
  <si>
    <t>This is not central to any core facility, but central to a larger research infrastructure (core facilities are normally embedded whithin a larger RI).</t>
  </si>
  <si>
    <t>This is exclusively done via networks. No disks, USB sticks are used at anytime. Transfer of data is largely automated to safeguard against mistakes by users.</t>
  </si>
  <si>
    <t>In case of the core facility, the responsible staff is either educated in bioinformatics with enough knowledge in statistics or is educated on the job. Connection to mathematicians specializing in statitistical analysis of scientific data is available.</t>
  </si>
  <si>
    <t>Normally no. Upon request or during project support: yes.</t>
  </si>
  <si>
    <t>This is or should be in the hand's of the project leader. The core facility is normally not the owner of the project. 
In case of collaboration or in case of owning part of a project, control mechanisms are in place for correct interpretation and analysis.</t>
  </si>
  <si>
    <t>Data management system for projects owned or performed by the core facility - not for self service access and data generation by users.</t>
  </si>
  <si>
    <t>The research infrastructure in the first place by providing appropriate tools
the user performing experiments by having proper training in documentation of scientific experiments as well as having access to appropriate tools.
The owner of the project by focusing on documentation and providing the resources to do documentation.</t>
  </si>
  <si>
    <t>Correct documentation of the systems. Providing system quality and performance data (measurements are taking normally long and data may be acquired on different systems).</t>
  </si>
  <si>
    <t>Publish guidelines - part of the introduction of users to the core facility and systems.</t>
  </si>
  <si>
    <t>Cutting edge instrumentation
Maintaining instrumentation 
Education and training of staff
Working in collaboration on research projects with selected research groups.</t>
  </si>
  <si>
    <t>data management for scientific data as well as for administrative / managerial tasks running the facilitiy.</t>
  </si>
  <si>
    <t>Providing long term perspectives for staff of core.
Keeping staff motivated and scientifically at the fore front over years.</t>
  </si>
  <si>
    <t>Higher workload to manage additional communication platform.</t>
  </si>
  <si>
    <t>OpenIRIS access</t>
  </si>
  <si>
    <t>tool that combines project management, ELN, invoicing, user communication</t>
  </si>
  <si>
    <t>IP related Content (patent-related stuff)</t>
  </si>
  <si>
    <t>How to use equipment correctly, store and evaluate data. Understand limits of applied method.</t>
  </si>
  <si>
    <t>As we offer full service we are not just involved but actively design experiments.</t>
  </si>
  <si>
    <t>Project discussion at the start. Actively contribute to experiment design to increase success rate. Ask for downstream application of the provided sample to optimize production process.</t>
  </si>
  <si>
    <t>server is provided and backed-up by IT group</t>
  </si>
  <si>
    <t>Raw data remains on site.</t>
  </si>
  <si>
    <t>User are provided with results.</t>
  </si>
  <si>
    <t>results are linked to raw data in ELN</t>
  </si>
  <si>
    <t>As we perform most of the experiments (full service mode), the Users depend on finalized figure and materials &amp; methods section.</t>
  </si>
  <si>
    <t>Included in our terms &amp; conditions.</t>
  </si>
  <si>
    <t>ELN</t>
  </si>
  <si>
    <t>well-trained and motivated staff</t>
  </si>
  <si>
    <t>staff increase</t>
  </si>
  <si>
    <t>get approval from directorate to increase staff</t>
  </si>
  <si>
    <t>in vivo bioluminescense/ fluorescense in small animal</t>
  </si>
  <si>
    <t>highest Quality of processing techniques</t>
  </si>
  <si>
    <t>Several of the above</t>
  </si>
  <si>
    <t>Rough Estimate</t>
  </si>
  <si>
    <t>21-40  users per month</t>
  </si>
  <si>
    <t>Already to much information via usual channels (Email etc etc)</t>
  </si>
  <si>
    <t>Proficiency in data aquisition and quality control</t>
  </si>
  <si>
    <t>face to face communication</t>
  </si>
  <si>
    <t>primary save</t>
  </si>
  <si>
    <t>long term save</t>
  </si>
  <si>
    <t>whenever indicated</t>
  </si>
  <si>
    <t>External checking for publication relevant data</t>
  </si>
  <si>
    <t>Dedicated central archive</t>
  </si>
  <si>
    <t>Depending on involvement, facility HAS to be co-authored (authorship rules!)</t>
  </si>
  <si>
    <t>Communication, User meetings</t>
  </si>
  <si>
    <t>Training, feed back, hands on courses</t>
  </si>
  <si>
    <t>Training, clear structure and tasks, reporting</t>
  </si>
  <si>
    <t>Users need to be more attentive at times; changing personnel due to limited contracts</t>
  </si>
  <si>
    <t>Financial in the future</t>
  </si>
  <si>
    <t>Whoever is interested is welcome and I give seminars for interested scientists and inform regularly about new developments</t>
  </si>
  <si>
    <t>to make clear that animals are no Eppendorf tubes, make people understand what the principle of the techniques is and how they have mate their founders and take care of them</t>
  </si>
  <si>
    <t>&gt; 100  users per month</t>
  </si>
  <si>
    <t>Open Iris</t>
  </si>
  <si>
    <t>Good transmission of knowledge</t>
  </si>
  <si>
    <t>Face to face discussion</t>
  </si>
  <si>
    <t>Developping new technologies.</t>
  </si>
  <si>
    <t>State of the art equipment.
More staff.
Development of new protocols.</t>
  </si>
  <si>
    <t>Lost of involvment government in research.</t>
  </si>
  <si>
    <t>That the users really understand the technique and thus know what they are doing and why.</t>
  </si>
  <si>
    <t>face to face discussion in what could be optimized i.e. sample preparation, controls, improve instrument settings</t>
  </si>
  <si>
    <t>server and cloud</t>
  </si>
  <si>
    <t>only small files</t>
  </si>
  <si>
    <t>All publications and phd thesis are checked by an external company (Resis) in regard of image or statistic manipulations or plagiarism. Therefore for all figures the raw data must be provided. The raw data are specially stored on a server by the institute and also the user/author is storing raw data.</t>
  </si>
  <si>
    <t>discuss with the user and try to make the importance clear</t>
  </si>
  <si>
    <t>Good training of the users, regular instrument quality checks, experimental design</t>
  </si>
  <si>
    <t>training of staff and users</t>
  </si>
  <si>
    <t>If we would help with complex analysis and control the data quality of each experiment, we would need more staff.</t>
  </si>
  <si>
    <t>user and instrument group platforms, probably including new media may be the future, but is hard to realize in an academic environment with all the GDPR regulations Universities are confronted with</t>
  </si>
  <si>
    <t>applicability and functional possibilities</t>
  </si>
  <si>
    <t>individual sample and acquisition optimization in hands-on sessions</t>
  </si>
  <si>
    <t>specific knowledge and experience in the respective methods field</t>
  </si>
  <si>
    <t>explicitly motivate them to use the service</t>
  </si>
  <si>
    <t>personnel head count increase to provide more specific and more user/sample/experiment dedicated service</t>
  </si>
  <si>
    <t>We established a electronic notebook, where we also can share information. It would be great if communication and booking could be within that system. Otherwise one has to many different programs.</t>
  </si>
  <si>
    <t>That they understand the principles and the pitfalls.</t>
  </si>
  <si>
    <t>We discuss results. Often I am afterwards included in experimental planning. I also provide data analysis / statistical support for the techniques my facility provides. But sometimes further involvement is not wished by the user / research group.</t>
  </si>
  <si>
    <t>We are training students to be able to carry out CRISPR experiments</t>
  </si>
  <si>
    <t>How to design the experiment</t>
  </si>
  <si>
    <t>modified cell lines</t>
  </si>
  <si>
    <t>we give them the modified cell lines</t>
  </si>
  <si>
    <t>We include control experiment we known sgRNA</t>
  </si>
  <si>
    <t>We write for them the material and method section</t>
  </si>
  <si>
    <t>All the new plasmids from the new CRISPR experiments</t>
  </si>
  <si>
    <t>Keep an eye out for new thechnologiy</t>
  </si>
  <si>
    <t>Need more technicians</t>
  </si>
  <si>
    <t>Recruit a new technician</t>
  </si>
  <si>
    <t>minimise bad use of facility equipment</t>
  </si>
  <si>
    <t>best practices for sample preparation</t>
  </si>
  <si>
    <t>each project is custom/unique</t>
  </si>
  <si>
    <t>IT services</t>
  </si>
  <si>
    <t>normally email</t>
  </si>
  <si>
    <t>Standard operating procedures</t>
  </si>
  <si>
    <t>electronic lab journals</t>
  </si>
  <si>
    <t>The data management is the responsibility of the research group</t>
  </si>
  <si>
    <t>Software tools for normalization removal of systematic errors etc</t>
  </si>
  <si>
    <t>Quality control of reagents</t>
  </si>
  <si>
    <t>more FTEs and funding</t>
  </si>
  <si>
    <t>Staff career development</t>
  </si>
  <si>
    <t>I would prefer a better communication in advance, means before the experiments starts, because then we have influence about all the details which are important for a significant assay</t>
  </si>
  <si>
    <t>the training should lead the customers through the experiment so that he is able to perform the next experiment by it's own</t>
  </si>
  <si>
    <t>I discuss the protocols in advance with a link also to literature</t>
  </si>
  <si>
    <t>we were introduced in a tool called eLab, and I am looking forward to the further documentations</t>
  </si>
  <si>
    <t>because the core facility can be sure that the informations are exact and complete.</t>
  </si>
  <si>
    <t>a lot of special software for data analysis
and we are looking forward to get a robotic platform to improve the standardization of the sample prep</t>
  </si>
  <si>
    <t>to get more sensitive instruments</t>
  </si>
  <si>
    <t>Sequencing</t>
  </si>
  <si>
    <t>keeping the software updated</t>
  </si>
  <si>
    <t>data analysis</t>
  </si>
  <si>
    <t>Use of standardized protocols &amp; pipelines which are state-of-the-art</t>
  </si>
  <si>
    <t>only as back-up, the user is responsible for his data</t>
  </si>
  <si>
    <t>Training is provided, the pipeline is state-of-the-art also including proper statistics.</t>
  </si>
  <si>
    <t>The user is resposible. We would not have personell for all users.</t>
  </si>
  <si>
    <t>acknowledgement to the core facility, data are sent to a public repository</t>
  </si>
  <si>
    <t>However, not enough personell for all studies conducted! 
We advise on how to take proper controls and about the number of samples necessary. Further, what are proper conclusions from the data and what is overinterpretation.</t>
  </si>
  <si>
    <t>Tell them about the traps and pifalls.</t>
  </si>
  <si>
    <t>data is stored long-term, but without any liability.</t>
  </si>
  <si>
    <t>Standardization.</t>
  </si>
  <si>
    <t>Having the machines up and running and replaced at some time.</t>
  </si>
  <si>
    <t>Personell in bioinformatics.</t>
  </si>
  <si>
    <t>variable,
useres have to Transfer theier data from analyzer immediately</t>
  </si>
  <si>
    <t>Management software for e.g. booking, user and project management, Q&amp;A, follow-up on Projects/publications</t>
  </si>
  <si>
    <t>Data protection, regular updates, proper user/project management</t>
  </si>
  <si>
    <t>how to use the analyzer, how to plan, execute and analyze properly</t>
  </si>
  <si>
    <t>Training, guidance during planning, excution and Analysis
however some people do not want advice, better trust their  direct supervisors, PIs</t>
  </si>
  <si>
    <t>They have to sign an Agreement form, they are backed up by the core facility operators, when using the facility but not therafter anymore.
Differs slightly, when data are provided by the operator, here fully nalyzed data of that respective Experiments are provided., but no Evaluation of repeated experiements</t>
  </si>
  <si>
    <t>Website with link to online tools and protocols,
personal contact to share novel protocols/SOPs
Annual Workshop
intense training</t>
  </si>
  <si>
    <t>Knowledge of the method, proper experimental planning, correct data curation and analysis</t>
  </si>
  <si>
    <t>user, project and data management, technical upgrades towards state-of-the-art</t>
  </si>
  <si>
    <t>Engagement of users, staff, investment for upgrades</t>
  </si>
  <si>
    <t>Medicinal chemistry, peptide synthesis, small molecule synthesis</t>
  </si>
  <si>
    <t>We produce compounds not data.</t>
  </si>
  <si>
    <t>For peptides it would be possible, for all other synthesis the differences between the orders are too much</t>
  </si>
  <si>
    <t>server</t>
  </si>
  <si>
    <t>As  answered before, we have no important raw data</t>
  </si>
  <si>
    <t>no transfer</t>
  </si>
  <si>
    <t>we have no raw data</t>
  </si>
  <si>
    <t>We at the moment check HPLC-MS and NMR data, before the customer get the ordered substanzes.</t>
  </si>
  <si>
    <t>Bioinformatics</t>
  </si>
  <si>
    <t>Enable user to work idependently</t>
  </si>
  <si>
    <t>Discuss experimental design</t>
  </si>
  <si>
    <t>We ARE the quality control</t>
  </si>
  <si>
    <t>We use scripting in  notebook formats (Rmd, Jupyter) for figure create which allow linking raw data with output figures</t>
  </si>
  <si>
    <t>Sampling strategies frequently remain undisclosed. When/Why have samples been excluded from analysis/processing?</t>
  </si>
  <si>
    <t>Most of the times Materials and Methods description are incomplete and/or wrong.</t>
  </si>
  <si>
    <t>Consider it responsibility of the users.</t>
  </si>
  <si>
    <t>stay up do date. critically review standards.</t>
  </si>
  <si>
    <t>funding of long term staff positions. expertise has to be secured.</t>
  </si>
  <si>
    <t>no funding.</t>
  </si>
  <si>
    <t>-understanding method and technology's fundamental principles and basis of operation. 
-Understanding data quality and assignment principles</t>
  </si>
  <si>
    <t>discussion with researcher.</t>
  </si>
  <si>
    <t>assigned data</t>
  </si>
  <si>
    <t>only assigned data are transferred</t>
  </si>
  <si>
    <t>report of the statistical assigmnent</t>
  </si>
  <si>
    <t>sample coding/filing</t>
  </si>
  <si>
    <t>Because the scientist at teh Core facility have a deepe understanding of the valididty of the data and a very broad and deep overview on the topic derived from multiple projects/results they have comtributed to</t>
  </si>
  <si>
    <t>explain how expensive is to redo a study</t>
  </si>
  <si>
    <t>consistency;  readily organisation; retrospective data mining facilitated</t>
  </si>
  <si>
    <t>automatized sample prep</t>
  </si>
  <si>
    <t>standardisation, paralellisation; reproducibility</t>
  </si>
  <si>
    <t>personnel resources, accessing funds as core facility for personnel/stuff future developments, funding for instrument maintanance and service contracts</t>
  </si>
  <si>
    <t>funding, obtaining financial support from university to long-term finance scientific personnel to run the facility</t>
  </si>
  <si>
    <t>electron microscopy</t>
  </si>
  <si>
    <t>large 3 d data sets</t>
  </si>
  <si>
    <t>It is a good system with some peculiarities and sometimes very slowly. E-Mail contact is often used too.
Often a personal face to face meeting is very helpful to understand the research questioning and to give optimal consultation.</t>
  </si>
  <si>
    <t>using the microscopes or other devices</t>
  </si>
  <si>
    <t>To provide the user with the best possible operation of the device and to help him in the best possible way. The user should gain security and be able to work independently.
To show the user that he can always ask questions.</t>
  </si>
  <si>
    <t>In from of detailed protcols or individual project-specific contact via mail with papers or protocols.</t>
  </si>
  <si>
    <t>software specific Workshops and self-training</t>
  </si>
  <si>
    <t>Some of the data are discussed together. Sometimes, however, users do not want it. However, we are always available for advice.</t>
  </si>
  <si>
    <t>better writing and understanding for manuscript in terms of the work of the core facility</t>
  </si>
  <si>
    <t>face to face contact and explain the data by handing over</t>
  </si>
  <si>
    <t>users are responsible</t>
  </si>
  <si>
    <t>Workshops, Trainings of intern and extern providers</t>
  </si>
  <si>
    <t>good briefing of users and staff</t>
  </si>
  <si>
    <t>more staff</t>
  </si>
  <si>
    <t>to finance the employees permanently</t>
  </si>
  <si>
    <t>human studies</t>
  </si>
  <si>
    <t>Adobe, Skype</t>
  </si>
  <si>
    <t>This works fine especially with international collaborations.</t>
  </si>
  <si>
    <t>Training on SOPs for the relevant techniques used in the study.</t>
  </si>
  <si>
    <t>google docs</t>
  </si>
  <si>
    <t>We optizmize the study protocol.</t>
  </si>
  <si>
    <t>set up by core facility  - internal network</t>
  </si>
  <si>
    <t>too large for email</t>
  </si>
  <si>
    <t>we also use external expertise on metabolomics data</t>
  </si>
  <si>
    <t>only students (BSc, MSc), phDs find other sources</t>
  </si>
  <si>
    <t>External user don´t have the experience with e.g. CONSORT reporting, description of cohorts, meta-data on volunteers etc.</t>
  </si>
  <si>
    <t>We have a kind of contract that we get involved in the writing.</t>
  </si>
  <si>
    <t>The studies are heterogenous and such plan would have to be written again and again. It can be outlined in the study protocol.</t>
  </si>
  <si>
    <t>extensive monitoring of data (external and internal)</t>
  </si>
  <si>
    <t>monitoring, regular meetings, teaching (SOPs)</t>
  </si>
  <si>
    <t>./.</t>
  </si>
  <si>
    <t>finances from third partiers (industry)</t>
  </si>
  <si>
    <t>cell culture, protein expression and purification</t>
  </si>
  <si>
    <t>???</t>
  </si>
  <si>
    <t>Good, but not excellent</t>
  </si>
  <si>
    <t>Safety, reliability, teaching</t>
  </si>
  <si>
    <t>Protocols which specifically state what problems to look for, standards and controls, internal library of quality control criteria for cross reference</t>
  </si>
  <si>
    <t>bar code system for the produced proteins</t>
  </si>
  <si>
    <t>Standard of lab book writing as done e.g. in pharmaceutical industry</t>
  </si>
  <si>
    <t>The core facility has a great and unbiased overview of the quality of the work and the data.</t>
  </si>
  <si>
    <t>of course</t>
  </si>
  <si>
    <t>Funding and personal</t>
  </si>
  <si>
    <t>Acceptance of the scientific standard of the staff, usually core facilities are run by extremely experienced scientist, but they tend to be treated as the ones that haven't made the cut by the "research scientists". But it's usually another cause that brought people into the core facilities. Many facilities are run by women and display the incredibly high gender inequality in staffing positions in science (and other sectors).</t>
  </si>
  <si>
    <t>See above
Funding
permanent positions to ensure continuity</t>
  </si>
  <si>
    <t>we have already tools for booking instruments.... new tools would be better implemented in this web application</t>
  </si>
  <si>
    <t>using the machines software</t>
  </si>
  <si>
    <t>written and face to face protocols</t>
  </si>
  <si>
    <t>users run controls and asked staff for checking quality of their data</t>
  </si>
  <si>
    <t>dedicated staff for data analysis and to implement unsupervised analysis</t>
  </si>
  <si>
    <t>To be trained to use the equipment in a proper way with regards to technical as well as scientific aspects.</t>
  </si>
  <si>
    <t>- Discussion and recommendation of proper controls.
- Recommend to use blinded samples.
- Learn to accept a "negative" result as a valuable result.</t>
  </si>
  <si>
    <t>I chose "no" because I think the "responsibility" for storing data and having back-ups is with the user. However, to have a backup of raw data at the core facility would possibly discourage user to perform improper data manipulation and could help to solve issues on scientific misconduct.</t>
  </si>
  <si>
    <t>Would be important, but a huge burden for the core facility. This would need more personnel.</t>
  </si>
  <si>
    <t>Depends on the project and to what extent the core facility contributed scientifically.</t>
  </si>
  <si>
    <t>- State of the and well-maintained equipment.
- Well-trained and well-educated scientists and core facility staff.
- Integrity of the Researchers/User with respect to best scientific practices.</t>
  </si>
  <si>
    <t>- To raise money for the necessary investment into state of the art equipment.
- To raise money for personnel.</t>
  </si>
  <si>
    <t>It must be balanced/decided to what extent the core facility is simply a service provider or part of the entire scientific process (from sample preparation to publication, including scientific integrity).</t>
  </si>
  <si>
    <t>usually we better understand the problems in a face to face explanation/ chat</t>
  </si>
  <si>
    <t>be sure that a user understand what he/she is doing with the instruments/ experiment</t>
  </si>
  <si>
    <t>controls to be added, sample preparation, instrument configuration choice</t>
  </si>
  <si>
    <t>the favorite option when we are working with "internal" user</t>
  </si>
  <si>
    <t>usually for external user</t>
  </si>
  <si>
    <t>if no other possibility</t>
  </si>
  <si>
    <t>discussion, discussion, discussion or show them some other data acquired with "the facility" rules</t>
  </si>
  <si>
    <t>standardization of experiment</t>
  </si>
  <si>
    <t>help with analysis or panel design</t>
  </si>
  <si>
    <t>unsupervised analysis</t>
  </si>
  <si>
    <t>It exists only for SMLM data</t>
  </si>
  <si>
    <t>processing of Tissue, fixation, use of suitable antibodies</t>
  </si>
  <si>
    <t>slides</t>
  </si>
  <si>
    <t>the user take his slides to microscope</t>
  </si>
  <si>
    <t>more time-consuming</t>
  </si>
  <si>
    <t>safety, sample preparation, microscope handling</t>
  </si>
  <si>
    <t>Discussion about initial results, advice from experience or literature search for better protocols, advice for statistical analysis</t>
  </si>
  <si>
    <t>meetings with other members of core facility to discuss data, meeting with users group members to discuss data, for critical mass</t>
  </si>
  <si>
    <t>raw data are kept on the server backup. Which image has been chosen for the publication and how has the raw file been modified is the responsibility of the user to keep this information.</t>
  </si>
  <si>
    <t>Good quality control and better assessment of standards/level in the field.</t>
  </si>
  <si>
    <t>They ask for it or are happy to save the time...</t>
  </si>
  <si>
    <t>Can not be standardized for all experiments. Too bureaucratic.</t>
  </si>
  <si>
    <t>evaluation every 2-3 years by outside reviewers. Attempt of implementing new techniques in facility over years.</t>
  </si>
  <si>
    <t>Good planing of experimental design and choosing the right protocol. 
High quality sample preparation. 
High quality imaging of samples. 
Qualified analysis of acquired images and good image analysis (if necessary with statistics). 
Discussion with "independent" researchers about the methods/results.</t>
  </si>
  <si>
    <t>team interaction and communication.</t>
  </si>
  <si>
    <t>different personalities and wish of being "important" for most people. 
Satisfying very diverse needs of users.</t>
  </si>
  <si>
    <t>We have several different categories of equipment and several different categories of users. It would be nice to be able to more easily contact users by category/specific instrument in order to send announcements, notifications of service issues, etc.</t>
  </si>
  <si>
    <t>We have a large number of users and these users frequrently fluctuate or change. I foresee a difficulty in being able to keep the platform up to date. I also see a difficulty in integrating it with our computer center here. We get very little IT support here.</t>
  </si>
  <si>
    <t>All users are required to undergo training before using our equipment themselves. This is not required for users for whom we perform a service ourselves.</t>
  </si>
  <si>
    <t>The most important aspect is that the user learns to use the equipment correctly, on the one hand to perform the measurement reproducibly and scientifically correct, and on the other hand so that the equipment is used without a risk of breaking it.</t>
  </si>
  <si>
    <t>We provide guidance as requested. Once users are trained on a system they are welcome to use it. With the very large number of users and the relatively low number of personnel, it is expected that the user asks us for assistance when they need help or notice a problem. When we provide a service for the user and notice a problem we suggest ways to improve. Unfortunately, the users do not always take the advice that is given to them.</t>
  </si>
  <si>
    <t>The only data we guarantee to archive (10 years) is for that generated when we ourselves perform a specific service. We do not have the capacity to store all of the data which is produced in the facility and receive no centralized funding to help us with this problem. We offer medium-term storage as needed but long-term storage is the responsibility of each individual group leader.</t>
  </si>
  <si>
    <t>We have reserved 2 Tb of space on our own server to be used exclusively for data transfer. All of our machines and analysis computers are connected to this server. Users then get the login information to this core facility server.</t>
  </si>
  <si>
    <t>We do not have the capacity/manpower to do statistical analysis for all of the many experiments whcih are carried out in the facility. Our focus is therefore out of necessity on the experimental and technical aspects.</t>
  </si>
  <si>
    <t>We do not have the capacity/manpower to help with statistical analysis</t>
  </si>
  <si>
    <t>This would be ideal. Currently it is beyond our capacity/manpower.</t>
  </si>
  <si>
    <t>We could check the data and make sure the interpretation from the technical standpoint is realistic from the data collected.</t>
  </si>
  <si>
    <t>Try to give workshops with updated information. 
It is sometimes difficult - usually more because of group leaders than because of students - to get people to accept new or improved ways of doing certain types of experiments. Often people do things a certain way, simply because this is how they originally learned it.</t>
  </si>
  <si>
    <t>This would make it less chaotic and would result in savings both of time and less loss of resources (older results).</t>
  </si>
  <si>
    <t>Having enough staff to be better able to support users from the analysis standpoint. We are chronically understaffed, with little or no central support.</t>
  </si>
  <si>
    <t>Reliable funding for staff, maintaining equipment, and new investments.</t>
  </si>
  <si>
    <t>In Germany, there seems to be an active wish (at least among politicians and certainly among university administrators) to have scientists working only on short term contracts. Professors and technicians are usually the only ones to be able to get permanent positions (very often the technicians don't).  
Not everyone who loves science wishes or is able to become a professor. Unfortunately, there is active hostility to the idea of a "scientist" as a mid-level career choice. This leads to the loss of very talented, intelligent and highly trained workers.
Scientific projects in general are becoming larger and more complex, requiring larger teams with ever more specialized expertise to come together to jointly solve them.  
The choice to work in a scientific infrastructure/core facility should be made a valid career choice for scientists. Unlike standard research groups these positions are not bound to a single project, but rather to a specific method or area of expertise. It should be easier to create permanent positions for these workers to ensure continuity. This would in turn make sure the hard-won expertise is not lost and that the quality of research at the institution is maintained/improved.</t>
  </si>
  <si>
    <t>it is important. As always there are some steps which would be nice to improve.</t>
  </si>
  <si>
    <t>The users must understand what we are doing to plan the experiments and interpret the data.</t>
  </si>
  <si>
    <t>skype</t>
  </si>
  <si>
    <t>face to face discussions</t>
  </si>
  <si>
    <t>University computing center</t>
  </si>
  <si>
    <t>downloading from public repositories like PRIDE</t>
  </si>
  <si>
    <t>avoids misinterpretation/overinterpretation of data</t>
  </si>
  <si>
    <t>each step of an analysis can be improved: sample preparation, data acquisition, data interpretation, transfer of information</t>
  </si>
  <si>
    <t>experienced members of the core facility</t>
  </si>
  <si>
    <t>user training, training of the personell</t>
  </si>
  <si>
    <t>respectful interactions would help</t>
  </si>
  <si>
    <t>slack and self-made request systems</t>
  </si>
  <si>
    <t>this helps efficiency, but it reduces visibility</t>
  </si>
  <si>
    <t>training courses and hands-on workshops</t>
  </si>
  <si>
    <t>support with data analysis, providing best-practises, training</t>
  </si>
  <si>
    <t>advise on more appropriate software or normalization</t>
  </si>
  <si>
    <t>the owner (=payer) is the user. they are responsible for the data.
But we will help with upload to public repositories etc....</t>
  </si>
  <si>
    <t>QC metrics concerns data, it's hard to quantify interpretations</t>
  </si>
  <si>
    <t>workflow system (snakePipes)</t>
  </si>
  <si>
    <t>professional meta-data collection (as pre-requisite for sample submission)</t>
  </si>
  <si>
    <t>reduce hyperbole and over-statements.</t>
  </si>
  <si>
    <t>core data management is controlled by pipelines. very different for user generated data - absolute disaster. Therefore yes, I would like to know when I  (or some script) can delete all of it...</t>
  </si>
  <si>
    <t>LIMS (parkour) + workflows (snakePipes)</t>
  </si>
  <si>
    <t>availability of meta-data</t>
  </si>
  <si>
    <t>have a scientist working on method developments. This is currently not possible.</t>
  </si>
  <si>
    <t>Better social media, more straight ticket, automation of requests</t>
  </si>
  <si>
    <t>good</t>
  </si>
  <si>
    <t>Design of experiment and analysis</t>
  </si>
  <si>
    <t>Best practice pdf file</t>
  </si>
  <si>
    <t>Details available,</t>
  </si>
  <si>
    <t>LIMS, quote manager, sequencing data manager</t>
  </si>
  <si>
    <t>Development quote manager, development LIMS, robotics</t>
  </si>
  <si>
    <t>Long term financing</t>
  </si>
  <si>
    <t>safety for instruments and users, quality of results, throughput</t>
  </si>
  <si>
    <t>experimental design of what? Samples? Instruments? procedures? its a too generic question</t>
  </si>
  <si>
    <t>personal recomendation on how to improve preparation and then checking the resuts together</t>
  </si>
  <si>
    <t>our IT</t>
  </si>
  <si>
    <t>storage of IT (backed up)</t>
  </si>
  <si>
    <t>documentation; electronic lab book to be implemented that will improve the situation</t>
  </si>
  <si>
    <t>facility knows more about potential artefacts in imaging and analysing the samples</t>
  </si>
  <si>
    <t>users normally see that the info provided is useful. And in most cases they can not or must not use the instruments without introduction.</t>
  </si>
  <si>
    <t>everybody has his/her own system and its difficult to find data when then person left</t>
  </si>
  <si>
    <t>training and continued education, upgrading of existing equipment</t>
  </si>
  <si>
    <t>more computer solutions instead of paper</t>
  </si>
  <si>
    <t>aging equipment</t>
  </si>
  <si>
    <t>zebrafish</t>
  </si>
  <si>
    <t>We provide the zebrafish for injections or different analyses. Therefore we dont produce that much data. Only Mikroskop images which warry from flueresenz pictures which are small too two photon imaging and light sheed which are bigger.</t>
  </si>
  <si>
    <t>Im not sure if all the users would use a new platform. More likely we get a mix which is then confusing</t>
  </si>
  <si>
    <t>Handling the fish, injections and also using our microskops</t>
  </si>
  <si>
    <t>The injection training. We inject mostly Morpholinos, if the volume changes there you will get a high variance in your results.</t>
  </si>
  <si>
    <t>on the sciebo uni cloud and will later change to our own uni server network</t>
  </si>
  <si>
    <t>sciebo cloud</t>
  </si>
  <si>
    <t>I don´t think they would follow it</t>
  </si>
  <si>
    <t>OTRS, Zammad</t>
  </si>
  <si>
    <t>Generally positive. Sometimes tedious to configure and it still need discipline.</t>
  </si>
  <si>
    <t>We would like to do this more but are missing resources.</t>
  </si>
  <si>
    <t>DKFZ</t>
  </si>
  <si>
    <t>If applicable, e.g. EGA, ENA, GEO</t>
  </si>
  <si>
    <t>Direct access on the file system</t>
  </si>
  <si>
    <t>User can work on the data on the central file system without transferring the data</t>
  </si>
  <si>
    <t>We do general quality control on the analyses provided by the core facility.</t>
  </si>
  <si>
    <t>Yes, if the raw data has been deposited in public repositories such as EGA, ENA, GEO, ...</t>
  </si>
  <si>
    <t>Mainly for communication and trouble shooting as well as for connecting research groups with similar problems.</t>
  </si>
  <si>
    <t>We are working on it. Nevertheless, we already have many SOPs and software to perform data management.</t>
  </si>
  <si>
    <t>OTP
Evaluating Molgenis
Git
Wiki</t>
  </si>
  <si>
    <t>Structured and transparent data management and analysis.</t>
  </si>
  <si>
    <t>Human resources. Mainly funding but it also becomes increasingly difficult to recruit experts with the conditions we can offer.</t>
  </si>
  <si>
    <t>Local and central HD and backup</t>
  </si>
  <si>
    <t>Central, user specific storage and backup</t>
  </si>
  <si>
    <t>PDB, Diamond Light Source data storied locally and centrally.</t>
  </si>
  <si>
    <t>Analysis validated by core facility staff where appropriate.</t>
  </si>
  <si>
    <t>Adeherance to standardised reporting of methods and analysis procedures.</t>
  </si>
  <si>
    <t>hands on- to ensure machines work properly</t>
  </si>
  <si>
    <t>Installing/managing the software</t>
  </si>
  <si>
    <t>I train users in basic aseptic technique if required.</t>
  </si>
  <si>
    <t>Principle investigators guide experimental design when setting up cell culture experiments</t>
  </si>
  <si>
    <t>Images from facility flourescent microscope</t>
  </si>
  <si>
    <t>mycoplasma testing and karyotyping results</t>
  </si>
  <si>
    <t>I need more staff to keep up with incubator cleaning etc.</t>
  </si>
  <si>
    <t>extra staff not being funded by the school</t>
  </si>
  <si>
    <t>-regular seminars/workshop to get familiarized with the methods and work-flow of our service; 
so that expectations (time-line)  and interpretation become real....</t>
  </si>
  <si>
    <t>I prefer face -to-face communication/interaction</t>
  </si>
  <si>
    <t>..as it is was never requested...</t>
  </si>
  <si>
    <t>- we perform often blind studies on the sample and test ourselves not to be biased 
- we request to perform statistics on the sample data to validate the results 
- we lay-out the figures for publication</t>
  </si>
  <si>
    <t>we lay-out the figures  and link the raw data accordingly</t>
  </si>
  <si>
    <t>The data interpretation is so specific that it must be done by experienced/trained person</t>
  </si>
  <si>
    <t>At the beginning of our project we have a signed user-form where we request to be involved in interpretation and publication of the data ....
'If you want to communicate the data further- on your next lab seminar, in a talk or publication - please include us in the interpretation: we will help you with the illustration, legends, statistics and material and methods as good as we can. In return we appreciate to be acknowledged for our contribution to your results'</t>
  </si>
  <si>
    <t>Good work-flow and standardized protocols</t>
  </si>
  <si>
    <t>Upgrading in a new instrument to match the request of
 our clients in future applications....</t>
  </si>
  <si>
    <t>Keep our  standards and motivation high
- while respect and appreciation goes down....</t>
  </si>
  <si>
    <t>functional genomics</t>
  </si>
  <si>
    <t>theorical and technical aspects</t>
  </si>
  <si>
    <t>Staff ans space</t>
  </si>
  <si>
    <t>new technologies to be improved for the users</t>
  </si>
  <si>
    <t>It is good overall but if we could reach even more users that woudl be great.</t>
  </si>
  <si>
    <t>Stratocore PPMS</t>
  </si>
  <si>
    <t>It works well for users who are already using the facility</t>
  </si>
  <si>
    <t>1:1 training as well as short theory courses</t>
  </si>
  <si>
    <t>understanding the user's specific need to perform the experiment well.
Giving the user the information they need to use equipment save and well.
Signing the user of an as independent user so we know that the equipment will not be damaged and the data produced is scientifically sound.</t>
  </si>
  <si>
    <t>In writing and in emails and in discussions</t>
  </si>
  <si>
    <t>networked server</t>
  </si>
  <si>
    <t>the bioinformatics core runs courses on statistical analysis</t>
  </si>
  <si>
    <t>we don't but the bioinformatics core does</t>
  </si>
  <si>
    <t>it will be up to the group leader</t>
  </si>
  <si>
    <t>Institute-wide policy</t>
  </si>
  <si>
    <t>it is part of the institute's policy</t>
  </si>
  <si>
    <t>even better server infrastructure</t>
  </si>
  <si>
    <t>big data and data sharing with external users</t>
  </si>
  <si>
    <t>better tracking systems for users to know how far in the analysis their samples are</t>
  </si>
  <si>
    <t>not ideal for the applications at the facility</t>
  </si>
  <si>
    <t>sample preparation and data analysis for biological interpretation</t>
  </si>
  <si>
    <t>how to prepare pools and the internal standards that should be added during sample preparation. Notes on what to watch out for during the experiment</t>
  </si>
  <si>
    <t>because the researcher who did the work is the best person to report it appropriately and correctly. it would be best when the core facility has interpreted the data that they are included in the publication, in contrast to when the core facility only provided a service.</t>
  </si>
  <si>
    <t>we emphasise the importance of good science and correct reporting. we also provide active support in writing grants, which makes them come to us when there are publications.</t>
  </si>
  <si>
    <t>applying to funding for staff and instruments, trying to negotiate prices and evaluations, independent audits</t>
  </si>
  <si>
    <t>practices that can be routinely implemented by current and new staff, that allows a researcher independent data recording, reporting and ease of finding historic data without much time and effort investment.</t>
  </si>
  <si>
    <t>if core facility staff are not permanent then it is hard to keep track and implement standards that should be practiced by al staff.</t>
  </si>
  <si>
    <t>AGENDO</t>
  </si>
  <si>
    <t>Really great, is a very nice s¡platform</t>
  </si>
  <si>
    <t>personalized</t>
  </si>
  <si>
    <t>Better communicate to get feedbacks and discover new users</t>
  </si>
  <si>
    <t>We are not tracking correctly contacts and user information.</t>
  </si>
  <si>
    <t>Recommandation during sample preprocessing</t>
  </si>
  <si>
    <t>band storage in another location</t>
  </si>
  <si>
    <t>On GEO database</t>
  </si>
  <si>
    <t>We use exploratory statistics and graph visualisation to detect potential problems and we discuss with the user of known positive controls</t>
  </si>
  <si>
    <t>The core facility is the expert in data production and analysis and know perfectly how the data have been produce. We need very often to correct the information written by our users</t>
  </si>
  <si>
    <t>We take time to discuss with us about what they planned to do with the results before working with them on the facility</t>
  </si>
  <si>
    <t>It will be mandatory in the future and the core facility is the first step of data production</t>
  </si>
  <si>
    <t>We use Asana to follow our R&amp;D projects</t>
  </si>
  <si>
    <t>To define precise objectives</t>
  </si>
  <si>
    <t>Taking more times writing articles about our work</t>
  </si>
  <si>
    <t>Be able to publish all the improvements and discovery we are doing</t>
  </si>
  <si>
    <t>tailored training</t>
  </si>
  <si>
    <t>both are trained and there is consultancy on statistics onsite</t>
  </si>
  <si>
    <t>to assure that the right experts were involved</t>
  </si>
  <si>
    <t>An institutional data management plan and remote access to data.</t>
  </si>
  <si>
    <t>It is perfect for booking appointments or time on the instruments. The first contact and meeting for sort projects still need to be done by phone or email.</t>
  </si>
  <si>
    <t>Knowledge about the technique and how to handle the instruments with care. Moreover, they need to know what the research questions and using the right controls for their experiments.</t>
  </si>
  <si>
    <t>Discussing the protocol of the user and giving advice for improvement. Sometimes this includes literature research.</t>
  </si>
  <si>
    <t>IRIS</t>
  </si>
  <si>
    <t>Works well but is sometimes a bit slow</t>
  </si>
  <si>
    <t>Making sure the users understand the technology and obey the rules of the platform</t>
  </si>
  <si>
    <t>More trained staff</t>
  </si>
  <si>
    <t>More funding and reorganization of the financial administration</t>
  </si>
  <si>
    <t>Bureacracy</t>
  </si>
  <si>
    <t>knowledge/method tranfer
methodical education
interpretation of results</t>
  </si>
  <si>
    <t>This is included in the training</t>
  </si>
  <si>
    <t>responsibility of the user</t>
  </si>
  <si>
    <t>the data belong to the user, the user has to choose the type storage but is supported by the faculty/university</t>
  </si>
  <si>
    <t>Responsibility on the user site, Core facility supports the user with software and advice.</t>
  </si>
  <si>
    <t>Before the start of a project the experiment is discussed and possible improvements are discussed before and during the experiments.</t>
  </si>
  <si>
    <t>the core facility can only state that the user will get better results 
At the end it is the responsibillity of the user (Freedom of research)</t>
  </si>
  <si>
    <t>It would be helpful for the organization and  traceability of data.
The core facility tried to implement a data management plan, but this was not accepted by the user.
The data belong to the user and the user has the responsible for the data.</t>
  </si>
  <si>
    <t>Support with cost intesive image processing software.</t>
  </si>
  <si>
    <t>Highlighting the sample preparation quality. Good training/guidance of the users to aquire good quality results.</t>
  </si>
  <si>
    <t>To keep involved in the data evaluation after imaging (interpration &amp; quantification of data)</t>
  </si>
  <si>
    <t>Stable/decreasing budgets with rising personal cost and running costs lead to less money for updates and development of the facility.</t>
  </si>
  <si>
    <t>Sample preparation, data analysis, statistics</t>
  </si>
  <si>
    <t>onside supervision of experiments and sample preparation in the users lab
sop on sample storage and treatment etc.</t>
  </si>
  <si>
    <t>Physical Quality Controle Samples of known composition and SSTs are included in each run and have to result in an value unknown to the user before analysis (for qualitative analysis).
While the biological interpretation cannot be evaluated by the facility personal, the significance of the data can and is. Before providing the data to the user, each data set is checked for systematic errors like trends of batch effects.</t>
  </si>
  <si>
    <t>I provide them</t>
  </si>
  <si>
    <t>Time, manpower</t>
  </si>
  <si>
    <t>The Quick-and-Dirty approach does not work in analytical fields (in my opinion). Customers and institutions need to understand that consulting is required from the experimental design to the actuall interpretation of data. Facilities that are operated as pure data production platforms are in a high risk to produce low quality data, but do the (in most cases) higher throughput, they put a lot of pressure on facilities that provide support on several levels of the experimental process.</t>
  </si>
  <si>
    <t>Mass Cytometry included</t>
  </si>
  <si>
    <t>too much communication is not helpful. Today, our students and users receive a lot of information every day from all the other laboratories and cores. We must find the best compromise possible to communicate with them in order to transmit only useful information ....</t>
  </si>
  <si>
    <t>Practical sessions and protocol overview</t>
  </si>
  <si>
    <t>Sample preparation guidelines, SOP's for some standardizes protocols, OMIP's</t>
  </si>
  <si>
    <t>Inter Server</t>
  </si>
  <si>
    <t>difficult to force PI to accept this process and pay for it</t>
  </si>
  <si>
    <t>Electronic Lab-book, and force the scientist to publish date at the same time as he is publishing the paper...</t>
  </si>
  <si>
    <t>technical validation of the date done by the facility when date is submitted for publication.</t>
  </si>
  <si>
    <t>successful histories from other papers from inter groups...</t>
  </si>
  <si>
    <t>QC</t>
  </si>
  <si>
    <t>Training !</t>
  </si>
  <si>
    <t>to explain unsupervised data analysis to users...</t>
  </si>
  <si>
    <t>No, except that most users are used to communicate directly with the platform staff</t>
  </si>
  <si>
    <t>Discussion about the project's strategy / general knowledge on what to expect from the state-of-the-art genomics &amp; bioinformatics methodologies</t>
  </si>
  <si>
    <t>Meetings &amp; discussion</t>
  </si>
  <si>
    <t>Staff training
Standardised protocols
Strong interaction between wet lab &amp; bioinformatics teams
Straong interaction &amp; thorough discussion with the users</t>
  </si>
  <si>
    <t>Funding !</t>
  </si>
  <si>
    <t>Very rapid evolution of the technologies</t>
  </si>
  <si>
    <t>61-80  users per month</t>
  </si>
  <si>
    <t>I would like to be sure that my users read the microscopes checkup emails we send every months.</t>
  </si>
  <si>
    <t>Time consumming : we already have mails, twitter, reservation center, image database... too much software to handle.</t>
  </si>
  <si>
    <t>Image understanding : notions as bit depth, dynamic, resolution are quite difficult to teach to biologists.
Microscope use : try not to break lens.
High end microscopy technics  (FLIM, 2P, STED, PALM/STORM) are quite difficult to handle, we have to spend lot of time explaining details.
Concretly, if I feel the user I train is not capable, we (the facility) are in charge of the acquisitions.</t>
  </si>
  <si>
    <t>Face to face discussions</t>
  </si>
  <si>
    <t>https://imagerie.cochin.inserm.fr/sis4web/home3.php</t>
  </si>
  <si>
    <t>We developed CID https://imagerie.cochin.inserm.fr/sis4web/home3.php where we can provide a external link to data.
For exemple, at the end of this paper :  https://doi.org/10.1111/boc.201900055
"A   stack   with reduced   number   ofsections   (1   out   of   5) is   available   on   line https://imagerie.cochin.inserm.fr/openData.php?id=4740776for    visualization    or downloadafter registration with a valid email address to get a password."</t>
  </si>
  <si>
    <t>with more hands and time</t>
  </si>
  <si>
    <t>actually nothing unfortunatly</t>
  </si>
  <si>
    <t>Quality control is strongly made in our facility.
The French CNRS Network RTmfm's Metrology Working Group (GT3M) have a quality control document very clear and precise to assess measures of the microscopes performances in time.
Very useful.</t>
  </si>
  <si>
    <t>Quality control
DATA storage</t>
  </si>
  <si>
    <t>more staff to handle perfectly all process, from sample preparation to DATA storage...</t>
  </si>
  <si>
    <t>I answered yes to the question above, but one has to define what is meant. Concretely, what is a communication platform ? The worry is that  we end up spending even more of our time (it is already a lot...) discussing with users. I would rather try to find ways to have users to learn a little bit more by themselves.</t>
  </si>
  <si>
    <t>We explain the techniques and especially the output but we do not train them to do experiments themselves. They should become proficient in analysing the results, however. That is much more important.</t>
  </si>
  <si>
    <t>Advice on controls, sample prep , possible artefacts, exp design</t>
  </si>
  <si>
    <t>In theory yes, but I cannot imagine any universal way of doing this. Every experiment is different ...</t>
  </si>
  <si>
    <t>I do not know. We tested LIMS systems  that can capture entire workflows but filling the whole information in the LIMS  takes an enormous amount of time and in practice one has to limit this to the essential.</t>
  </si>
  <si>
    <t>This is what happens</t>
  </si>
  <si>
    <t>We try to show them the data is  interesting (if it is the case...).</t>
  </si>
  <si>
    <t>The question is too broad</t>
  </si>
  <si>
    <t>OCF Scheduler Ver. 2.03</t>
  </si>
  <si>
    <t>For informing users about system downs it is not convenient but absolutely sufficient. All other communication tasks are solved by personal communication.</t>
  </si>
  <si>
    <t>Operating the systems without damaging them. In second place would be the goal to get the most out of the individual experiments.</t>
  </si>
  <si>
    <t>Personal discussions before and after experimental rounds.</t>
  </si>
  <si>
    <t>short term storage for everyone</t>
  </si>
  <si>
    <t>NAS hosted by our facility, backuped nightly to a local, mirrored serversystem hosted by the clinic IT department for users that book our fully assisted services</t>
  </si>
  <si>
    <t>at some of our users</t>
  </si>
  <si>
    <t>https://www.sciebo.de/ - preferred and in most cases used option for data transfer</t>
  </si>
  <si>
    <t>We have two kinds of users: 1. people who got trained to the instruments and afterwards use the machines without our help and 2. people who either come with their samples or give us their samples for full-service processing. For group 1. there is no real control mechanism. These people usually acquire and process data on their own, in most cases without any feedback. For group 2, which is the majority of our users we have permanent contact to the samples, the progress and the results  and usually guide the people up to publishable results. Here, the control mechanism is our experienced guidance which most of our users thankfully welcome.</t>
  </si>
  <si>
    <t>Some users lack experience in using the machines and in interpreting data and therfore make fundamental mistakes.</t>
  </si>
  <si>
    <t>As our sample preparation protocols are quite complex and as we have many individually planned experimental designs usually people are thankful to receive this information to guarantee the best possible results.</t>
  </si>
  <si>
    <t>Too many individual experiments in entirely different scientific areas. This topic is too complex to provide routine plans for.</t>
  </si>
  <si>
    <t>Good financial support by our deanery for staff, new equipment and maintenance.</t>
  </si>
  <si>
    <t>Investment into new cost-intensive machines that gurantee most modern analyses.</t>
  </si>
  <si>
    <t>Identifying space/rooms for these machines.</t>
  </si>
  <si>
    <t>Microcalorimetry - SPR</t>
  </si>
  <si>
    <t>Training is performed for some techniques. For other (UCA, PEAQ-DSC automat), only ingineers are in charge of the measurements</t>
  </si>
  <si>
    <t>Molecular Biophysics</t>
  </si>
  <si>
    <t>Involving more the users in the core facility development</t>
  </si>
  <si>
    <t>Outlook and PPMS</t>
  </si>
  <si>
    <t>good but insufficient</t>
  </si>
  <si>
    <t>* Understanding bot the operational aspects of an instrument and the underlying physical principles
* Understanding how to set-up a sound experimental strategy
* Understanding how to analyse correctly the data</t>
  </si>
  <si>
    <t>QC service, assistance and counseling</t>
  </si>
  <si>
    <t>We are not very proficient at this level</t>
  </si>
  <si>
    <t>We are not experts</t>
  </si>
  <si>
    <t>Storage of experimental procedures together with results</t>
  </si>
  <si>
    <t>Published results would be more reliable and robust</t>
  </si>
  <si>
    <t>Discuss with them
Work with them at the level of manuscript writing, submission and follow-up</t>
  </si>
  <si>
    <t>Would make things clearer</t>
  </si>
  <si>
    <t>* good sample quality
* sound mutually agreed experimental set-up
* robust data analysis
* rational storage and indexing of data</t>
  </si>
  <si>
    <t>* robustness of data analysis
* follow-up of data storage and usage</t>
  </si>
  <si>
    <t>OpenIRIS</t>
  </si>
  <si>
    <t>seminars about sample handling and techniques</t>
  </si>
  <si>
    <t>proper handling of samples,
read-out,
analysis</t>
  </si>
  <si>
    <t>cloud</t>
  </si>
  <si>
    <t>our university has a core unit for bioinformatics</t>
  </si>
  <si>
    <t>it has to be done by the core unit at the university</t>
  </si>
  <si>
    <t>on an internal server of the university</t>
  </si>
  <si>
    <t>sometimes the user did not fully comprehend what the core unit was doing and can´t anticipate pitfalls</t>
  </si>
  <si>
    <t>use my best arguments</t>
  </si>
  <si>
    <t>SOP
controls
blinded analysis
documentation</t>
  </si>
  <si>
    <t>following standard procedures and good scientific practice</t>
  </si>
  <si>
    <t>a bioinformatician
automated stainings for routine stains</t>
  </si>
  <si>
    <t>complex images and image analysis regarding multiplexing</t>
  </si>
  <si>
    <t>in-house</t>
  </si>
  <si>
    <t>staff development</t>
  </si>
  <si>
    <t>User data are not accessible to us, we provide server infrastructure for data processing and data analysis, probably our it support could read out the amount of data on the server at one day.</t>
  </si>
  <si>
    <t>I would like to improve the communication with the PIs, users leave the facilites after 2-5 years. PIs influence the development of the facility 10-30 years!</t>
  </si>
  <si>
    <t>We dont train them how to perform experiments. We train them how to prepare the material (Cellstaining), how to acquire data and how to analyze these data in general. 
We expect training in experimental controls, answering biological research questions and biosafety from the PIs. (We just control the above topics).</t>
  </si>
  <si>
    <t>- Fundamental knowledge including principles of math behind the technologies we teach
- Maria Montessori concept: we teach them how to do it themselves. They should not get dependent on the scientists in the facility but become a scientist in a facility. The student I teach today, could become my employer tomorrow :-)</t>
  </si>
  <si>
    <t>- We teach this 4 times per year in a flow cytometry course 
- we allow poor samples to be processed, since the responsibility for the experiment lies entirely on the researcher! We provide the information, if they choose to ignore us pointing to chances how to improve the experiment, we accept this.</t>
  </si>
  <si>
    <t>The cytometry hosts virtual data storage servers and virtual highly potent data analysis servers accessible from all around the world.</t>
  </si>
  <si>
    <t>the users are guided how to access their data (processed or unprocessed) to finally store them on their institute server</t>
  </si>
  <si>
    <t>mostly users do it themselves if not we hired a data analysis specialist (Biophysical studies and study on data analysis in switzerland)</t>
  </si>
  <si>
    <t>the responsibilty for the research data belongs to the research groups !</t>
  </si>
  <si>
    <t>- they forget us when writing the publication due to stress</t>
  </si>
  <si>
    <t>speak to them</t>
  </si>
  <si>
    <t>- the steering comitee needs to be extensively trained, years of suboptimal decisions created a very high employee exchange since not everyone tolerates the frustration coming from there. Unfortunately, all employess see their fellow colleagues in the sister facilities (microscopy, genomic center etc. ) beeing nicely treated by their steering comitees!</t>
  </si>
  <si>
    <t>- no one cares.  It is known, everyone is very emphatic and nobody changes anything, because of `what can I do, they are so important professors`</t>
  </si>
  <si>
    <t>instrument usage 
background information on imaging</t>
  </si>
  <si>
    <t>written guidelines, face-to-face communication, mail information about new protocols/techniques/papers</t>
  </si>
  <si>
    <t>to avoid mistakes and missing important information
to check integrity and quality of data</t>
  </si>
  <si>
    <t>show examples of good quality data</t>
  </si>
  <si>
    <t>better check up of data quality obtained by users</t>
  </si>
  <si>
    <t>more staff to provide better training/teaching and more time to interact with users</t>
  </si>
  <si>
    <t>Clustermarket (has an integral "Announcement" system that can message all users or users in groups specific to equipment that they have been trained on).</t>
  </si>
  <si>
    <t>It's new and I'm still trialling it, but so far ok.</t>
  </si>
  <si>
    <t>Continuing support and development of the trainee as they develop their expertise.</t>
  </si>
  <si>
    <t>Generally a face to face meeting, although I may provide specimen-prep protocols on request.</t>
  </si>
  <si>
    <t>I have a dedicated file server that all users can connect to by mapping a network drive.</t>
  </si>
  <si>
    <t>In rare cases I might be asked to help with this, but generally guidance would be given by the lab PI.</t>
  </si>
  <si>
    <t>Again, this is the role of the PI. I do give guidance if specifically requested though.</t>
  </si>
  <si>
    <t>particulalrly high-impact publications strongly support our applications for new advanced equipment which benefits future quality of data.
We potentially have more expertise in intepreting some data than the group that aquired it, however we are rarely asked to contribute this.</t>
  </si>
  <si>
    <t>I provide regular seminars and workshops. Information is available in .PDF format on my website. My office door is always open to my users.</t>
  </si>
  <si>
    <t>Perhaps. Our data is efficiently stored and accessible, however a data management plan would support future equipment grants and could standardise, integrate management, processing and analysis between different facilities.</t>
  </si>
  <si>
    <t>3D image analysis software IMARIS and a high-spec analysis PC.</t>
  </si>
  <si>
    <t>User training.
High quality equipment maintained in good order.
Ongoing user support.</t>
  </si>
  <si>
    <t>Grant funding to purchase new equipment.</t>
  </si>
  <si>
    <t>A lack of funding availability for conventional equipment.</t>
  </si>
  <si>
    <t>I would like them to understand things better</t>
  </si>
  <si>
    <t>GDPR, our IT systems</t>
  </si>
  <si>
    <t>Train to use equipment independently</t>
  </si>
  <si>
    <t>in the lab</t>
  </si>
  <si>
    <t>Face to face discussion on what to improve about samples.</t>
  </si>
  <si>
    <t>Impractical due to data size, we can't keep it long enough to satisfy funding bodies.</t>
  </si>
  <si>
    <t>computers not attached to network</t>
  </si>
  <si>
    <t>Some papers were published without contact with the facility and I could have improved figures or provided correct equipment data.</t>
  </si>
  <si>
    <t>probably a good idea so everyone knows what's happening</t>
  </si>
  <si>
    <t>Users bringing proper samples, better user training to improve data quality</t>
  </si>
  <si>
    <t>More users to keep the accountants happy</t>
  </si>
  <si>
    <t>Getting/training users takes more time than we have capacity for</t>
  </si>
  <si>
    <t>We often send emails to our users containing important information and it is apparent that not everyone bothers to read these emails. Finding a way to ensure that they do read the emails or a more effective way of relaying information would be helpful.</t>
  </si>
  <si>
    <t>We love it. It is an excellent booking and financial management system. It also gives us a way of recording all communication pertaining to a particular piece of work/training etc</t>
  </si>
  <si>
    <t>Ensuring that users are able to obtain correct and relevant data</t>
  </si>
  <si>
    <t>We have standard SOPs in place for many procedures but in addition we will discuss specific experimental details with our users to ensure that the correct controls are used and that data is interpreted correctly. We do a lot of training!</t>
  </si>
  <si>
    <t>Internal servers</t>
  </si>
  <si>
    <t>Some users can't remember their server address so use this mode of transfer</t>
  </si>
  <si>
    <t>Often we do not get to see the interpretation of the data produced by our users. I do worry that ins some instances it is not interpreted correctly. Thankfully a  lot of our users ask for advice.</t>
  </si>
  <si>
    <t>This is down to our users as we do not have any control over what they do and don't record. This is down to their line manager and a lot of line managers do not understand the service we provide, so choose not to ask their staff for detailed recording. 
Educating the line managers/PIs would help.</t>
  </si>
  <si>
    <t>By being polite, not too critical, and providing a clear explanation of what we are suggesting.</t>
  </si>
  <si>
    <t>In our field there is a lot of scope for misinterpretation of data, and a defined plan to minimise the chances of this would be beneficial to all.</t>
  </si>
  <si>
    <t>Ensuring our users are sufficiently trained
Preventing our users thinking they know more than they do, which leads to misinterpretation of data</t>
  </si>
  <si>
    <t>We need more up to date instrumentation</t>
  </si>
  <si>
    <t>Funding and investment in keeping our instrumentation up to date and competitive.</t>
  </si>
  <si>
    <t>Clarity and knowledge of how to use the software</t>
  </si>
  <si>
    <t>USB Stick</t>
  </si>
  <si>
    <t>I think younger users respond better to social media and I should look to offer notifications via this route</t>
  </si>
  <si>
    <t>Cost. Data protection.</t>
  </si>
  <si>
    <t>I advise but know that many people ignore this advice.</t>
  </si>
  <si>
    <t>Proper use of cytometers.</t>
  </si>
  <si>
    <t>Sort data is backed up but analysis data is not. This is made clear to the users.</t>
  </si>
  <si>
    <t>This is the preferred method but is not an option to all users (external)</t>
  </si>
  <si>
    <t>I do not have the time to do this.</t>
  </si>
  <si>
    <t>Important, yes; practical to implement, no.</t>
  </si>
  <si>
    <t>Key information is often omitted as they don't appreciate the significance e.g. cytometer configuration, sort set up etc.</t>
  </si>
  <si>
    <t>Education.</t>
  </si>
  <si>
    <t>Analysis of high parameter data.</t>
  </si>
  <si>
    <t>Time</t>
  </si>
  <si>
    <t>agendo, slack</t>
  </si>
  <si>
    <t>guidance only</t>
  </si>
  <si>
    <t>Protocols with different options to reach the bst outcome</t>
  </si>
  <si>
    <t>quality manager</t>
  </si>
  <si>
    <t>usually it's just me who knowes about the experimental details</t>
  </si>
  <si>
    <t>detailed describtion of experimental processes</t>
  </si>
  <si>
    <t>data storage management</t>
  </si>
  <si>
    <t>data amount and managment</t>
  </si>
  <si>
    <t>time s</t>
  </si>
  <si>
    <t>time min</t>
  </si>
  <si>
    <t>closed</t>
  </si>
  <si>
    <t>01.2020</t>
  </si>
  <si>
    <t>analysed data</t>
  </si>
  <si>
    <t>incomplete survey</t>
  </si>
  <si>
    <t>Legend:</t>
  </si>
  <si>
    <t>Experiments performed by:</t>
  </si>
  <si>
    <t>number of employees</t>
  </si>
  <si>
    <t>empty field</t>
  </si>
  <si>
    <t>core facility staff</t>
  </si>
  <si>
    <t>user only</t>
  </si>
  <si>
    <t>&gt; 100</t>
  </si>
  <si>
    <t>communication / management software</t>
  </si>
  <si>
    <t>seminar, workshop</t>
  </si>
  <si>
    <t>in person, face to face</t>
  </si>
  <si>
    <t>Newsletter</t>
  </si>
  <si>
    <t>facility handbooks</t>
  </si>
  <si>
    <t>bulletin board</t>
  </si>
  <si>
    <t>booklet</t>
  </si>
  <si>
    <t>Brochures</t>
  </si>
  <si>
    <t>Open IRIS</t>
  </si>
  <si>
    <t>Slack</t>
  </si>
  <si>
    <t>in writing (file or paper)</t>
  </si>
  <si>
    <t>face to face discussion</t>
  </si>
  <si>
    <r>
      <t xml:space="preserve">General warnings on website to consult with us early
</t>
    </r>
    <r>
      <rPr>
        <sz val="10"/>
        <color rgb="FFFF0000"/>
        <rFont val="Arial"/>
        <family val="2"/>
      </rPr>
      <t>Personal discussions</t>
    </r>
    <r>
      <rPr>
        <sz val="10"/>
        <rFont val="Arial"/>
        <family val="2"/>
        <charset val="1"/>
      </rPr>
      <t>: refer to experts for design and analyses, describe best practices and problems of samples. Suggest controls and protocols for specific methods.</t>
    </r>
  </si>
  <si>
    <r>
      <rPr>
        <sz val="10"/>
        <color rgb="FFFF0000"/>
        <rFont val="Arial"/>
        <family val="2"/>
      </rPr>
      <t>meetings</t>
    </r>
    <r>
      <rPr>
        <sz val="10"/>
        <rFont val="Arial"/>
        <family val="2"/>
        <charset val="1"/>
      </rPr>
      <t xml:space="preserve"> with the researchers</t>
    </r>
  </si>
  <si>
    <t>How do you provide it? How do you get involved? (pooled)</t>
  </si>
  <si>
    <t>What does it look like?</t>
  </si>
  <si>
    <t>[Other]</t>
  </si>
  <si>
    <t>[Comment]</t>
  </si>
  <si>
    <t>Where are the raw data stored (long term)? [internal server/cloud at your organisation/university]</t>
  </si>
  <si>
    <t>[Other comment]</t>
  </si>
  <si>
    <t>How are the raw data transferred from the core facility to the user?  [network (server, cloud, FTP…)]</t>
  </si>
  <si>
    <t>How are the raw data transferred from the core facility to the user?  [external disk / USB stick]</t>
  </si>
  <si>
    <t>How are the raw data transferred from the core facility to the user?  [email]</t>
  </si>
  <si>
    <t>How are the raw data transferred from the core facility to the user?  [Other]</t>
  </si>
  <si>
    <t>[comment]</t>
  </si>
  <si>
    <t>Do you think it would be important to have such quality control mechanism at your core facility? [Comment]</t>
  </si>
  <si>
    <r>
      <t xml:space="preserve">Who </t>
    </r>
    <r>
      <rPr>
        <b/>
        <sz val="10"/>
        <color rgb="FFFF0000"/>
        <rFont val="Arial"/>
        <family val="2"/>
      </rPr>
      <t>stores</t>
    </r>
    <r>
      <rPr>
        <b/>
        <sz val="10"/>
        <rFont val="Arial"/>
        <family val="2"/>
      </rPr>
      <t xml:space="preserve"> the raw data (long term)?</t>
    </r>
  </si>
  <si>
    <r>
      <t xml:space="preserve">Who </t>
    </r>
    <r>
      <rPr>
        <b/>
        <sz val="10"/>
        <color rgb="FFFF0000"/>
        <rFont val="Arial"/>
        <family val="2"/>
      </rPr>
      <t>saves</t>
    </r>
    <r>
      <rPr>
        <b/>
        <sz val="10"/>
        <rFont val="Arial"/>
        <family val="2"/>
      </rPr>
      <t xml:space="preserve"> the raw data?</t>
    </r>
  </si>
  <si>
    <r>
      <t xml:space="preserve">Where is the raw data </t>
    </r>
    <r>
      <rPr>
        <b/>
        <sz val="10"/>
        <color rgb="FFFF0000"/>
        <rFont val="Arial"/>
        <family val="2"/>
      </rPr>
      <t>saved</t>
    </r>
    <r>
      <rPr>
        <b/>
        <sz val="10"/>
        <rFont val="Arial"/>
        <family val="2"/>
      </rPr>
      <t>?</t>
    </r>
  </si>
  <si>
    <r>
      <t xml:space="preserve">Where are the raw data </t>
    </r>
    <r>
      <rPr>
        <b/>
        <sz val="10"/>
        <color rgb="FFFF0000"/>
        <rFont val="Arial"/>
        <family val="2"/>
      </rPr>
      <t>stored</t>
    </r>
    <r>
      <rPr>
        <b/>
        <sz val="10"/>
        <rFont val="Arial"/>
        <family val="2"/>
      </rPr>
      <t xml:space="preserve"> (long term)? [at the core facility physically (PC, external drive…)]</t>
    </r>
  </si>
  <si>
    <r>
      <t xml:space="preserve">Where are the raw data </t>
    </r>
    <r>
      <rPr>
        <b/>
        <sz val="10"/>
        <color rgb="FFFF0000"/>
        <rFont val="Arial"/>
        <family val="2"/>
      </rPr>
      <t>stored</t>
    </r>
    <r>
      <rPr>
        <b/>
        <sz val="10"/>
        <rFont val="Arial"/>
        <family val="2"/>
      </rPr>
      <t xml:space="preserve"> (long term)? </t>
    </r>
  </si>
  <si>
    <t>at the core facility</t>
  </si>
  <si>
    <t>external server</t>
  </si>
  <si>
    <r>
      <rPr>
        <sz val="10"/>
        <color rgb="FFFF0000"/>
        <rFont val="Arial"/>
        <family val="2"/>
      </rPr>
      <t>USB</t>
    </r>
    <r>
      <rPr>
        <sz val="10"/>
        <rFont val="Arial"/>
        <family val="2"/>
        <charset val="1"/>
      </rPr>
      <t xml:space="preserve"> and/or </t>
    </r>
    <r>
      <rPr>
        <sz val="10"/>
        <color rgb="FFFF0000"/>
        <rFont val="Arial"/>
        <family val="2"/>
      </rPr>
      <t>network</t>
    </r>
    <r>
      <rPr>
        <sz val="10"/>
        <rFont val="Arial"/>
        <family val="2"/>
        <charset val="1"/>
      </rPr>
      <t xml:space="preserve"> interface.</t>
    </r>
  </si>
  <si>
    <r>
      <t>Normally the raw data are not transferred to the users, only the results. If users need raw data, these can be downloaded via a</t>
    </r>
    <r>
      <rPr>
        <sz val="10"/>
        <color rgb="FFFF0000"/>
        <rFont val="Arial"/>
        <family val="2"/>
      </rPr>
      <t xml:space="preserve"> web portal</t>
    </r>
    <r>
      <rPr>
        <sz val="10"/>
        <rFont val="Arial"/>
        <family val="2"/>
        <charset val="1"/>
      </rPr>
      <t>.</t>
    </r>
  </si>
  <si>
    <r>
      <rPr>
        <sz val="10"/>
        <color rgb="FFFF0000"/>
        <rFont val="Arial"/>
        <family val="2"/>
      </rPr>
      <t>network</t>
    </r>
    <r>
      <rPr>
        <sz val="10"/>
        <rFont val="Arial"/>
        <family val="2"/>
        <charset val="1"/>
      </rPr>
      <t>, using a DMZ, a data management zone</t>
    </r>
  </si>
  <si>
    <r>
      <t xml:space="preserve">Via an internal </t>
    </r>
    <r>
      <rPr>
        <sz val="10"/>
        <color rgb="FFFF0000"/>
        <rFont val="Arial"/>
        <family val="2"/>
      </rPr>
      <t>cloud</t>
    </r>
    <r>
      <rPr>
        <sz val="10"/>
        <rFont val="Arial"/>
        <family val="2"/>
        <charset val="1"/>
      </rPr>
      <t xml:space="preserve"> based system.</t>
    </r>
  </si>
  <si>
    <r>
      <rPr>
        <sz val="10"/>
        <color rgb="FFFF0000"/>
        <rFont val="Arial"/>
        <family val="2"/>
      </rPr>
      <t>network</t>
    </r>
    <r>
      <rPr>
        <sz val="10"/>
        <rFont val="Arial"/>
        <family val="2"/>
        <charset val="1"/>
      </rPr>
      <t xml:space="preserve">, </t>
    </r>
    <r>
      <rPr>
        <sz val="10"/>
        <color rgb="FFFF0000"/>
        <rFont val="Arial"/>
        <family val="2"/>
      </rPr>
      <t>external storage</t>
    </r>
  </si>
  <si>
    <r>
      <t xml:space="preserve">Through the internal </t>
    </r>
    <r>
      <rPr>
        <sz val="10"/>
        <color rgb="FFFF0000"/>
        <rFont val="Arial"/>
        <family val="2"/>
      </rPr>
      <t>network</t>
    </r>
    <r>
      <rPr>
        <sz val="10"/>
        <rFont val="Arial"/>
        <family val="2"/>
        <charset val="1"/>
      </rPr>
      <t>.</t>
    </r>
  </si>
  <si>
    <r>
      <t>via</t>
    </r>
    <r>
      <rPr>
        <sz val="10"/>
        <color rgb="FFFF0000"/>
        <rFont val="Arial"/>
        <family val="2"/>
      </rPr>
      <t xml:space="preserve"> BelWue</t>
    </r>
  </si>
  <si>
    <r>
      <t xml:space="preserve">BaseSpace </t>
    </r>
    <r>
      <rPr>
        <sz val="10"/>
        <color rgb="FFFF0000"/>
        <rFont val="Arial"/>
        <family val="2"/>
      </rPr>
      <t>email</t>
    </r>
    <r>
      <rPr>
        <sz val="10"/>
        <rFont val="Arial"/>
        <family val="2"/>
        <charset val="1"/>
      </rPr>
      <t xml:space="preserve"> for small files</t>
    </r>
  </si>
  <si>
    <r>
      <t xml:space="preserve">Shared </t>
    </r>
    <r>
      <rPr>
        <sz val="10"/>
        <color rgb="FFFF0000"/>
        <rFont val="Arial"/>
        <family val="2"/>
      </rPr>
      <t>network</t>
    </r>
    <r>
      <rPr>
        <sz val="10"/>
        <rFont val="Arial"/>
        <family val="2"/>
        <charset val="1"/>
      </rPr>
      <t xml:space="preserve"> volumes, analysis reports vie </t>
    </r>
    <r>
      <rPr>
        <sz val="10"/>
        <color rgb="FFFF0000"/>
        <rFont val="Arial"/>
        <family val="2"/>
      </rPr>
      <t>email</t>
    </r>
  </si>
  <si>
    <r>
      <t xml:space="preserve">power folder or </t>
    </r>
    <r>
      <rPr>
        <sz val="10"/>
        <color rgb="FFFF0000"/>
        <rFont val="Arial"/>
        <family val="2"/>
      </rPr>
      <t>FTP</t>
    </r>
    <r>
      <rPr>
        <sz val="10"/>
        <rFont val="Arial"/>
        <family val="2"/>
        <charset val="1"/>
      </rPr>
      <t xml:space="preserve"> server</t>
    </r>
  </si>
  <si>
    <r>
      <t xml:space="preserve">usually by </t>
    </r>
    <r>
      <rPr>
        <sz val="10"/>
        <color rgb="FFFF0000"/>
        <rFont val="Arial"/>
        <family val="2"/>
      </rPr>
      <t>USB-Stick</t>
    </r>
    <r>
      <rPr>
        <sz val="10"/>
        <rFont val="Arial"/>
        <family val="2"/>
        <charset val="1"/>
      </rPr>
      <t xml:space="preserve"> or external hard drives</t>
    </r>
  </si>
  <si>
    <r>
      <t xml:space="preserve">Internal users transfer data themselves to the central fileserver vial institutional </t>
    </r>
    <r>
      <rPr>
        <sz val="10"/>
        <color rgb="FFFF0000"/>
        <rFont val="Arial"/>
        <family val="2"/>
      </rPr>
      <t>network</t>
    </r>
    <r>
      <rPr>
        <sz val="10"/>
        <rFont val="Arial"/>
        <family val="2"/>
        <charset val="1"/>
      </rPr>
      <t xml:space="preserve">. External users transfer their data themselves  using their </t>
    </r>
    <r>
      <rPr>
        <sz val="10"/>
        <color rgb="FFFF0000"/>
        <rFont val="Arial"/>
        <family val="2"/>
      </rPr>
      <t>external storage devices</t>
    </r>
    <r>
      <rPr>
        <sz val="10"/>
        <rFont val="Arial"/>
        <family val="2"/>
        <charset val="1"/>
      </rPr>
      <t>.</t>
    </r>
  </si>
  <si>
    <r>
      <rPr>
        <sz val="10"/>
        <color rgb="FFFF0000"/>
        <rFont val="Arial"/>
        <family val="2"/>
      </rPr>
      <t>e-mai</t>
    </r>
    <r>
      <rPr>
        <sz val="10"/>
        <rFont val="Arial"/>
        <family val="2"/>
        <charset val="1"/>
      </rPr>
      <t xml:space="preserve">l or data transfer </t>
    </r>
    <r>
      <rPr>
        <sz val="10"/>
        <color rgb="FFFF0000"/>
        <rFont val="Arial"/>
        <family val="2"/>
      </rPr>
      <t>server</t>
    </r>
    <r>
      <rPr>
        <sz val="10"/>
        <rFont val="Arial"/>
        <family val="2"/>
        <charset val="1"/>
      </rPr>
      <t xml:space="preserve"> for bigger data</t>
    </r>
  </si>
  <si>
    <r>
      <t xml:space="preserve">by </t>
    </r>
    <r>
      <rPr>
        <sz val="10"/>
        <color rgb="FFFF0000"/>
        <rFont val="Arial"/>
        <family val="2"/>
      </rPr>
      <t>network</t>
    </r>
  </si>
  <si>
    <r>
      <t xml:space="preserve">Usually by </t>
    </r>
    <r>
      <rPr>
        <sz val="10"/>
        <color rgb="FFFF0000"/>
        <rFont val="Arial"/>
        <family val="2"/>
      </rPr>
      <t>email</t>
    </r>
    <r>
      <rPr>
        <sz val="10"/>
        <rFont val="Arial"/>
        <family val="2"/>
        <charset val="1"/>
      </rPr>
      <t xml:space="preserve"> but other media are possible.</t>
    </r>
  </si>
  <si>
    <r>
      <t xml:space="preserve">using the </t>
    </r>
    <r>
      <rPr>
        <sz val="10"/>
        <color rgb="FFFF0000"/>
        <rFont val="Arial"/>
        <family val="2"/>
      </rPr>
      <t>internet</t>
    </r>
  </si>
  <si>
    <r>
      <t xml:space="preserve">users can download data from </t>
    </r>
    <r>
      <rPr>
        <sz val="10"/>
        <color rgb="FFFF0000"/>
        <rFont val="Arial"/>
        <family val="2"/>
      </rPr>
      <t>fileserver</t>
    </r>
  </si>
  <si>
    <r>
      <rPr>
        <sz val="10"/>
        <color rgb="FFFF0000"/>
        <rFont val="Arial"/>
        <family val="2"/>
      </rPr>
      <t>server, hard drive</t>
    </r>
    <r>
      <rPr>
        <sz val="10"/>
        <rFont val="Arial"/>
        <family val="2"/>
        <charset val="1"/>
      </rPr>
      <t xml:space="preserve"> etc</t>
    </r>
  </si>
  <si>
    <r>
      <t xml:space="preserve">By university </t>
    </r>
    <r>
      <rPr>
        <sz val="10"/>
        <color rgb="FFFF0000"/>
        <rFont val="Arial"/>
        <family val="2"/>
      </rPr>
      <t>cloud</t>
    </r>
    <r>
      <rPr>
        <sz val="10"/>
        <rFont val="Arial"/>
        <family val="2"/>
        <charset val="1"/>
      </rPr>
      <t xml:space="preserve"> (only on demand)</t>
    </r>
  </si>
  <si>
    <r>
      <t>Via</t>
    </r>
    <r>
      <rPr>
        <sz val="10"/>
        <color rgb="FFFF0000"/>
        <rFont val="Arial"/>
        <family val="2"/>
      </rPr>
      <t xml:space="preserve"> E-mail</t>
    </r>
    <r>
      <rPr>
        <sz val="10"/>
        <rFont val="Arial"/>
        <family val="2"/>
        <charset val="1"/>
      </rPr>
      <t xml:space="preserve">, House </t>
    </r>
    <r>
      <rPr>
        <sz val="10"/>
        <color rgb="FFFF0000"/>
        <rFont val="Arial"/>
        <family val="2"/>
      </rPr>
      <t>network</t>
    </r>
    <r>
      <rPr>
        <sz val="10"/>
        <rFont val="Arial"/>
        <family val="2"/>
        <charset val="1"/>
      </rPr>
      <t xml:space="preserve"> or Cloud</t>
    </r>
  </si>
  <si>
    <r>
      <t xml:space="preserve">via </t>
    </r>
    <r>
      <rPr>
        <sz val="10"/>
        <color rgb="FFFF0000"/>
        <rFont val="Arial"/>
        <family val="2"/>
      </rPr>
      <t>network</t>
    </r>
  </si>
  <si>
    <t>USB/disk</t>
  </si>
  <si>
    <t>who performs the statistical analysis and is that person appropriately trained?   [comment]</t>
  </si>
  <si>
    <t>core facility</t>
  </si>
  <si>
    <t>and/or</t>
  </si>
  <si>
    <t>who performs the statistical analysis?  </t>
  </si>
  <si>
    <r>
      <t xml:space="preserve">Data </t>
    </r>
    <r>
      <rPr>
        <b/>
        <sz val="10"/>
        <color rgb="FFFF0000"/>
        <rFont val="Arial"/>
        <family val="2"/>
      </rPr>
      <t>can</t>
    </r>
    <r>
      <rPr>
        <b/>
        <sz val="10"/>
        <rFont val="Arial"/>
        <family val="2"/>
      </rPr>
      <t xml:space="preserve"> get lost / orphaned  [current situation]</t>
    </r>
  </si>
  <si>
    <r>
      <t xml:space="preserve">Data </t>
    </r>
    <r>
      <rPr>
        <b/>
        <sz val="10"/>
        <color rgb="FFFF0000"/>
        <rFont val="Arial"/>
        <family val="2"/>
      </rPr>
      <t>can</t>
    </r>
    <r>
      <rPr>
        <b/>
        <sz val="10"/>
        <rFont val="Arial"/>
        <family val="2"/>
      </rPr>
      <t xml:space="preserve"> get lost / orphaned [importance]</t>
    </r>
  </si>
  <si>
    <r>
      <t xml:space="preserve">Data </t>
    </r>
    <r>
      <rPr>
        <b/>
        <sz val="10"/>
        <color rgb="FFFF0000"/>
        <rFont val="Arial"/>
        <family val="2"/>
      </rPr>
      <t>cannot</t>
    </r>
    <r>
      <rPr>
        <b/>
        <sz val="10"/>
        <rFont val="Arial"/>
        <family val="2"/>
      </rPr>
      <t xml:space="preserve"> get lost / orphaned  [current situation]</t>
    </r>
  </si>
  <si>
    <r>
      <t xml:space="preserve">Data </t>
    </r>
    <r>
      <rPr>
        <b/>
        <sz val="10"/>
        <color rgb="FFFF0000"/>
        <rFont val="Arial"/>
        <family val="2"/>
      </rPr>
      <t>cannot</t>
    </r>
    <r>
      <rPr>
        <b/>
        <sz val="10"/>
        <rFont val="Arial"/>
        <family val="2"/>
      </rPr>
      <t xml:space="preserve"> get lost / orphaned [importance]</t>
    </r>
  </si>
  <si>
    <t>Would you find it useful to implement one and why (comment)?  </t>
  </si>
  <si>
    <t>we  with our users or the scientific computational facility if we cannot perform the statistical analysis ourselves</t>
  </si>
  <si>
    <r>
      <t xml:space="preserve">This is in the </t>
    </r>
    <r>
      <rPr>
        <sz val="10"/>
        <color rgb="FFFF0000"/>
        <rFont val="Arial"/>
        <family val="2"/>
      </rPr>
      <t>responsibility of the PI</t>
    </r>
    <r>
      <rPr>
        <sz val="10"/>
        <rFont val="Arial"/>
        <family val="2"/>
        <charset val="1"/>
      </rPr>
      <t>. We teach on do and don'ts</t>
    </r>
  </si>
  <si>
    <t xml:space="preserve">It would be good to have and it would mean we would need additional positions for respective experts. So this is not going to happen. </t>
  </si>
  <si>
    <t xml:space="preserve">For some experiments I do get contacted - this is in instances where the core facility is involved in carrying out/analysing experiments. However, in most cases I do not contacted. Most of the time this does not impact the quality of publications. </t>
  </si>
  <si>
    <t xml:space="preserve">for materials and methods, imaging data and photomicrographs, digital images core facility staff may be able to provide better material than researcher </t>
  </si>
  <si>
    <t xml:space="preserve">Complete documentation of M&amp;M requires involvement of the cores. </t>
  </si>
  <si>
    <t xml:space="preserve">It would of course improve the quality of published data because of expert knowledge, but there are also time constrains. </t>
  </si>
  <si>
    <t xml:space="preserve">experienced and standardized </t>
  </si>
  <si>
    <t xml:space="preserve">Involving the core facility for work they carried out ensures correct understanding and an accurate account of what happened. </t>
  </si>
  <si>
    <t xml:space="preserve">I think that is the business of our users. We store what is relevant to us and what they do with the data is their business. We cannot control this anyway. </t>
  </si>
  <si>
    <t xml:space="preserve">Possibly, but it needs to be an Institute policy </t>
  </si>
  <si>
    <t>behavior</t>
  </si>
  <si>
    <t>mass cytometry and bioinformatics</t>
  </si>
  <si>
    <t>MRI, CT, ultrasound, PET, SPECT, optical imaging, photoacoustics</t>
  </si>
  <si>
    <t>biosamples</t>
  </si>
  <si>
    <t>High Throughput Screening</t>
  </si>
  <si>
    <t>both cell culture and protein expression</t>
  </si>
  <si>
    <t>clinical chemistry</t>
  </si>
  <si>
    <t>human MRI (mainly functional brain mapping)</t>
  </si>
  <si>
    <t>probably 1 - 10 TB</t>
  </si>
  <si>
    <t>Wildly variable and we don't keep records - users are responsible for their own data &amp; back up but about 2Tb</t>
  </si>
  <si>
    <t>In general metabolomics data is not a huge concern compared to other platforms/facilities. This will change in the future as mass spectrometry experiments become more detailed, or if mass spec imaging is employed.</t>
  </si>
  <si>
    <t>We produce cells and proteins, not data</t>
  </si>
  <si>
    <t>integrate an instant messaging in the platform syste (so not to rely on other "public" services like whatsapp)</t>
  </si>
  <si>
    <t>Booked-scheduler</t>
  </si>
  <si>
    <t>Very good for planning, limited ability for communication (mailing list + alerts on the website)</t>
  </si>
  <si>
    <t>How to design the experiment so that the researchers measures what he/she actually intends to measure</t>
  </si>
  <si>
    <t>More support to do this provided by the university</t>
  </si>
  <si>
    <t>To help the users to be independently able to use the equipment and to understand optimal ways to prepare samples for their experiments. To make sure that the technicians and facility manager are up to date in their knowledge and expertise.</t>
  </si>
  <si>
    <t>e-mail works very well. Where I've used communication software to communicate with other platforms, for example some branches of computing infrastructure support, it's been far more of a hindrance than a help.</t>
  </si>
  <si>
    <t>well-trained users get good results and don't break things.</t>
  </si>
  <si>
    <t>attention to detail and safety</t>
  </si>
  <si>
    <t>The reach for each of these methods is low, we try to have as many as possible but it is still hard to get information across.</t>
  </si>
  <si>
    <t>It would need to be something used by all cores. Soemthing that seems quite difficult to achieve!</t>
  </si>
  <si>
    <t>Users need to understand what the Lab provides and how they can access training. Sample prep seems a common aspect in all cores</t>
  </si>
  <si>
    <t>setup working between 2 organizations</t>
  </si>
  <si>
    <t>comprehensive training from planning to data analysis hands on and theory</t>
  </si>
  <si>
    <t>Safety relating to samples, software instruction</t>
  </si>
  <si>
    <t>better website, social media as well as more "show and tell" type opportunities</t>
  </si>
  <si>
    <t>Even though the idea is good, most people already are overwhelmed with information overload and may be resistant to subscribing to another platform</t>
  </si>
  <si>
    <t>Mostly involves with training in the operation of the instrument as well as data analysis</t>
  </si>
  <si>
    <t>Microsoft Teams and iLab (Agilent)</t>
  </si>
  <si>
    <t>Confidence that the users understand what they've been taught and take that knowledge away with them. My personal ethos about running a core facility is that as well as providing equipment/services, our main purpose is to provide knowledge and skills to our users.</t>
  </si>
  <si>
    <t>Having more time per user would be good.</t>
  </si>
  <si>
    <t>One to one training with samples provided by the user to establish the best way to acquire the data.</t>
  </si>
  <si>
    <t>Possibilities and Limitations of  methods, background knowledge for students/postDocs</t>
  </si>
  <si>
    <t>web based chat for routine comunication</t>
  </si>
  <si>
    <t>Lab work and instrument safety.</t>
  </si>
  <si>
    <t>announcements on Schedule</t>
  </si>
  <si>
    <t>I think there is a LOT that can be communicated, but every person needs to know something different. Putting too much out there, or having announcements/signs seems to create sign blindness and no one looks at it.</t>
  </si>
  <si>
    <t>one more thing to register, keep up with, pay for?</t>
  </si>
  <si>
    <t>Convincing people to provide the correct controls.</t>
  </si>
  <si>
    <t>Fragmentation, - different groups want to use different platforms lack of adoption - I refuse to use anything that requires me to install software on my own devices. I've tried slack, teams &amp; trello and given up on all of them as merely gimmicks</t>
  </si>
  <si>
    <t>No one uses anything until they've been assessed by us.</t>
  </si>
  <si>
    <t>Safety</t>
  </si>
  <si>
    <t>Slackm What'sApp</t>
  </si>
  <si>
    <t>Even though I've set up a Slack page to report instrument issues - users are resistant to using it. They seem to prefer email or phone call - which i am less likely to respond to (i don't check emails out of hours or answer my phone - whereas instant messenger i am much more likely to respond to - it's also easier to fix issues over instant messenger as opposed to email, especially whilst sorting!).</t>
  </si>
  <si>
    <t>Cytometer operation</t>
  </si>
  <si>
    <t>We provide training for all three instruments, but allow independent use of only one.
Training is also provided for data analysis</t>
  </si>
  <si>
    <t>That users are able to operate FACS analysers independently of core facility
Training in the use of appropriate analysis software for flow cytometry generated data.</t>
  </si>
  <si>
    <t>aim of our training s is to make users indipendent on the instrument usage/ experimental setup</t>
  </si>
  <si>
    <t>by using a software</t>
  </si>
  <si>
    <t>accurate training by our staff
giving SOP (wtitten  or in electronic form)
to be always reachable even after termination of training in case users have further questions or trouble shooting</t>
  </si>
  <si>
    <t>More automated communication to save users asking for updates that take up staff time</t>
  </si>
  <si>
    <t>We are actually investigating service now to have automated communication steps but are trying to tie this in with other softwares for data storage (such as filemaker)</t>
  </si>
  <si>
    <t>Thorough training following SOP's</t>
  </si>
  <si>
    <t>standardized workflows for exchange of documents and improved internal project management and documentation</t>
  </si>
  <si>
    <t>data protection issues (human data)</t>
  </si>
  <si>
    <t>Finding the best technique to answer the scientific question.</t>
  </si>
  <si>
    <t>Enabling users to be set up their own experiments</t>
  </si>
  <si>
    <t>In my opinion, all projects are best approached with a REAL conversation. This may be more true for metabolomics (where each experiment is carefully tailored to the individual) than other fields</t>
  </si>
  <si>
    <t>Yes, dependent on the expected future usage - i.e. if they will be regular users, we will put the time in to train them</t>
  </si>
  <si>
    <t>Clarity and ensuring that users are only able to operate machines/perform data analysis when we are convinced that they are competent.</t>
  </si>
  <si>
    <t>More face to face discussion with them BEFORE projects start</t>
  </si>
  <si>
    <t>PPMS. It is mostly a booking system, but we also use it to send notes to users about their bookings.</t>
  </si>
  <si>
    <t>It works ok, but as they get so many emails from PPMS, some of our messages fall between the cracks. Face to face is better but we have over 80 groups that use us so this is not always feasible.</t>
  </si>
  <si>
    <t>Getting users to become knowledgeable and skilful enough to design, acquire, and analyse their own experiments independently.</t>
  </si>
  <si>
    <t>Qualtrics</t>
  </si>
  <si>
    <t>Works well for surveys</t>
  </si>
  <si>
    <t>Train user to look after the instruments</t>
  </si>
  <si>
    <t>It is hard to say without seeing the type of software we are talking about</t>
  </si>
  <si>
    <t>Close interaction with the end-user to enhance their projects</t>
  </si>
  <si>
    <t>The problem seems to be getting them to listen, as we send out information but they don't read it</t>
  </si>
  <si>
    <t>We already have too many different platforms for people to ignore</t>
  </si>
  <si>
    <t>Making sure they can use equipment safely</t>
  </si>
  <si>
    <t>Ideally users would have greater visibility of all of the work that is done for them rather than just the final outcome</t>
  </si>
  <si>
    <t>Within the team we use Microsoft Teams; we are currently trialing ServiceNow, a ticketing system to improve project progression visibilty to users and enable gathering of metrics of facility activity</t>
  </si>
  <si>
    <t>We searched long and hard for a usable Electronic notebook that could enable easy communication with users, record all of the different activities of facility staff, project progression and machine use etc but there isnt a single solution that was easy to implement locally</t>
  </si>
  <si>
    <t>If they want to be trained. Most elect not to do so.  The main purpose of training is that it enables users to ask better questions rather than giving them independence</t>
  </si>
  <si>
    <t>There is training for specific machine use which only a few users take up.  Much of our training is also quite ad hoc and generalised 'how to do a good experiment' training as not all students have such education in their home labs</t>
  </si>
  <si>
    <t>own software for ordering of services allows us to use chat and discussion forum</t>
  </si>
  <si>
    <t>very positive feedback from users</t>
  </si>
  <si>
    <t>We are part of the university so we train master and Ph.D. students.</t>
  </si>
  <si>
    <t>1:1 and at the instruments</t>
  </si>
  <si>
    <t>The correct use of the machine and the correct execution of the project to achieve the best standards in flow cytometry.</t>
  </si>
  <si>
    <t>Greater awareness of our facilities nationally would be good. Have operated for 10 years but still surprising to meet individual researchers who have never heard of our existence. Also, would be great to increase the proportion of users that actually read our guidelines on how to use our facilities.</t>
  </si>
  <si>
    <t>I'm sceptical, but open to suggestion. I prefer to use one channel of communication where possible, thereby everone knows that essential info and communications go by that route. At the moment that channel is largely email, and I'd need a lot of convincing this can be improved.</t>
  </si>
  <si>
    <t>I can't single out any one aspect. THere are a lot of details.</t>
  </si>
  <si>
    <t>Correct set up for the available hardware</t>
  </si>
  <si>
    <t>Communication software would be an interesting idea.</t>
  </si>
  <si>
    <t>The willingness of users to use it.</t>
  </si>
  <si>
    <t>Teach people to use the instrument without destroying it. And in a way that gives the information they need.</t>
  </si>
  <si>
    <t>I would like to have the user report problems directly to me more often - now they sometimes just tell each other or make a small note in the paper user log and the information does not reach me or others in time. Then we find e.g. an instrument malfunction as an unpleasant surprise when coming to the instrument with samples already prepared etc.</t>
  </si>
  <si>
    <t>Agendo booking system. It allows for sending messages also.</t>
  </si>
  <si>
    <t>The booking platform works fine, but I suspect that users are not always reading the messages sent through it, or it is considered spam as their email filters.</t>
  </si>
  <si>
    <t>Teaching researchers to technically use flow cytometers and interpret the results.</t>
  </si>
  <si>
    <t>Limited time to keep all communication lines alive and updated.</t>
  </si>
  <si>
    <t>Since users are not allowed to work within the CF, no need for training in this sense. However, sharing protocols and advising customers is of important to generate high quality data.</t>
  </si>
  <si>
    <t>it is better to use available comm. methods. People are reluctant to learn and use a new software (a separate login needed etc).  An email list or a simple digital calendar should be enough to communicate. They already check their emails regularly for important messages and our digital reservation calendar is self explanatory.</t>
  </si>
  <si>
    <t>1) Safety of users is the first thing in my training (laser and fluorescence light! ergonomics, toxic dyes etc.) 
2) Proper use of equipment (proper cooling for lasers before switching off, immersion oil should not be excess, hitting the sample with expensive oil objective etc.)</t>
  </si>
  <si>
    <t>We would like to improve our communication to potential new users and be more visible</t>
  </si>
  <si>
    <t>We intend to develop a web based platforms to get informations about the samples and plans.</t>
  </si>
  <si>
    <t>We provide many kind of service (QPCR, NGS, RNA integrity checking), maybe it is difficult to find an optimal platform to communicate with all kind of users.</t>
  </si>
  <si>
    <t>In case of the quantitative PCR (QPCR) or cell sorting we teach the users to operate those equipments. In addition, we also organize bioinformatic training using the Galaxy platform.</t>
  </si>
  <si>
    <t>The goal is to train the users to operate the QPCR and the FACS machines.</t>
  </si>
  <si>
    <t>By organizing seminars.</t>
  </si>
  <si>
    <t>Not at this point.</t>
  </si>
  <si>
    <t>Presentations on meetings organized by our University
Teaching credit courses for PhD students, who are the potential users</t>
  </si>
  <si>
    <t>This is fine for me</t>
  </si>
  <si>
    <t>Compensation</t>
  </si>
  <si>
    <t>supportsystems.com</t>
  </si>
  <si>
    <t>ok, but can be improved</t>
  </si>
  <si>
    <t>The small volume of our core facility that provides clinical chemistry services on an automated analyser is largely manageable without dedicated software. However, a simple software platform could help us to do work in a more time-efficient manner.</t>
  </si>
  <si>
    <t>I'm not sure. Unless, confidentiality is guaranteed.</t>
  </si>
  <si>
    <t>Representatives from various companies come at site and demonstrate the newest techniques and equipment. Also, ThermoFisher Scientific Baltic company organizes "Science Day" on annual basis. They not only demonstrate their hot topics but also provide transportation to the scientific community members from various parts of the country. Also, the selected scientists  (both achieved and PhD students) present their research topics.</t>
  </si>
  <si>
    <t>Being familiar with the newest technologies, ability to apply them in own research, exchanging ideas, making new contacts.</t>
  </si>
  <si>
    <t>proprietary system for booking of instrumental time</t>
  </si>
  <si>
    <t>Mixed. An automation of processes inside the SW system is not flawless</t>
  </si>
  <si>
    <t>Flawless preparation of samples (in our case crystals) for delivery to the CF</t>
  </si>
  <si>
    <t>We use standard  instrumentation (for single crystal X-ray diffraction), its modification is not necessary</t>
  </si>
  <si>
    <t>PI's are often absent from the whole process. With the PI's still need to learn a lot about the technologies and their PhDs and Post-Docs still having a smaller experience, the PI's would need to be present in the discussion for the whole process to work end-to-end.</t>
  </si>
  <si>
    <t>It gives users the capacity to do their own data analysis.</t>
  </si>
  <si>
    <t>we do provide sample preparation training to ensure samples deliver results and are free of contamination</t>
  </si>
  <si>
    <t>sample preparation</t>
  </si>
  <si>
    <t>There are two lines - training about usage of equipment (it is relvant only for users woring in lab and for this case is mandatory) and trainigng about principles of methods, design of study, data analysisi, etc. - this is volunatry and based on some courses or worhshops</t>
  </si>
  <si>
    <t>For working in lab - safety (of measured participnats, of tehcnicians/researchers, of equipment = to avoid some damage)</t>
  </si>
  <si>
    <t>Managment software</t>
  </si>
  <si>
    <t>slack</t>
  </si>
  <si>
    <t>Making sure the scientists we deal with have a dataset that we can go through with them.  Then the training becomes more relevant and tailored to there questions.  We previously did training courses that were general but often people didnt turn up and they struggled as some of it wasn't relevant to what they were doing.  So now we do one on one training and it is much better but of course this is on an ad-hoc basis.  One of the problems that we have had is scientists thinking they know how to do analysis and using the incorrect statistical test or website because it gives them the answer they were after rather than the correct answer.</t>
  </si>
  <si>
    <t>short whitepapers or checklists</t>
  </si>
  <si>
    <t>usually face-to-face discussion or during e-mail exchanges about the planning of an experiment; where we've run the samples, we will include comments on how to increase robustness in our reports. For self-service users, it's hard to provide anything but informal advice when we see things going awry in the lab.</t>
  </si>
  <si>
    <t>standard SOPs</t>
  </si>
  <si>
    <t>Generally on a one to one, face to face basis</t>
  </si>
  <si>
    <t>personal discussion with user</t>
  </si>
  <si>
    <t>We troubleshoot data with users and help them design future experiments to improve quality. We have a "troubleshooting" section in our facility handbook with common problems and what to attempt to try and solve them.</t>
  </si>
  <si>
    <t>We are actively involved in all aspects of project design including protein production/use of constructs/sample preparation and technical aspects.
All our samples require long-term experiments (up to weeks).</t>
  </si>
  <si>
    <t>Case by case basis. I do not always know there is an issue unless I look over their shoulder or if they come to me with questions. I then go through a lot of Q&amp;A about their protocols, quality, controls and set up and offer suggestions to improve. Unfortunately, you don't always know if there is an issue of if someone is doing a poor experiment.</t>
  </si>
  <si>
    <t>Every project is different, I sit down with the user and work through their protocols.</t>
  </si>
  <si>
    <t>For cell sorting procedures we ask for the robustness of the cell in question and provide a range of solutions to maintain viability. For other applications this is advice on preparation protocols.</t>
  </si>
  <si>
    <t>SOP
discussion and counselling on exp design
discussion on biometry
discussion on data analysis</t>
  </si>
  <si>
    <t>Guidelines in optimal dissection/fixation
Discussions with trained staff and pathologists</t>
  </si>
  <si>
    <t>advice, SOPs, templates for documentation</t>
  </si>
  <si>
    <t>Written Reporting system after every pilot experiment</t>
  </si>
  <si>
    <t>Careful discussion post-data analysis</t>
  </si>
  <si>
    <t>Usually an ad-hoc conversation based on how the experiment went and how they should improve it next time. This is usually sample prep-related.</t>
  </si>
  <si>
    <t>Face to face discussion about sample preparation and appropriate controls</t>
  </si>
  <si>
    <t>We share our extensive experience in genomics technology and in research in general</t>
  </si>
  <si>
    <t>Through discussion about experimental design and appropriate controls. Will also provide QC data fro equipment if relevant but everything is on request, so they only get guidance if they ask for it.</t>
  </si>
  <si>
    <t>verbal, written, previous examples of what failure looks like and leading by example by doing the experiment properly and showing them the difference in outcome</t>
  </si>
  <si>
    <t>By training or by actively standing with the scientist at the machine</t>
  </si>
  <si>
    <t>If we encounter a user that obviously has too few replicates, we inform them. We also advise on replicate numbers and inclusion of controls.</t>
  </si>
  <si>
    <t>Mostly technical (fixative use etc)</t>
  </si>
  <si>
    <t>Mainly face to face conversations about sample types and tips of how to handle the samples, what controls to include, how to do QC on the instruments etc. Of course, we have instrument user protocols that list the main steps, but for sample/control preparation it's more based on conversations.</t>
  </si>
  <si>
    <t>Face to face discussion and actively contributing to experimental design.</t>
  </si>
  <si>
    <t>We don't involve in all experimental designs of users, only when they need help.</t>
  </si>
  <si>
    <t>I discuss with them, offer alternative ways of experimental design, check whether they use proper sample fixation/labeling protocol.  Warn them about pitfalls (Use of Mg and EGTA helps better cytoskeletal preservation during immunodetection, fuzzy nucleolar border with DAPI stain often indicates suboptimal fixation etc.)
If the researcher requests, for complicated methods (eg: FRAP, FLIP, advanced quantification),  I do the imaging part and write the related part of the text in co-authored article.</t>
  </si>
  <si>
    <t>We inform the users about the recommended protocols or kits.</t>
  </si>
  <si>
    <t>By face to face discussions we discuss the key points of the sample preparation and give tips for better sample prep and from analytical point of view more appropriate experimental design.</t>
  </si>
  <si>
    <t>by speech</t>
  </si>
  <si>
    <t>Written recommendations</t>
  </si>
  <si>
    <t>Face-to-face explanation of why the experiment is not robust enough.</t>
  </si>
  <si>
    <t>Only for some experiments</t>
  </si>
  <si>
    <t>It should be an institutional decision but the end user should have uiltimate ownership</t>
  </si>
  <si>
    <t>We don't have the resources/budget to provide data storage.</t>
  </si>
  <si>
    <t>main computer facility</t>
  </si>
  <si>
    <t>we do as a backup as well</t>
  </si>
  <si>
    <t>Unofficially I do keep copies but storage space is an issue so old files are wiped without warning. If a user can't be bothered to back up their own data, it's their problem.</t>
  </si>
  <si>
    <t>We do not have the facility to maintain data storage servers.</t>
  </si>
  <si>
    <t>This can often lead to duplication of data stored</t>
  </si>
  <si>
    <t>Insufficient capacity and it would put our prices up which users already complain about.</t>
  </si>
  <si>
    <t>We also provide and recommend using a central OMERO server, but it is not mandatory to store data there. If we do service work for a scientists we ALWAYS put it on the OMERO server.</t>
  </si>
  <si>
    <t>users have storage space provided by the institute. Core facility doesn't store their data</t>
  </si>
  <si>
    <t>We have a limited capacity to store raw NGS data.</t>
  </si>
  <si>
    <t>server, RAID6, duplicated in remote location</t>
  </si>
  <si>
    <t>don't know</t>
  </si>
  <si>
    <t>data are maintained by a computing facility. I think they use a mix of internal and external servers</t>
  </si>
  <si>
    <t>Store directly to server</t>
  </si>
  <si>
    <t>external drive</t>
  </si>
  <si>
    <t>PC and external drive</t>
  </si>
  <si>
    <t>The facility uses cloud storage to back-up user data</t>
  </si>
  <si>
    <t>Down to user</t>
  </si>
  <si>
    <t>Users store their own data in a range of ways</t>
  </si>
  <si>
    <t>limited space</t>
  </si>
  <si>
    <t>remote server (weekly backup)</t>
  </si>
  <si>
    <t>for published data only</t>
  </si>
  <si>
    <t>Backup hard drives</t>
  </si>
  <si>
    <t>User's responsibility after data download.</t>
  </si>
  <si>
    <t>some store their data in the university cloud</t>
  </si>
  <si>
    <t>personal external drives</t>
  </si>
  <si>
    <t>many users use these</t>
  </si>
  <si>
    <t>External Drives</t>
  </si>
  <si>
    <t>tape</t>
  </si>
  <si>
    <t>IT unit</t>
  </si>
  <si>
    <t>Interna  server</t>
  </si>
  <si>
    <t>Even though I am not sure what this means / entails exactly. What does interpretation mean in this context? How would it be possible to develop a control mechanism for the interpretation of the data?</t>
  </si>
  <si>
    <t>If we are collaborators in a study then we do check data quality and interpretation. If the users are independently using the facility, the data is their responsibility.</t>
  </si>
  <si>
    <t>finding a properly-trained statistician has been a long-running problem. Courses are available, but very few deal with multivariate statistics</t>
  </si>
  <si>
    <t>but only sometimes, and only if they ask</t>
  </si>
  <si>
    <t>It would be helpful, but I have no idea how one does it. Given that science is very multidisciplinary, perhaps it should be done at a higher level than the platform</t>
  </si>
  <si>
    <t>… but it's almost completely unused! Where we (the platform) produce a final figure we can record in our jobs system exactly which raw data were used to generate which figures, but very often people take data from our reports. We can trace raw data to a report, but the link is broken if the user carried out a long series of analyses and used just one for a final paper. It's then up to the user to record what they did. This is also true of self-service users, who could technically use our jobs recording system but in practice don't.</t>
  </si>
  <si>
    <t>all customer samples have a unique number which follows them through the whole process. A user has access to this number and from this raw data should be traceable</t>
  </si>
  <si>
    <t>It is a failing of large facilities that it is very hard to keep on top of this unless  dedicated staff is set aside for it.</t>
  </si>
  <si>
    <t>Usually the user, but with guidance from us if required.</t>
  </si>
  <si>
    <t>Only if requested.</t>
  </si>
  <si>
    <t>We're a protein expression facility - we use Mass Spec for QC sometimes, but not routinely. I would like to use it on every protein, but we leave the choice to the users who often decline due to cost.</t>
  </si>
  <si>
    <t>NAS drive for temporal storage &lt; 3 month</t>
  </si>
  <si>
    <t>User should consult a statistician</t>
  </si>
  <si>
    <t>Facility staff are not trained  statisticians</t>
  </si>
  <si>
    <t>It should be the responsibility of the users</t>
  </si>
  <si>
    <t>most of our experiments do not require a statistical analysis</t>
  </si>
  <si>
    <t>it is the overall responsibility of hte facility to make sure that data are analysed correctly. If a user decides to analyse their data, we will make sure at the publication stage that all data and conclusions drawn are consistent.</t>
  </si>
  <si>
    <t>Guidance is given to the user but then the statistical analisys is left to the user.</t>
  </si>
  <si>
    <t>see above</t>
  </si>
  <si>
    <t>There are two questions here but only one available answer.
I doubt anyone is appropriately trained.</t>
  </si>
  <si>
    <t>I provide it, but most believe they know how to do it already.</t>
  </si>
  <si>
    <t>external disk or USB stick</t>
  </si>
  <si>
    <t>All our systems are air gapped. Trusted users have drives, others we move data for them.</t>
  </si>
  <si>
    <t>Stats doesn't really come into microscopy but I do provide image analysis and training in ImageJ and Matlab</t>
  </si>
  <si>
    <t>It's up to the PI - I can evaluate microscope images and help infer but the interpretation is at a biochemical pathway level that we'd be unable to comment on.</t>
  </si>
  <si>
    <t>I suspect many users are not properly trained in statistical analysis</t>
  </si>
  <si>
    <t>Some guidance - flow-related statistics, but otherwise recommend statistics facility.</t>
  </si>
  <si>
    <t>But it is very hard to get users to engage in this. It's hard enough to get them to use the correct controls!</t>
  </si>
  <si>
    <t>users bring their external storage device with them</t>
  </si>
  <si>
    <t>for basic statistical analysis only</t>
  </si>
  <si>
    <t>this is the responsibility of the user</t>
  </si>
  <si>
    <t>internal server, ftp</t>
  </si>
  <si>
    <t>guidance rarely. No statistician staff</t>
  </si>
  <si>
    <t>The user and other specialised core facilities</t>
  </si>
  <si>
    <t>We don't have capacity to do this for users</t>
  </si>
  <si>
    <t>Sharing raw data and making metadata available to the user</t>
  </si>
  <si>
    <t>OMERO database system</t>
  </si>
  <si>
    <t>internal file transfer service</t>
  </si>
  <si>
    <t>occasionally</t>
  </si>
  <si>
    <t>In some work, we are involved in data analysis. In those cases, we can certify correct analysis. In other cases, data is taken away and we have no insight into how data is interpreted.</t>
  </si>
  <si>
    <t>It is the policy of our institute that all data generated through platforms is checked by the platform staff/head before publlication (by poster, talk, or paper). This does rely on the honesty of the researcher though!</t>
  </si>
  <si>
    <t>It is policy of most metabolomics journals to deposit published raw data into public repositories (e.g. MetaboLights)</t>
  </si>
  <si>
    <t>Yes, but users are responsible  (and protective of) the analysis of their own data. If they ask us for help, we will help them analyse it properly. If they do not, then we never see the data.</t>
  </si>
  <si>
    <t>I don't know about the training</t>
  </si>
  <si>
    <t>The facility staff provides guidance and support in statistics and bioinformatics when possible. When intensive support is required, the end-user is referred to our college bioinformaticians and statisticians</t>
  </si>
  <si>
    <t>This is a bit conceptual. What are we talking about exactly?</t>
  </si>
  <si>
    <t>We provide training if they ask for it, but often will be given by others in the lab doing a similar analysis.</t>
  </si>
  <si>
    <t>Not unless it is built in as part of their analysis software.</t>
  </si>
  <si>
    <t>Yes in an ideal scenario, but we are too short staffed, so rely on that being done by the research group</t>
  </si>
  <si>
    <t>software</t>
  </si>
  <si>
    <t>through ordering system</t>
  </si>
  <si>
    <t>most of our users are not able to do the proteomics analysis themselves</t>
  </si>
  <si>
    <t>CF members are mostly involved in co-authored team of the publication and interpret the data</t>
  </si>
  <si>
    <t>Usually!</t>
  </si>
  <si>
    <t>We may make basic recommendations though.</t>
  </si>
  <si>
    <t>This is ultimately the responsibility of the scientists on the paper, and this may include facility staff, but we try to encourage checking data interpretation with the facility staff before publication, even if we are not an author on it.</t>
  </si>
  <si>
    <t>Raw data is held in a "group share" folder by the research group who publishes. This is centrally backed up by IT.  It is randomly checked by our own ethical publishing committee who subjects a certain number of our institute's publications each year to an internal audit, where such data trails are also checked.</t>
  </si>
  <si>
    <t>It would be great to ensure that more data is properly utilised and ultimately published, but I think that this is crossing a line on what you can reasonably expect from a core. In my opinion we can advise, but we should not be required to control that users design their experiments and perform their analyses to a given standard. Users need to ultimately take responsibility for their own projects and work.</t>
  </si>
  <si>
    <t>In some instances yes, but not always.</t>
  </si>
  <si>
    <t>almost exclusively by usb stick</t>
  </si>
  <si>
    <t>This is intentionally left out of the core facility's services due to lack of expertise</t>
  </si>
  <si>
    <t>I don't see how that is possible in flow cytometry. Quality control can be applied to the instrument itself, but not into how researchers handle their plots post-acquisition.</t>
  </si>
  <si>
    <t>not transferred</t>
  </si>
  <si>
    <t>not transferred to users</t>
  </si>
  <si>
    <t>But suggest tools and workflows if needed.</t>
  </si>
  <si>
    <t>Maybe useful but how to decide what is the correct interpretation of data?</t>
  </si>
  <si>
    <t>intranet server</t>
  </si>
  <si>
    <t>We look at data together.</t>
  </si>
  <si>
    <t>We use ftp server.</t>
  </si>
  <si>
    <t>We have a bioinformatic sub-core facility and we provide full dat analysis service for fee.</t>
  </si>
  <si>
    <t>We organise training about NGS data analysis using the Galaxy platform or the R package.</t>
  </si>
  <si>
    <t>We do not have quality control for data interpretation. We have quality controls only for mass spec analysis. We use HeLa digest to monitor the data acquisition and database search.</t>
  </si>
  <si>
    <t>External Drives &amp; Stickes</t>
  </si>
  <si>
    <t>I do the QC on the instruments and help Users with their data if asked. I do not have the time given I work alone to analyse all users data</t>
  </si>
  <si>
    <t>Flow Repository</t>
  </si>
  <si>
    <t>Core facility does analysis only under user's request</t>
  </si>
  <si>
    <t>Sometimes</t>
  </si>
  <si>
    <t>It's user's responsibility</t>
  </si>
  <si>
    <t>https://checkcif.iucr.org/</t>
  </si>
  <si>
    <t>owncloud</t>
  </si>
  <si>
    <t>Code and data are matched through git: https://github.com/mpg-age-bioinformatics/bit</t>
  </si>
  <si>
    <t>It depends on the specific project, collaboration mode and other aspects. Typicaly, final statistics and intepretation is dona by users alone. Sometimes CF members are involved.</t>
  </si>
  <si>
    <t>As a part of educational courses or workshops focused on data analysis - not individually for single projects/users.</t>
  </si>
  <si>
    <t>It is applied only if CF is involved in data processing. For the cases where row data are provided to users (which is most typical), users are responsible for quality control of measured data and only very basic and limited control is done during the measurement.</t>
  </si>
  <si>
    <t>we focus on replicability and reproducibility of the data produced in the platform. we know what to report in the paper to improve the reproducibility of the findings</t>
  </si>
  <si>
    <t>database of metadata (database of searchable protocol details)</t>
  </si>
  <si>
    <t>developing (and meticulously keeping track) of well-thought-out methods</t>
  </si>
  <si>
    <t>Communicating the importance of protocol details</t>
  </si>
  <si>
    <t>Researchers develop plenty of ad-hoc methods /procedures. we must keep track of what has been done, make sure that the effect measured at the experimental level is indeed caused by what the researchers have developed. Allow other researchers to build upon the data generated by these ad-hoc/novel approaches</t>
  </si>
  <si>
    <t>The more control that we introduce into who can use the facility and under what conditions the less accessible to facility becomes. Many users need access to technology, they don't want the facility taking ownership of their work. The quality of their research is their responsibility - we are available for discussions at any point if they want to ask.</t>
  </si>
  <si>
    <t>We are constantly investing in new equipment and training to keep us at the forefront of our discipline - this results in high quality collaborations with external users where the research quality is at a level that would be difficult to achieve via purely internal users.</t>
  </si>
  <si>
    <t>More trained staff to relieve the bottleneck in being able to take on new service work.</t>
  </si>
  <si>
    <t>Securing further funding</t>
  </si>
  <si>
    <t>useful to have a sanity check on methods sections. In my experience only about 10% of publications actually record analytical methods well enough to repeat (dropping towards 0% in high-quality journals with heavy space limitations such as Nature). Very often HPLC methods appear with no record of the column, or the solvents or some other totally critical aspect (but very often a detailed description of something I didn't need to know, like the exact model of HPLC pump!).</t>
  </si>
  <si>
    <t>refer them to it (politely, and with tact!) when they ask obvious questions that I've already answered in a report...</t>
  </si>
  <si>
    <t>I believe there already is a plan at institutional level. It's just possible (but unlikely) someone has read it. If I produce a plan, it will just be another formal document that will be ignored...</t>
  </si>
  <si>
    <t>we're investing in better software for data analysis</t>
  </si>
  <si>
    <t>keeping users properly trained
maintaining instruments so they produce meaningful data</t>
  </si>
  <si>
    <t>better quality of chemical standards, and tracking of where they're used (quantification is relative to the standard, so if the standard is wrong...)
more time to do things properly</t>
  </si>
  <si>
    <t>Lack of time!
Brexit is also disastrous beyond belief</t>
  </si>
  <si>
    <t>Move to elctronic Lab books; data cemtrally accessible to users and core staff where appropriate</t>
  </si>
  <si>
    <t>Rigour and reproducibility!</t>
  </si>
  <si>
    <t>Publication/presentation is included in induction seminars and is the subject of a twice yearly seminar</t>
  </si>
  <si>
    <t>More the experience of the staff than the level of equipment.</t>
  </si>
  <si>
    <t>Staff trained to appropriate level and have the ablilty to deliver quality training of users</t>
  </si>
  <si>
    <t>identify errors</t>
  </si>
  <si>
    <t>the core facility can ensure that the methods are detailed so that they can be replicated. We can also help with making the best figures and if the user request, provide help with data interpretation as well</t>
  </si>
  <si>
    <t>for publications, and grant applications</t>
  </si>
  <si>
    <t>We have highly trained staff to work on methods development to include the use/development of newer imaging biomarkers</t>
  </si>
  <si>
    <t>proper study design with appropriate controls</t>
  </si>
  <si>
    <t>better communication with the users</t>
  </si>
  <si>
    <t>lack of understanding and appreciation by the users as to how best the core facility can help with their research</t>
  </si>
  <si>
    <t>Due to the large number of people we get coming through the lab, we leave all documentation to the users (we have a disclaimer that all users sign to say they understand documentation is their responsibility). We have recently adopted a core lab management system, which I am hoping to use to improve the level of documentation.</t>
  </si>
  <si>
    <t>Analysis and presentation of data is often not as robust as it could be without our involvement. I often see omissions in Methods sections that we in the facility would have picked up on.</t>
  </si>
  <si>
    <t>We have a short disclaimer, but it is perhaps not as robust as it should be.</t>
  </si>
  <si>
    <t>I believe the facility needs to expand, both in terms of capacity and in the variety of service that we offer to ensure we stay relevant and up to date with technology/science. However, this requires money which is notoriously difficult to find!</t>
  </si>
  <si>
    <t>Staff levels are difficult. The facility works OK with 3 staff members (which we have currently, although 4 would be ideal), but I'm due to lose one shortly which will hit us quite hard. Generating income is our biggest challenge, the facilities in our University are seen as a loss-making burden by Central Finance, and we (all Facility Managers) are constantly challenged to drive change to improve the finances, often to the detriment of good science.</t>
  </si>
  <si>
    <t>Recognise core facility staff who could help with reproducibility of experiments</t>
  </si>
  <si>
    <t>Tell/show them how it will benefit them directly</t>
  </si>
  <si>
    <t>This would require more staff resources in core facilities.</t>
  </si>
  <si>
    <t>data management is responsibility of the user</t>
  </si>
  <si>
    <t>Having well trained knowledgeable staff</t>
  </si>
  <si>
    <t>written documentation</t>
  </si>
  <si>
    <t>Having enough funding to maintain and upgrade your equipment?</t>
  </si>
  <si>
    <t>All our projects are of a collaborative nature, we are contributing to publications (Material and Methods/figures/supplementary materials/text and conclusions)</t>
  </si>
  <si>
    <t>already mentioned, as a core facility we provide structural insights to the non-specialist. In general, users trust us with experimental procedures/interpretation of data and conclusions.</t>
  </si>
  <si>
    <t>We have moved away from a facility model to a collaborative effort within the institute. We have access to all other data of users (biophysics/molecular biology) and are now in a position to produce our own samples</t>
  </si>
  <si>
    <t>we are currently setting up a wet lab to further enhance our involvement at an early stage of a project.</t>
  </si>
  <si>
    <t>space allocation and having multiskilled members of the facility (all phD level)</t>
  </si>
  <si>
    <t>I train the users untill proficiency, so I know they will follow my instructions.</t>
  </si>
  <si>
    <t>understanding of the instruments</t>
  </si>
  <si>
    <t>coping with the demand.</t>
  </si>
  <si>
    <t>Many researchers come in, use the equipment and leave without the core facility oversight. We don't always know if there are issues with quality. Figures and publications happen without us being involved all of the time with poor quality data.</t>
  </si>
  <si>
    <t>Provide examples of how it could go wrong/better.</t>
  </si>
  <si>
    <t>I am not sure anyone would adhere to the requests.</t>
  </si>
  <si>
    <t>Good controls, reproducible and robust data.</t>
  </si>
  <si>
    <t>outreach and education</t>
  </si>
  <si>
    <t>Catching all of the poor data generated in the core without core manager input.</t>
  </si>
  <si>
    <t>Lack of funding to purchase novel intrumentation</t>
  </si>
  <si>
    <t>cqi, eqa</t>
  </si>
  <si>
    <t>the technical aspects of image acquisition get quite involved, methods sections often need a sanity check.</t>
  </si>
  <si>
    <t>Threaten to withdraw names from the paper and support if they don't.</t>
  </si>
  <si>
    <t>It's up to the user to deal with their data.</t>
  </si>
  <si>
    <t>Correct experimental design - choice of fluorophores. correct balance of excitation beam and photomultiplier power.</t>
  </si>
  <si>
    <t>The rapidly changing technology and finding the balance between being at the forefront with instrumentation whilst not buying new tech that turns out to be a dead end.</t>
  </si>
  <si>
    <t>To ensure they analyse, display and interpret data correctly. Acknowledgements increase our likelihood of receiving funding.</t>
  </si>
  <si>
    <t>Recommend. Ultimately it is down to them.</t>
  </si>
  <si>
    <t>Standardised training, and quality control on data generated in the facility.</t>
  </si>
  <si>
    <t>Users often just want data. it is hard to engage in these sorts of endeavours - as experimental design/sample prep/analysis is all outside of the facility. We don't see most user data and other then providing of guidance and advice, are not involved in the work. We can recommend best practice, but it is ultimately down to the user if they follow it.</t>
  </si>
  <si>
    <t>We do not normally require co-authorship on publications. However, if we provide fundamental knowledge that contributes to the understanding of data generated using the core facility, then this is done</t>
  </si>
  <si>
    <t>potentially so that data do not get lost and/or orphaned</t>
  </si>
  <si>
    <t>Precision and accuracy</t>
  </si>
  <si>
    <t>instruments maintenance and update</t>
  </si>
  <si>
    <t>image analysis support</t>
  </si>
  <si>
    <t>not necessarily as contributing author (depending on volume  of collaboration) but CF should always be open to discussion, counselling and contribution</t>
  </si>
  <si>
    <t>to facilitate communication, collaboration with the users. Standardisation</t>
  </si>
  <si>
    <t>standardisation of experimental procedure
standardisation of sample preparation
randomization of samples
sample size calculation, biometric planing (statistic software)
experimenter blinding
data analysis to be controlled by a third p
availability of all raw and analyzed data
report writing</t>
  </si>
  <si>
    <t>data management plan</t>
  </si>
  <si>
    <t>not enough ressource (staff and financial)</t>
  </si>
  <si>
    <t>To ensure all areas of our speciality are correct</t>
  </si>
  <si>
    <t>The insitute has one but not specific to our core facility</t>
  </si>
  <si>
    <t>Quality control and improvement processes
SOP's and Training records
Controls for all staining</t>
  </si>
  <si>
    <t>All of the above</t>
  </si>
  <si>
    <t>More staff to allow time for development/ improvements</t>
  </si>
  <si>
    <t>Increasing workload without sufficient resources (esp staff)</t>
  </si>
  <si>
    <t>standardized metadata with every dataset to describe experimental procedure</t>
  </si>
  <si>
    <t>more/better information on sample quality, sample preparation, sample processing and data qc pipelines</t>
  </si>
  <si>
    <t>better documentation of data management, if standardized</t>
  </si>
  <si>
    <t>SOPs, templates for documentation, introduction of project management</t>
  </si>
  <si>
    <t>documented and standardized processes, audits to see if standards are followed</t>
  </si>
  <si>
    <t>professional project management</t>
  </si>
  <si>
    <t>sustainability, lack of resoureces (personal, investment)</t>
  </si>
  <si>
    <t>Collaboration with journals on this regard would be fundamental for a step change</t>
  </si>
  <si>
    <t>Periodical reminders to notify about publications in preparation</t>
  </si>
  <si>
    <t>Quality control is increasingly important in the microscope community, first steps are taken to include many instrument parameters in the acquisition data with the collaboration of manufacturers</t>
  </si>
  <si>
    <t>A career perspective for research professionals in facility would allow to attract more people</t>
  </si>
  <si>
    <t>Cultural change about the above</t>
  </si>
  <si>
    <t>Managing the diversity of projects and samples and the wide range of abilities of users</t>
  </si>
  <si>
    <t>We are the experts - it is obvious that this would help in the interpretation of data and writing of papers. It is ESSENTIAL for the M&amp;M section!</t>
  </si>
  <si>
    <t>They don't need much encouragement. Simply stating that what we provide is the best way to write it/most accurate way to write it is enough</t>
  </si>
  <si>
    <t>We are in the process of generating this after changing out LIMS system</t>
  </si>
  <si>
    <t>Interaction and conversation with other leaders in the field. We also put a lot of effort into method development</t>
  </si>
  <si>
    <t>Researchers understanding the importance of experimental design - most notably sample prep and the importance of replicates for statistical power</t>
  </si>
  <si>
    <t>Workload - we either need more staff or a realisation from group leaders and staff at our institute that should this not be addressed, waiting times will balloon.</t>
  </si>
  <si>
    <t>Demand management and making people understand that 'that thing they just saw in a Nature publication done in some other place' simply cannot be implemented here due to the workload and pressure we are subject to.</t>
  </si>
  <si>
    <t>Core facility staff know which technical information is important for the manuscript, and how data and figures should be presented. Including field experts also lends credibility to the presented data.</t>
  </si>
  <si>
    <t>They understand and appreciate our knowledge of our field.</t>
  </si>
  <si>
    <t>R, machine learning, data science</t>
  </si>
  <si>
    <t>Good sample prep. Good experimental design. Good sample sizes.</t>
  </si>
  <si>
    <t>Cross training all staff members. Train users to the point wheret hey can run their own experiments and we advise and troubleshoot.</t>
  </si>
  <si>
    <t>Staff time is in short supply to cross train.</t>
  </si>
  <si>
    <t>The facility staff usually have a better understanding of the techniques and method used in a project</t>
  </si>
  <si>
    <t>In terms of publication, experimental design, data analysis or interpretation, we don't do anything special to encourage our end-user to take our advice or follow our guidance. They are free. However, we do not support publications reporting data we disagree with.</t>
  </si>
  <si>
    <t>This would improve the general management of our facility</t>
  </si>
  <si>
    <t>Experimented staff, state of the art equipment</t>
  </si>
  <si>
    <t>Make technologies more accessible in terms of cost</t>
  </si>
  <si>
    <t>shortage of funding</t>
  </si>
  <si>
    <t>To ensure accuracy, particularly with methods</t>
  </si>
  <si>
    <t>Probably not enough!</t>
  </si>
  <si>
    <t>Data management is the researchers responsibility.</t>
  </si>
  <si>
    <t>Staff support and training of users</t>
  </si>
  <si>
    <t>Increased staff</t>
  </si>
  <si>
    <t>Securing funding</t>
  </si>
  <si>
    <t>Shared ELN would help.  User openess and seeing a collaboration with a facility as a collaboration rather than a service is also important</t>
  </si>
  <si>
    <t>highly experienced and engaged staff and users who are willing to treat interactions with a facility as a collaboration rather than a service where each side is open  and benefits from the others specialist knowledge</t>
  </si>
  <si>
    <t>more staff, secure finances and being  thought of as equals with labs rather than a fee for service operation</t>
  </si>
  <si>
    <t>Brexit</t>
  </si>
  <si>
    <t>own experience approve this</t>
  </si>
  <si>
    <t>We are involved in all steps of the sample processing, experimental design and data analysis. Therefore we have enough time to built a trust between CF and user.</t>
  </si>
  <si>
    <t>software tool for the ordering of services where all the communication, protocols, experimental plan and results are archived, and accessible in the secured space only to relevant users</t>
  </si>
  <si>
    <t>processing workflows for data analyis needs to be automatized</t>
  </si>
  <si>
    <t>a huge number of orders and samples</t>
  </si>
  <si>
    <t>Generally they do involve us here. It is important so we can check that interpretation is correct, for example so that artefacts of preparation are not misinterpreted in their results, but also to use our knowledge and experience so we can work together to make a publication of high quality - we are scientists too!</t>
  </si>
  <si>
    <t>Talk to them, offer help and support in discussing their findings, try to get involved and show interest such as attending their seminars and listening about their applications/samples when teaching them, make suggestions for improvements on experimental design etc.</t>
  </si>
  <si>
    <t>It's not a written protocol, but we do have a general guideline which we mention when teaching users and this is referred to on our intranet pages. Helps with data management and grant proposals</t>
  </si>
  <si>
    <t>Good staff (but we have the bare minimum staff necessary -things could improve with more)!</t>
  </si>
  <si>
    <t>Staffing.</t>
  </si>
  <si>
    <t>Administrative burden is getting too much.</t>
  </si>
  <si>
    <t>Continuous learning and training of the Core Staff</t>
  </si>
  <si>
    <t>Trying to get all articles from users to detect abnormal or non-correct data.</t>
  </si>
  <si>
    <t>Users being more communicative and also users being more prone to share their drafts to correct flow section.</t>
  </si>
  <si>
    <t>User personality, willingness to be helped.</t>
  </si>
  <si>
    <t>Would like some more automated output to users on exactly what we have done. Currently we supply info to users on methods used at data delivery, but often asked by users writing papers for more info, which costs time.</t>
  </si>
  <si>
    <t>I do not think we should be involved in this step. Again, I  think this is a user's responsibility - we of course have an obligation to provide info to complete their publication, but I have no interest in using my time helping them write their methods sections!</t>
  </si>
  <si>
    <t>I don't think they need encouragement - it's rather a necessity that they have to report  on procedures performed.</t>
  </si>
  <si>
    <t>No strong opinion here, but I think the users should be responsible for the use and storage of the data we generate on their behalf. I have no wish to be their nanny.</t>
  </si>
  <si>
    <t>We use a LIMS system (Clarity from Genologics / Illumina).</t>
  </si>
  <si>
    <t>Trustworthy, reliable, intellingent, dilligent and skilled employees.</t>
  </si>
  <si>
    <t>Another pair of lab hands.</t>
  </si>
  <si>
    <t>Increased bureaocracy. eg. ever-greater reporting requirements sapping time away from real progress.
Low-budget commercial vendors.</t>
  </si>
  <si>
    <t>Some people are not able to interpret the images correctly.</t>
  </si>
  <si>
    <t>Currently not much</t>
  </si>
  <si>
    <t>Not sure what data management plan would mean in our case</t>
  </si>
  <si>
    <t>Getting more personnel and getting state-of-the-art equipment.</t>
  </si>
  <si>
    <t>See above.</t>
  </si>
  <si>
    <t>Not enough support from the head of department and faculty.</t>
  </si>
  <si>
    <t>I tell them that this is crucial for your analysis and results, or that I strongly recommend something. I sometimes list things as compulsory training material.</t>
  </si>
  <si>
    <t>Instrument maintenance &amp; QC and giving researchers tips of how to improve their experiments (including controls, adjusting instruments etc)</t>
  </si>
  <si>
    <t>Funding for personnel salaries. Standardized training and teaching for users.</t>
  </si>
  <si>
    <t>Funding is always an issue.</t>
  </si>
  <si>
    <t>It allows for an additional expert filtering of the results before publication in case it is missing in the group of publishing authors.</t>
  </si>
  <si>
    <t>Not sure what this question is about. What information?</t>
  </si>
  <si>
    <t>It is easy to generate high amount of data but proper storage is a challenge.</t>
  </si>
  <si>
    <t>Personal knowledge and experience of laboratory technicians.</t>
  </si>
  <si>
    <t>Bioinformatics and dedicated personnel.</t>
  </si>
  <si>
    <t>Diversity of research projects and bridging the biology with technology.</t>
  </si>
  <si>
    <t>There will be less mistakes in interpretation of results and more robust analysis of data. Even new data may come to surface if an expert eye is looking at the data and took part in the whole process.</t>
  </si>
  <si>
    <t>Nothing special</t>
  </si>
  <si>
    <t>We are not responsible for data management</t>
  </si>
  <si>
    <t>State-of-the-art equipment</t>
  </si>
  <si>
    <t>Stable financial support for upgrades, maintenance and new equipment purchase</t>
  </si>
  <si>
    <t>To secure stable financial support for upgrades, maintenance and new equipment purchase</t>
  </si>
  <si>
    <t>Experimental data on protein production can be crucial, but is not always included.</t>
  </si>
  <si>
    <t>Implementation of methods for quality control of proteins</t>
  </si>
  <si>
    <t>If the users obtain poor quality of samples, next time they will follow our recommendations.</t>
  </si>
  <si>
    <t>We always check the RNA/DNA quality. In case of NGS analysis the specific read number is a useful parameter.</t>
  </si>
  <si>
    <t>We still have to improve the bioinformatic service and capacity because many users are fail to work with the raw genomic data.</t>
  </si>
  <si>
    <t>The platforms and methods are fastly changing, it is difficult to select the best technologies. Unfortunately in our country the warrantly contracts are extremly expensive for the NGS instruments.</t>
  </si>
  <si>
    <t>Sometimes the users have no idea on the nature of the proteomics data. In this way they might wright non relevant information into the publication or they might miss important points. The same might be true for the proper presentation of data. The core facility deals on a daily basis with these type of data and I think they could properly write the Material and methods and also are able to give the required details regarding data presentation. If the core facility would write or review the data presented in manuscripts the scientific community could have access to more reliable and straightforward data and statements.</t>
  </si>
  <si>
    <t>Talk with them.</t>
  </si>
  <si>
    <t>I think this is extremely important. I just did not have time to do that.</t>
  </si>
  <si>
    <t>We would need more experienced research staff to decrease the workload. I believe that we can provide good quality data, but the timeline has to be improved.</t>
  </si>
  <si>
    <t>To enroll more  experienced researchers.</t>
  </si>
  <si>
    <t>To improve communication with researchers
To show for potential users the benefits and drawbacks of each technique
To have more experienced research staff at the core facility who can handle samples proficiently and in a short time
To have better quality control</t>
  </si>
  <si>
    <t>I try and make sure everything is done correctly but I would not know if this was not the case</t>
  </si>
  <si>
    <t>Talk to them</t>
  </si>
  <si>
    <t>Instrumentation</t>
  </si>
  <si>
    <t>we know the details</t>
  </si>
  <si>
    <t>It is customary to add the details of the core facility to the methods section as well as to acknowledge the core facility services in the acknowledgements.</t>
  </si>
  <si>
    <t>We are maintaining the equipment in good working condition, and running calibrations and standards every single time before analysis.</t>
  </si>
  <si>
    <t>Place of the facility is within another laboratory. A specific lab space for the Facility would improve quality.</t>
  </si>
  <si>
    <t>Allocation of space is difficult, and the amount of labspace with high rent is constantly reduced to earn cost savings.</t>
  </si>
  <si>
    <t>Scientists at the core facility usually are more skillful in writing publications</t>
  </si>
  <si>
    <t>I'm not sure. Every research group has own data management plan and it would be a tremendous job to unify them all. From the other hand, research groups might not be willing to reveal their information publicly.</t>
  </si>
  <si>
    <t>The quality of the sample (garbage in, garbage out :-) )</t>
  </si>
  <si>
    <t>Being part of publication is holding responsibility for the work done. Neither the researchers, inclusively the PI's are in a place to take responsibility for work with technologies that they do not understand.</t>
  </si>
  <si>
    <t>Transparency
Reproducibility</t>
  </si>
  <si>
    <t>Stronger education of users in mathematics and data analysis.</t>
  </si>
  <si>
    <t>New researchers arrive with decreasing levels of know-how in data analysis.</t>
  </si>
  <si>
    <t>A tool for easy comparisons across datasets, e.g. a storage platform that would allow bringing together results automatically from datasets that share specific annotation terms, e.g. identical cell line, the same lab or lab member. So far this is done manually and usually takes time, especially when datasets are separated in time.</t>
  </si>
  <si>
    <t>Defining standard processes and operational schemes.</t>
  </si>
  <si>
    <t>combination of experienced tehcnicians, standard procedures and training</t>
  </si>
  <si>
    <t>supporting information system for management of user projects</t>
  </si>
  <si>
    <t>Expertise , equipement, enough staff</t>
  </si>
  <si>
    <t>Funding,</t>
  </si>
  <si>
    <t>stay with state-of-the art technologies</t>
  </si>
  <si>
    <t>type</t>
  </si>
  <si>
    <t>who works</t>
  </si>
  <si>
    <t>employee</t>
  </si>
  <si>
    <r>
      <t xml:space="preserve">It works </t>
    </r>
    <r>
      <rPr>
        <sz val="10"/>
        <color rgb="FFFF0000"/>
        <rFont val="Arial"/>
        <family val="2"/>
      </rPr>
      <t>well</t>
    </r>
    <r>
      <rPr>
        <sz val="10"/>
        <rFont val="Arial"/>
        <family val="2"/>
        <charset val="1"/>
      </rPr>
      <t xml:space="preserve"> for users who are already using the facility</t>
    </r>
  </si>
  <si>
    <r>
      <rPr>
        <sz val="10"/>
        <color rgb="FFFF0000"/>
        <rFont val="Arial"/>
        <family val="2"/>
      </rPr>
      <t>not ideal</t>
    </r>
    <r>
      <rPr>
        <sz val="10"/>
        <rFont val="Arial"/>
        <family val="2"/>
        <charset val="1"/>
      </rPr>
      <t xml:space="preserve"> for the applications at the facility</t>
    </r>
  </si>
  <si>
    <r>
      <t xml:space="preserve">It is </t>
    </r>
    <r>
      <rPr>
        <sz val="10"/>
        <color rgb="FFFF0000"/>
        <rFont val="Arial"/>
        <family val="2"/>
      </rPr>
      <t>perfect</t>
    </r>
    <r>
      <rPr>
        <sz val="10"/>
        <rFont val="Arial"/>
        <family val="2"/>
        <charset val="1"/>
      </rPr>
      <t xml:space="preserve"> for booking appointments or time on the instruments. The first contact and meeting for sort projects still need to be done by phone or email.</t>
    </r>
  </si>
  <si>
    <r>
      <t xml:space="preserve">Works </t>
    </r>
    <r>
      <rPr>
        <sz val="10"/>
        <color rgb="FFFF0000"/>
        <rFont val="Arial"/>
        <family val="2"/>
      </rPr>
      <t>well</t>
    </r>
    <r>
      <rPr>
        <sz val="10"/>
        <rFont val="Arial"/>
        <family val="2"/>
        <charset val="1"/>
      </rPr>
      <t xml:space="preserve"> but is sometimes </t>
    </r>
    <r>
      <rPr>
        <sz val="10"/>
        <color rgb="FFFF0000"/>
        <rFont val="Arial"/>
        <family val="2"/>
      </rPr>
      <t>a bit slow</t>
    </r>
  </si>
  <si>
    <r>
      <t xml:space="preserve">Even though I've set up a Slack page to report instrument issues - </t>
    </r>
    <r>
      <rPr>
        <sz val="10"/>
        <color rgb="FFFF0000"/>
        <rFont val="Arial"/>
        <family val="2"/>
      </rPr>
      <t>users are resistant to using it</t>
    </r>
    <r>
      <rPr>
        <sz val="10"/>
        <rFont val="Arial"/>
        <family val="2"/>
        <charset val="1"/>
      </rPr>
      <t>. They seem to prefer email or phone call - which i am less likely to respond to (i don't check emails out of hours or answer my phone - whereas instant messenger i am much more likely to respond to - it's also easier to fix issues over instant messenger as opposed to email, especially whilst sorting!).</t>
    </r>
  </si>
  <si>
    <r>
      <t xml:space="preserve">This is </t>
    </r>
    <r>
      <rPr>
        <sz val="10"/>
        <color rgb="FFFF0000"/>
        <rFont val="Arial"/>
        <family val="2"/>
      </rPr>
      <t>fine</t>
    </r>
    <r>
      <rPr>
        <sz val="10"/>
        <rFont val="Arial"/>
        <family val="2"/>
        <charset val="1"/>
      </rPr>
      <t xml:space="preserve"> for me</t>
    </r>
  </si>
  <si>
    <r>
      <rPr>
        <sz val="10"/>
        <color rgb="FFFF0000"/>
        <rFont val="Arial"/>
        <family val="2"/>
      </rPr>
      <t>good</t>
    </r>
    <r>
      <rPr>
        <sz val="10"/>
        <rFont val="Arial"/>
        <family val="2"/>
        <charset val="1"/>
      </rPr>
      <t xml:space="preserve"> but </t>
    </r>
    <r>
      <rPr>
        <sz val="10"/>
        <color rgb="FFFF0000"/>
        <rFont val="Arial"/>
        <family val="2"/>
      </rPr>
      <t>insufficient</t>
    </r>
  </si>
  <si>
    <r>
      <t xml:space="preserve">it is </t>
    </r>
    <r>
      <rPr>
        <sz val="10"/>
        <color rgb="FFFF0000"/>
        <rFont val="Arial"/>
        <family val="2"/>
      </rPr>
      <t>important</t>
    </r>
    <r>
      <rPr>
        <sz val="10"/>
        <rFont val="Arial"/>
        <family val="2"/>
        <charset val="1"/>
      </rPr>
      <t>. As always there are some steps which would be nice to improve.</t>
    </r>
  </si>
  <si>
    <r>
      <rPr>
        <sz val="10"/>
        <color rgb="FFFF0000"/>
        <rFont val="Arial"/>
        <family val="2"/>
      </rPr>
      <t>Good, but</t>
    </r>
    <r>
      <rPr>
        <sz val="10"/>
        <rFont val="Arial"/>
        <family val="2"/>
        <charset val="1"/>
      </rPr>
      <t xml:space="preserve"> not excellent</t>
    </r>
  </si>
  <si>
    <r>
      <t xml:space="preserve">MS-SharePoint, </t>
    </r>
    <r>
      <rPr>
        <sz val="10"/>
        <color rgb="FF00B0F0"/>
        <rFont val="Arial"/>
        <family val="2"/>
      </rPr>
      <t>PPMS</t>
    </r>
  </si>
  <si>
    <r>
      <t xml:space="preserve">Sharepoint is new and not set up yet for our core to maximize use. To date </t>
    </r>
    <r>
      <rPr>
        <sz val="10"/>
        <color rgb="FFFF0000"/>
        <rFont val="Arial"/>
        <family val="2"/>
      </rPr>
      <t>PPMS</t>
    </r>
    <r>
      <rPr>
        <sz val="10"/>
        <rFont val="Arial"/>
        <family val="2"/>
        <charset val="1"/>
      </rPr>
      <t xml:space="preserve"> and outlook has been the most used electronic communication system.</t>
    </r>
  </si>
  <si>
    <r>
      <rPr>
        <sz val="10"/>
        <color rgb="FFFF0000"/>
        <rFont val="Arial"/>
        <family val="2"/>
      </rPr>
      <t>Communication is almost a full-time job</t>
    </r>
    <r>
      <rPr>
        <sz val="10"/>
        <rFont val="Arial"/>
        <family val="2"/>
        <charset val="1"/>
      </rPr>
      <t xml:space="preserve">.  It falls apart in 2 different aspects: </t>
    </r>
    <r>
      <rPr>
        <sz val="10"/>
        <color rgb="FFFF0000"/>
        <rFont val="Arial"/>
        <family val="2"/>
      </rPr>
      <t>practical/organization issues</t>
    </r>
    <r>
      <rPr>
        <sz val="10"/>
        <rFont val="Arial"/>
        <family val="2"/>
        <charset val="1"/>
      </rPr>
      <t xml:space="preserve"> and </t>
    </r>
    <r>
      <rPr>
        <sz val="10"/>
        <color rgb="FFFF0000"/>
        <rFont val="Arial"/>
        <family val="2"/>
      </rPr>
      <t>scientific/expert advice</t>
    </r>
    <r>
      <rPr>
        <sz val="10"/>
        <rFont val="Arial"/>
        <family val="2"/>
        <charset val="1"/>
      </rPr>
      <t>. Ideally those can be covered by different people or teams. The expert advice takes most time and is basically a consultancy job. Myself and many core facilities manager colleagues have to care of both types of communication which makes the job rather heavy. It feels like running a small business where you are both the contact for scientific questions and for billing related issues. Most institutes should provide much more support to their core facilities and setup more professional structures (a core facility institute?).</t>
    </r>
  </si>
  <si>
    <t>We have a central storage system</t>
  </si>
  <si>
    <t>No.  They should be a centralised storage facility.</t>
  </si>
  <si>
    <t>This is the best solution</t>
  </si>
  <si>
    <t>We have a set directory structure for all our projects and the analysis scripts are put in this folder and so all the data and analysis for this project are located in the one place and are easy to find and re-run.</t>
  </si>
  <si>
    <t>Scientists need to get better at documenting things.  There is a mixture of how well they maintain records.</t>
  </si>
  <si>
    <t>The core facilities are the people who produced the data and should at least be acknowledged as it is important to have reproducible results.</t>
  </si>
  <si>
    <t>Ensuring that all the scripts, these are mostly written in R are available with the datasets.</t>
  </si>
  <si>
    <t>Improving our pipelines for the "simple" analysis.</t>
  </si>
  <si>
    <t>Too much work.</t>
  </si>
  <si>
    <t>our own ordering system</t>
  </si>
  <si>
    <t>we are happy with that, most of users, too</t>
  </si>
  <si>
    <t>usually not (full service mode), only how to read results, in long-term cooperations training for using of instrumentation is possible 
for question below
important is to learn users how to interpret and use our results</t>
  </si>
  <si>
    <t>discussion about experimental design, explanation about result reports, significance, reliability of the results, recommendation of follow-up bioinformatic evaluation</t>
  </si>
  <si>
    <t>not usually, only by request</t>
  </si>
  <si>
    <t>we provide statistics dealing with our MS/MS data</t>
  </si>
  <si>
    <t>we use depository PRIDE, the raw data are liked to the published stude, not directly to individual pictures</t>
  </si>
  <si>
    <t>correct description the applied methods, it helps with interpretation of the proteomic data</t>
  </si>
  <si>
    <t>they usually ask for it</t>
  </si>
  <si>
    <t>Knime/docker based workflows for processing data, developed in our lab</t>
  </si>
  <si>
    <t>up-to-date instrumentation, stable experienced staff, advanced open source tools for data processing</t>
  </si>
  <si>
    <t>to increase throughput in our LC-MS/MS operation</t>
  </si>
  <si>
    <t>I hate word "challanges", we just need to work to our best to provide maximum information to our users about their samples to help them move on in their studies</t>
  </si>
  <si>
    <t>Communication face-to-face is efficient, communication trough platforms more easily resulting in misunderstanding</t>
  </si>
  <si>
    <t>good quality of the sample, understanding the principles, precision, safety</t>
  </si>
  <si>
    <t>The details may not be clear for the user</t>
  </si>
  <si>
    <t>anyway which is relevant to the up and coming scientists where email is not impactful</t>
  </si>
  <si>
    <t>ok, but concerns about being on the cloud</t>
  </si>
  <si>
    <t>testing competency</t>
  </si>
  <si>
    <t>not really, as long as I could have a private/ secured communication with each individual collaborators</t>
  </si>
  <si>
    <t>request the user to have more than 3 biological replicates per conditions. Discuss with them and ask them to keep consistent with sample prep between batches</t>
  </si>
  <si>
    <t>Discuss with them after sending the data and help them with figures they need  for  publication</t>
  </si>
  <si>
    <t>RedMine</t>
  </si>
  <si>
    <t>We adapted the software to our needs.</t>
  </si>
  <si>
    <t>Occasional (2/year) hands_on training</t>
  </si>
  <si>
    <t>Improves users' background in genomic technologies. Helps them to perform "bettter" experiments.</t>
  </si>
  <si>
    <t>project launch meeting, written protocols, face-to-face/phone discussions</t>
  </si>
  <si>
    <t>GEO/EBI</t>
  </si>
  <si>
    <t>facility sftp server</t>
  </si>
  <si>
    <t>Occasional (1/year) workshops on statistical analysis of RNAseq/scRNAseq data</t>
  </si>
  <si>
    <t>Yes in case the facility performed the analysis. Otherwise, it's the team's responsability.</t>
  </si>
  <si>
    <t>more accurate reporting of technical information.</t>
  </si>
  <si>
    <t>we make the information as easily accesible as we reasonnably can.</t>
  </si>
  <si>
    <t>Genomics is in a better position than let say imaging as we have plenty of public repositories where to store the data: SRA, GEO, EBI... The genomics cores then have not to care about data once they are uploaded to such repositories. Should we write a data management plan, it would be quite short; we provide the data to the user through our sftp server and upload them to the preferred repository.</t>
  </si>
  <si>
    <t>- Exerimental design. It should be tailored to the biological question and the statistical analysis to be performed. Basic, but critical and often overlooked.
- ISO9001 in place to manage technical problems</t>
  </si>
  <si>
    <t>1- Turnaround time. We accept as many projects as we can manage with the available staff. We are occasionally too optimistic.
2- We work with research teams from various fields, from biomedical sciences to biodiversity, agronomic sciences and biotech. Sample quality is an issue for those samples outside the biomedical field.</t>
  </si>
  <si>
    <t>1- Staffing is not easy in the French academic sector.
2- We can't do much to improve the situation as each species pauses specific challenges in sample preparation (outside of the biomedical field). The research teams master and run the specific protocols and I can't imagine the core staff efficiently runing so many and diverse protocols. Anyway, when samples come from very distant locations (Africa, South America...) we have to work with what we get as sampling campaigns are organized at best once a year. Outsourcing is not an opton as most NGS companies refuse working with sub-optimal samples.</t>
  </si>
  <si>
    <t>To provide knowledge to the users in becoming independent later when using the particular technique.</t>
  </si>
  <si>
    <t>We have standard operation procedures and working instructions.</t>
  </si>
  <si>
    <t>We provide relevant and detailed information regarding the procedures.</t>
  </si>
  <si>
    <t>SOPs and working instructions and the ISO quality management system.</t>
  </si>
  <si>
    <t>Internal funding for maintenance and equipment upgrade.</t>
  </si>
  <si>
    <t>To be visible for the relevant researchers, promote our services.</t>
  </si>
  <si>
    <t>MicroCT and Structural Analysis</t>
  </si>
  <si>
    <t>around 3 TB</t>
  </si>
  <si>
    <t>Skype, Polybox</t>
  </si>
  <si>
    <t>Often technikal prblems concerning the firewall settings in the hospital enviroment</t>
  </si>
  <si>
    <t>Quality standards and individualized workflows</t>
  </si>
  <si>
    <t>Proper statistical analysis, sample size, specimen selection</t>
  </si>
  <si>
    <t>4 eyes control and discussions with the user</t>
  </si>
  <si>
    <t>the experts on the analysis perfomed by the core facility are the staff of the core facility. Further state of the art publications are often known to the staff of the core facility.</t>
  </si>
  <si>
    <t>Double storage systems, writtens sop's, a simple but effective qm system for measurements, a individualized basic training concept for new members depending on their projekt and/or working field</t>
  </si>
  <si>
    <t>More staff more funding</t>
  </si>
  <si>
    <t>Because of the low staff we fall back behind other research facilitys therefore we need to improve funding and staff beside the routine daily work</t>
  </si>
  <si>
    <t>not sufficient staff</t>
  </si>
  <si>
    <t>Understanding the principle of FACS machines.</t>
  </si>
  <si>
    <t>in house developed</t>
  </si>
  <si>
    <t>very good system to provide Data</t>
  </si>
  <si>
    <t>discussing protocols and data analysis</t>
  </si>
  <si>
    <t>discussion of data and searching for alternatives if an experiment failed</t>
  </si>
  <si>
    <t>Rechenzentrum</t>
  </si>
  <si>
    <t>Discussion with the User</t>
  </si>
  <si>
    <t>in house developed software</t>
  </si>
  <si>
    <t>if requested, but not in a way that they are able to perform their experiments on their own</t>
  </si>
  <si>
    <t>give the users the background to understand how to proceed with the animals generated in our facility and in addition the caretakers are trained</t>
  </si>
  <si>
    <t>We generate mice and therefore have troubles to answer some of your questions. Our raw data are preferentially mice.</t>
  </si>
  <si>
    <t>establishing new methods, better equipment</t>
  </si>
  <si>
    <t>healthy mice</t>
  </si>
  <si>
    <t>additional staff, better mouse supply</t>
  </si>
  <si>
    <t>faculty afraid of admitting that animal research is performed</t>
  </si>
  <si>
    <t>We prefer face-to-face meetings to discuss projects in detail. 
In this way, users can profit best from our year-long experience and optimize their experiments to ensure optimal data quality.</t>
  </si>
  <si>
    <t>Training is only provide on a theoretical basis, so that the users can understand the potential and also limitations of the techniques we use.
According to our experience, "user prepared samples" are often insuffiient in quality
All sample prep and instrumental analysis is performed by expert technical staff and scientific core facility personnel.
We also provide detailed guidance how to evaluate and interpret the results.</t>
  </si>
  <si>
    <t>LTO7 Tapes</t>
  </si>
  <si>
    <t>very rarely</t>
  </si>
  <si>
    <t>typically, no raw data transfer</t>
  </si>
  <si>
    <t>as dedicated software is required for raw data access, raw data typically stay on our servers (except upload to public repositories for publication)</t>
  </si>
  <si>
    <t>raw data are uploaded to a public repository (typically: Proteomexchange) upon publication with a complete experimental record.</t>
  </si>
  <si>
    <t>avoid misinterpretation of data, quality assurance</t>
  </si>
  <si>
    <t>might make sense to formally document our standards</t>
  </si>
  <si>
    <t>QC,QC,QC - on all aspects of the workflow from sample prep, to instrument performance, to data evaluation procedures.</t>
  </si>
  <si>
    <t>more personnel, stable funding, regular upgrade of instrumentation</t>
  </si>
  <si>
    <t>specialized  automation and communication software / environment</t>
  </si>
  <si>
    <t>Slack, custom database - robot solutions</t>
  </si>
  <si>
    <t>High maintenance - but highly flexible</t>
  </si>
  <si>
    <t>Scientific project related
technical sound training to achieve best scientific results
as basic as possible regarding the  hardware</t>
  </si>
  <si>
    <t>Guides to check quality
Personal discussion regarding data
Lectures</t>
  </si>
  <si>
    <t>electronic lab books as standards within the organisation
electronic tools (bar codes and reader, etc) to allow seamless documentation about material</t>
  </si>
  <si>
    <t>Raising awareness during personal contacts and trainings
written information
guidelines</t>
  </si>
  <si>
    <t>Training / education of staff
Cutting edge equiment</t>
  </si>
  <si>
    <t>staff vs supported technique balance</t>
  </si>
  <si>
    <t>keeping staff at cutting edge and motivated on the job</t>
  </si>
  <si>
    <t>Platform for sharing best practice for facility-user and user-user</t>
  </si>
  <si>
    <t>Too many different pieces of software used by different groups so slow to take up another tool. Ideally there would be one tool used across many different areas of the university.</t>
  </si>
  <si>
    <t>Adherence to protocols</t>
  </si>
  <si>
    <t>Advice to individuals and workshops on best practice</t>
  </si>
  <si>
    <t>Currently the CF but soon will be the University</t>
  </si>
  <si>
    <t>I have previously considered that we should store the data but the volumes are getting that great that we need professional/institutional level support</t>
  </si>
  <si>
    <t>Current solution</t>
  </si>
  <si>
    <t>Imminent solution</t>
  </si>
  <si>
    <t>Partial solution - we still keep internally</t>
  </si>
  <si>
    <t>Ideally data does not leave it's storage location</t>
  </si>
  <si>
    <t>Training is provided individually or in small groups</t>
  </si>
  <si>
    <t>We have our own informatition and contribute to the local informatics community. Key issue moving forward is that further data analysis is required for data interpretation and integration and so the skill sets required are increasing.</t>
  </si>
  <si>
    <t>Data acquisition is checked using regular standards. Data analysis provides internal checks for precision and reproducibility. Current aim is to use QC to describe data not condemn it - i.e. poor data can still be useful in a quasi manner but it needs to be identified as such.</t>
  </si>
  <si>
    <t>Metadata is critical and poorly managed at the moment. Ideally electronic lab notebooks should be used and connected to a central metadata database that is also linked with data storage.</t>
  </si>
  <si>
    <t>Too many people make up their experimental section or copy and paste it from out of date publications</t>
  </si>
  <si>
    <t>Not enough</t>
  </si>
  <si>
    <t>Plate based sample preparation systems that are very robust and increase precision and robustness</t>
  </si>
  <si>
    <t>High quality staff running well maintained machines providing customers with excellent advice before, during and after their experiments.</t>
  </si>
  <si>
    <t>Managing the flow of samples and information</t>
  </si>
  <si>
    <t>Not enough resources to perform to the level that people require in the face of a very rapid period of change. You don't get enough time to finalise a structure before it needs adjusting again. Prioritisation is key but definitions of success can be vague and changing.</t>
  </si>
  <si>
    <t>ppms</t>
  </si>
  <si>
    <t>ok</t>
  </si>
  <si>
    <t>One to one and time</t>
  </si>
  <si>
    <t>usually involves controls study planning &amp; design</t>
  </si>
  <si>
    <t>why not have a central archive...</t>
  </si>
  <si>
    <t>depends on size of data</t>
  </si>
  <si>
    <t>yes but not by us.</t>
  </si>
  <si>
    <t>if requested</t>
  </si>
  <si>
    <t>but not by us</t>
  </si>
  <si>
    <t>I used to work in  GLP environment. If we worked to those standards... that would improve it dramatically</t>
  </si>
  <si>
    <t>1st we expect an acknowledgement. If we are being acknowledged then I would expect to be able to check the data that is being presented.</t>
  </si>
  <si>
    <t>Face to face &amp; via emial, depends on who they are and which research group they come from..</t>
  </si>
  <si>
    <t>nope</t>
  </si>
  <si>
    <t>it all starts with the sample quality. Good tissue sampling techniques, fixation and/or snap freezing. Good, well maintained, calibrated, equipment for tissue processing, sectioning and staining of the microscope slide. Use of controls, both positives and negatives..</t>
  </si>
  <si>
    <t>Staffing not enough staff and equipment funding... A planned 5 year budget to spend on lab equipment. Anything over £50K is capital but so much equipment is below that limit and there is no allocated budget.. So when something  breaks down there is no money... Funding bodies need to address this specifically for core facilities.. You can get money for something that is £200K but try getting it for £12K! No chance!!!</t>
  </si>
  <si>
    <t>Funding, leaving the EU. Staffing, training &amp; continuity of skill sets..</t>
  </si>
  <si>
    <t>it does not look like anything</t>
  </si>
  <si>
    <t>Both</t>
  </si>
  <si>
    <t>Cytometry A Repository</t>
  </si>
  <si>
    <t>Do a good job already</t>
  </si>
  <si>
    <t>Getting a 50 parameter instrument</t>
  </si>
  <si>
    <t>Genomics and 50 parameter analysis</t>
  </si>
  <si>
    <t>Making sure they underdstand how to set up an experiment and troubleshoot issues</t>
  </si>
  <si>
    <t>Face to face discussion on what they can do improve sample prep, acquisition and if required re-design the experiment to obtain good quality data</t>
  </si>
  <si>
    <t>Controls, FMO's Negative control, a staining control.</t>
  </si>
  <si>
    <t>sample prep and experiment design. Also machine set up and interpreting the data acquired.</t>
  </si>
  <si>
    <t>imaging</t>
  </si>
  <si>
    <t>the helpdesk software (Request Tracker, https://bestpractical.com/ we use primarily is really designed for IT helpdesks). Having actual conversations and tracking the conversation is quite difficult often.
Something like slack or trello, but easily used for 100's of 'one-off' conversations would be ideal.</t>
  </si>
  <si>
    <t>Request Tracker, https://bestpractical.com/, and the user interface of our LIMS (Clarity)</t>
  </si>
  <si>
    <t>Neither is perfect.</t>
  </si>
  <si>
    <t>We offer EDMs (experimental design meetings) once a week, they are bookable via a dedicated email and the user fills in information on a template document.
The meeting has representation from both our genomics and bioinformatics cores.</t>
  </si>
  <si>
    <t>ensuring the user is aware of multiple, often new, techniques. Understanding batch effects and good design of randomisation, including biological and technical replicates.</t>
  </si>
  <si>
    <t>Outside of dedicated ED meetings, we prefer users to meet with us directly. Any user can enter our core during core hours and chat with us about technical or sample aspects. 
I direct people away from email, questions via email are mostly lost in the inbox.</t>
  </si>
  <si>
    <t>depending on the project a user may request a variety of analysis from our bioinformatics core (dedicated statistician)</t>
  </si>
  <si>
    <t>Technically yes but not without input from the researcher. Each sample we sequence has a unique ID. Assuming the person who created the figure can be identified, it is highly likely we can match the figure to the raw data.</t>
  </si>
  <si>
    <t>New reagents, kits, and protocols are updated constantly. We know exactly what happened to the sample. Often you see publications where there is certainly a little bit of assuming what happened to a sample.</t>
  </si>
  <si>
    <t>consistency in our protocols, SOPs.</t>
  </si>
  <si>
    <t>Increased efficiency through easy to use lab automation and communication tools.</t>
  </si>
  <si>
    <t>The natural procession to genomics (sequencing mainly) becoming an increasingly outsourced commodity. As the cost of sequencing comes down, the number of samples needing processing increases by request - keeping the infrastructure compatible with the pace of sequencing is difficult.</t>
  </si>
  <si>
    <t>with more collaboration and understanding</t>
  </si>
  <si>
    <t>make the people aware about the limitations</t>
  </si>
  <si>
    <t>More awareness about the technique and therefore limitations</t>
  </si>
  <si>
    <t>more social media Twitter etc</t>
  </si>
  <si>
    <t>Data protection GPDR</t>
  </si>
  <si>
    <t>knowledge transfer, safety</t>
  </si>
  <si>
    <t>papers, technical manuals and training</t>
  </si>
  <si>
    <t>Review meeting to gather and read documentation prior to analysis on the instrument</t>
  </si>
  <si>
    <t>Core facility staff understand instrumentation and have excellent  insight of the technical specification of instruments and best operations conditions.  They also are more experience in handling different material sets and sample preparation.</t>
  </si>
  <si>
    <t>Give them a written exam after training</t>
  </si>
  <si>
    <t>Researchers should be aware of the policy on data management.</t>
  </si>
  <si>
    <t>Training and interaction with the principal investigator, Students, and core staff</t>
  </si>
  <si>
    <t>Staff resources, too few staff</t>
  </si>
  <si>
    <t>Staff  resources, employee contracts no permanent staff, the maintenance cost of instruments, no low term funding,</t>
  </si>
  <si>
    <t>Transcript</t>
  </si>
  <si>
    <t>I perform in vivo imaging, so I need to plan the entire experiment with the users (starting from the authorization process). Each experiment is different and requires a dedicated study and preparation, so I prefer to deal personally with the users.</t>
  </si>
  <si>
    <t>We plan togheter the experiments, starting from the correct number of animals and the correct number of groups to be included.</t>
  </si>
  <si>
    <t>Actually data are stored at the core facilitties external drive, but we are moving towards public repository</t>
  </si>
  <si>
    <t>All the personnel of the core facilities of my institute are researcher and we are always involved in the publication. The involvement of expert personnel helps the design of the experiments and the interpretation of the results.</t>
  </si>
  <si>
    <t>User recognise our expertise and they let themselves be guided</t>
  </si>
  <si>
    <t>Expert personnel of the core facilities, upgraded equipment</t>
  </si>
  <si>
    <t>We need an adeguate number of personnel 
 We also need the possibility to be upgraded by attending courses or conferences</t>
  </si>
  <si>
    <t>Standardization of protocol with other core facilities</t>
  </si>
  <si>
    <t>problems normally too specialized - other issues can be communicated via our standard channels</t>
  </si>
  <si>
    <t>applicative tests and optimization for the user's purpose</t>
  </si>
  <si>
    <t>we don't encourage somebody, who, as a scientist, may not have enough drive on his/her own</t>
  </si>
  <si>
    <t>time and experience</t>
  </si>
  <si>
    <t>increase head count</t>
  </si>
  <si>
    <t>no increase of head count</t>
  </si>
  <si>
    <t>For infrequent users or those staying for only a few months.</t>
  </si>
  <si>
    <t>Make sure the user follows the guidelines of the facility.</t>
  </si>
  <si>
    <t>file transfer system from the university</t>
  </si>
  <si>
    <t>external disk when the microscope computer is not connected to the network (old machines)</t>
  </si>
  <si>
    <t>Most of the data are analysed by the user. Only when the user ask for a staff member the facility get involved with data analysis.</t>
  </si>
  <si>
    <t>a digital data bank</t>
  </si>
  <si>
    <t>Facility staff should always get involved when writing a grant/manuscript.</t>
  </si>
  <si>
    <t>The proper settings of the microscope and image acquisition.</t>
  </si>
  <si>
    <t>Data management</t>
  </si>
  <si>
    <t>Updating old systems and integrating the current ones.</t>
  </si>
  <si>
    <t>know-hows : stem cell culture is very difficult</t>
  </si>
  <si>
    <t>we perform some genomic / RNAseq analyses. We collaborate with the bioinformatics core facility for thoses analyses.</t>
  </si>
  <si>
    <t>RNAseq =&gt; ENA</t>
  </si>
  <si>
    <t>Laser microdissection</t>
  </si>
  <si>
    <t>Micrographs of the excised material are taken by some users.</t>
  </si>
  <si>
    <t>After training, users are allowed to work independently at the laser micro dissection system.</t>
  </si>
  <si>
    <t>Making correct use of the laser microdissection setup and avoid damage of the setup by misuse.</t>
  </si>
  <si>
    <t>We discuss all possible ways with advantages and disadvantages on how to prepare the probes for laser microdissection. We build on our knowhow and try to transport this information to our new and existing users.</t>
  </si>
  <si>
    <t>OwnCloud Server</t>
  </si>
  <si>
    <t>I think, it is a general benefit for CF users to involve expert CF staff when publishing data obtained by the help of the CF.</t>
  </si>
  <si>
    <t>Our protocols are built on our expertise. This expertise of constantly growing as users come with new problems that we try to solve with them. We always ask our users to provide us with their solutions and usually add these to existing protocols.</t>
  </si>
  <si>
    <t>- highly trained CF personal
- continuous expertise and support by scientific staff in the CF through permanent job contracts
- state of the art equipment
- sufficient budget for repair, replacement etc.</t>
  </si>
  <si>
    <t>- get own rooms for the CF (the current rooms are provided by the hosting institute)
- get the scientific CF staff paid by the faculty (currently paid by the hosting institute)</t>
  </si>
  <si>
    <t>- currently new invests (machines) cannot be made due to space limitations at the hosting institute</t>
  </si>
  <si>
    <t>Emails. Face-to-face discussions</t>
  </si>
  <si>
    <t>IT infrastructure</t>
  </si>
  <si>
    <t>All data should be retrievable from archives readily, but long-term bulk data should be stored</t>
  </si>
  <si>
    <t>One month to 6 month store</t>
  </si>
  <si>
    <t>up to 10 years storage</t>
  </si>
  <si>
    <t>Internal Nextcloud Server with emailable https hyperlinks</t>
  </si>
  <si>
    <t>Yes internally. However we provide data for clients if they request. The situation with the client is unknown.</t>
  </si>
  <si>
    <t>If requested.</t>
  </si>
  <si>
    <t>Internal standards are regularly run in parallel. This includes data analysis.</t>
  </si>
  <si>
    <t>Provides long term recognition that data is produced reproducibly and is standardized.</t>
  </si>
  <si>
    <t>Additional staff to experiment and improve protocols. Equipment for higher automatization of samples.</t>
  </si>
  <si>
    <t>High throughput, and over worked staff.</t>
  </si>
  <si>
    <t>Sequencing - more than genomics!</t>
  </si>
  <si>
    <t>Programming such a platform according to our needs</t>
  </si>
  <si>
    <t>Seminar, Students can work here</t>
  </si>
  <si>
    <t>Standardized protocols and supervision of experiments</t>
  </si>
  <si>
    <t>Would be, but not enough staff.</t>
  </si>
  <si>
    <t>Data is uploaded, which is standard for sequencings, to common databases.</t>
  </si>
  <si>
    <t>We know the limits.</t>
  </si>
  <si>
    <t>Make it right.</t>
  </si>
  <si>
    <t>Pipeline for data is established</t>
  </si>
  <si>
    <t>Accuracy.</t>
  </si>
  <si>
    <t>bioinformatics staff</t>
  </si>
  <si>
    <t>health and safety/lab skills</t>
  </si>
  <si>
    <t>report at the end of the procedure</t>
  </si>
  <si>
    <t>not necessary for this type of facility</t>
  </si>
  <si>
    <t>not for this type of facility (preparative rather than analytical)</t>
  </si>
  <si>
    <t>though it is not always appropriate or needed</t>
  </si>
  <si>
    <t>they have requested I prepare the samples so it is ultimately up to them.  However, conversations about the wider topic can encourage them to find a way to include experiments that might have fallen aside otherwise.</t>
  </si>
  <si>
    <t>good quality equipment and high technical skills</t>
  </si>
  <si>
    <t>Financial investment in equipment and people.</t>
  </si>
  <si>
    <t>funding is going to get harder to secure</t>
  </si>
  <si>
    <t>How to get reliable data</t>
  </si>
  <si>
    <t>FTP server offered and prefered option</t>
  </si>
  <si>
    <t>heavily discouraged but rarely listened to</t>
  </si>
  <si>
    <t>it would allow quality control</t>
  </si>
  <si>
    <t>training, workshops</t>
  </si>
  <si>
    <t>Data analyis (dedicated staff), data management (Omero server or similar)</t>
  </si>
  <si>
    <t>OMERO</t>
  </si>
  <si>
    <t>ISO9001 standard</t>
  </si>
  <si>
    <t>whatsapp</t>
  </si>
  <si>
    <t>I'd like a website for the facility at least on the intranet where I can post communications rather than send idiotic amounts of e-mails (mail list of 127 current users with every global facility concern; individual e-mails to notify new trainees of rules and resources at least 12 - 24 per month)</t>
  </si>
  <si>
    <t>We have too many separate website based systems to log-in to at our institution/hospital. Another log-in will just be annoying.</t>
  </si>
  <si>
    <t>4 hours basic facility use training and use of analysers - too short and packed with information, whish I could have them a whole day.
3 hours of self-operated self-calibrating cell sorters.
Unlimited amount of individual support until a user is comfortable using each piece of equipment.</t>
  </si>
  <si>
    <t>laboratory safety and proper waste disposal (there is a separate MLI and MLII cytometry lab), basic use of user interfaces and how to get consistent results, instrument set up, using proper experimental controls, QC.</t>
  </si>
  <si>
    <t>I emphasise what measurement the instruments actually provide and in how many ways the measurement could be misinterpreted. I indicate how easy it is to get false positive or false negative results and provide procedures on how to avoid this by use of proper instrument performance controls (consistent QC), experimental controls, internal validation controls for setting positive/negative signal limits. More than I have time to describe here.</t>
  </si>
  <si>
    <t>Up to 100 current and past experiments are retained on instrument workstations</t>
  </si>
  <si>
    <t>regular back up of current above data bank, plus monthly data purge to server partition</t>
  </si>
  <si>
    <t>all data is backed up to external cloud by the IT department</t>
  </si>
  <si>
    <t>chaperoned file transfer protocol on internal network. Internet connections to external Web are not allowed. We deal with patient data, which could be vulnerable if PCs were exposed to external Web.</t>
  </si>
  <si>
    <t>Each P.I. group using our flow cytometry and single cell genomics facilities are required to have two bioinformaticians embedded. This is on top of the two bioinformatics/statistics groups who support multiple projects.</t>
  </si>
  <si>
    <t>students are required to take scientific statistics course. I provide additional instructional books and encourage users to discuss their projects with their group's statistician/bioinformatician or ask the dedicated bioinformatics/statistics groups for further instruction.</t>
  </si>
  <si>
    <t>Data quality and integrity is checked by the above described processes within the individual P.I. groups and reviewed by peers within the institute before any attempt to publish.</t>
  </si>
  <si>
    <t>I know the process exists, but I don't know how it works exactly. The facility is not publishing itself. Individual users and their groups are.</t>
  </si>
  <si>
    <t>I can provide constructive criticism on the quality of raw data obtained and the interpretation of results, but often feel bypassed because "P.I.s must know this better than some technician" even though some of the P.I.s have never used the facility equipment themselves.</t>
  </si>
  <si>
    <t>Breaking the lab use rules is punishable. Faking or fudging data would result in severe disciplinary procedure. I also explain that conducting scientific research is very expensive and that our funding comes mostly from charities, so it would really suck to spend hundreds of thousands to get crap data, because they are not using proper sample prep protocols, appropriate controls, or do not know how to analyse and present the data.</t>
  </si>
  <si>
    <t>You'd have to contact my supervising P.I.</t>
  </si>
  <si>
    <t>Standardization of equipment, making it impossible to skip QC checks, standardisation of protocols and operating procedures. Offering deeper education.</t>
  </si>
  <si>
    <t>Standardization of equipment, making it impossible to skip QC checks, standardisation of protocols and operating procedures.</t>
  </si>
  <si>
    <t>Verifying that all users abide by the rules, check QC, use proper controls.</t>
  </si>
  <si>
    <t>This is impossible for one person to do. Each workstation should be checking if the users are following procedure automatically.</t>
  </si>
  <si>
    <t>Mass cytometry</t>
  </si>
  <si>
    <t>Custom built system</t>
  </si>
  <si>
    <t>Works well</t>
  </si>
  <si>
    <t>Meeting in the flesh is more productive since body language, connection in 'reading between the lines', using humor etc  is often lost in online meetings or e.g. Slack conversations</t>
  </si>
  <si>
    <t>Safety first - no harm to instrument, sample or user</t>
  </si>
  <si>
    <t>Stored in a secured server hall</t>
  </si>
  <si>
    <t>sftp access</t>
  </si>
  <si>
    <t>Project QC samples run throughout to check drift/batch effects. QA procedure every day to ensure temperature, shim quality and quantification.</t>
  </si>
  <si>
    <t>Project management – constantly 'firefighting' now, need to be able to have clearer milestones and deliverables</t>
  </si>
  <si>
    <t>Long-term financial means to upgrade aging equipment to stay cutting edge and thus attract users.</t>
  </si>
  <si>
    <t>behavioral neuroscience</t>
  </si>
  <si>
    <t>NAS station</t>
  </si>
  <si>
    <t>Online platform for data sharing and discussion about the data.</t>
  </si>
  <si>
    <t>Platform should be maintained. I have currently no people to do that.</t>
  </si>
  <si>
    <t>Lectures, courses - I usually show lots of data from our own facility.</t>
  </si>
  <si>
    <t>Make people (users, mostly molecular biologists and biochemists) aware of the possibilities of this state-of-the-art technology (i.e. proteomics).</t>
  </si>
  <si>
    <t>We show the researcher the appropriate literature and also data of other projects generated by our facility, so that the researcher can talk to other researchers about how to improve e.g. sample prep in case our facility cannot assist.</t>
  </si>
  <si>
    <t>Double back-up (tape) for safety, costs are pretty high though.</t>
  </si>
  <si>
    <t>Only in case raw data are used for publications. The journal typically requires this.</t>
  </si>
  <si>
    <t>internal ftp server, protected with password provided to the user.</t>
  </si>
  <si>
    <t>My facility does the "standard" simple statistics (t test, volcano plot generation, etc.). For more complex follow-up statistics the user is referred to other people outside the facility.</t>
  </si>
  <si>
    <t>We do not have the specific expertise to do this.</t>
  </si>
  <si>
    <t>My facility carries out the proteomics workflow from sample prep thru data analysis. We want to know what goes in and what comes out and want control over that. Also, it is important to be able to match outcome and input: is there no discrepancy between the quality of the data and the quality of the samples? 
Only in exceptional cases (after thorough instruction) are users allowed to analyze data themselves.</t>
  </si>
  <si>
    <t>Repositories, such as PRIDE (EBI) and MASSIVE.</t>
  </si>
  <si>
    <t>The core facility knows best not only how to analyze data but also how to *interpret* them, which is essential. Obviously, the core facility also knows best how data were generated.</t>
  </si>
  <si>
    <t>I inform the during the intake meeting and when sending the data. Also, I have posted some statements on the core facility website.</t>
  </si>
  <si>
    <t>Yes, we need more standardized data handling protocols.</t>
  </si>
  <si>
    <t>More different software tools for data analysis, recruiting more personnel so that technicians have more time per research project.</t>
  </si>
  <si>
    <t>Most importantly, my facility needs bioinformatics expertise.</t>
  </si>
  <si>
    <t>Recruiting bioinformaticians specialized in proteomics is not easy.</t>
  </si>
  <si>
    <t>Every project is uniq.</t>
  </si>
  <si>
    <t>We provide a course every year</t>
  </si>
  <si>
    <t>Hands on experience</t>
  </si>
  <si>
    <t>Information about sample preparation, experimental design and variability in sensibility of different instrument options.</t>
  </si>
  <si>
    <t>Control samples are routinely run.</t>
  </si>
  <si>
    <t>Stated in the report to the customer.</t>
  </si>
  <si>
    <t>Easier for other researcher to find out how to do the experiments there self.</t>
  </si>
  <si>
    <t>They pay for the information.</t>
  </si>
  <si>
    <t>State of the art instruments and knowledge</t>
  </si>
  <si>
    <t>Funding</t>
  </si>
  <si>
    <t>proteomics, mass spectrometry, protein analysis</t>
  </si>
  <si>
    <t>discussions (emsinars) on wider background of research topics</t>
  </si>
  <si>
    <t>I-lab</t>
  </si>
  <si>
    <t>just implemented</t>
  </si>
  <si>
    <t>sample preparation and selections, including controls</t>
  </si>
  <si>
    <t>advice on sample selection and preparation, possibly suggestions on project design</t>
  </si>
  <si>
    <t>Univerity's IT service</t>
  </si>
  <si>
    <t>University's Intranet</t>
  </si>
  <si>
    <t>to external users if reqeusted</t>
  </si>
  <si>
    <t>corefacility on a very basic level,, advanced statistics must come from the user</t>
  </si>
  <si>
    <t>correct answer coud be "no", but critical restuls are checked manually</t>
  </si>
  <si>
    <t>more accurate methods-part, preventing hazardous conclusions; however workload discourages too much involvement in publications</t>
  </si>
  <si>
    <t>nothing, it's their choice</t>
  </si>
  <si>
    <t>liaison with the users and careful planning of projects</t>
  </si>
  <si>
    <t>implementing and keeping up expertise in software tools</t>
  </si>
  <si>
    <t>camouflaging poor science behind high throughput and big data</t>
  </si>
  <si>
    <t>Sample specific training. We really try to adapt the training to the user</t>
  </si>
  <si>
    <t>Mainly discussions about results</t>
  </si>
  <si>
    <t>There are no financial options as of yet but we are aiming to implement Omero soon</t>
  </si>
  <si>
    <t>preferably</t>
  </si>
  <si>
    <t>by stubborn users</t>
  </si>
  <si>
    <t>Give expert opinion on how to improve their research</t>
  </si>
  <si>
    <t>Geet good data management running, and get more people involved with data analysis</t>
  </si>
  <si>
    <t>data management, equipment upgrades, and data analysis knowhow</t>
  </si>
  <si>
    <t>Running a facility with 20 microscopes ranging from electron microscopy to confocal microscopy with 2 people of which 1 person will retire the coming years</t>
  </si>
  <si>
    <t>security issues</t>
  </si>
  <si>
    <t>The basics of the methods and how the devices work</t>
  </si>
  <si>
    <t>Sample preparation
experimental design
quality controls and negative controls</t>
  </si>
  <si>
    <t>depend on the users</t>
  </si>
  <si>
    <t>Yes, but not indefinitely</t>
  </si>
  <si>
    <t>I am not sure</t>
  </si>
  <si>
    <t>Practical sessions</t>
  </si>
  <si>
    <t>The samples quality</t>
  </si>
  <si>
    <t>The number of machines</t>
  </si>
  <si>
    <t>extra-faculty use of the core facility</t>
  </si>
  <si>
    <t>total</t>
  </si>
  <si>
    <t>% incomplete</t>
  </si>
  <si>
    <t>participation rate</t>
  </si>
  <si>
    <t>survey complete</t>
  </si>
  <si>
    <t>% participation</t>
  </si>
  <si>
    <t>% incomplete forms</t>
  </si>
  <si>
    <t xml:space="preserve"> complete forms</t>
  </si>
  <si>
    <t xml:space="preserve"> total forms</t>
  </si>
  <si>
    <t>Survey 1+2</t>
  </si>
  <si>
    <r>
      <rPr>
        <sz val="10"/>
        <color rgb="FFFF0000"/>
        <rFont val="Arial"/>
        <family val="2"/>
      </rPr>
      <t>Users are not using</t>
    </r>
    <r>
      <rPr>
        <sz val="10"/>
        <rFont val="Arial"/>
        <family val="2"/>
        <charset val="1"/>
      </rPr>
      <t xml:space="preserve"> directly online communication even if we have it on the desktop of all set-ups</t>
    </r>
  </si>
  <si>
    <r>
      <rPr>
        <sz val="10"/>
        <color rgb="FFFF0000"/>
        <rFont val="Arial"/>
        <family val="2"/>
      </rPr>
      <t>Training</t>
    </r>
    <r>
      <rPr>
        <sz val="10"/>
        <rFont val="Arial"/>
        <family val="2"/>
        <charset val="1"/>
      </rPr>
      <t xml:space="preserve">, clear </t>
    </r>
    <r>
      <rPr>
        <sz val="10"/>
        <color rgb="FFFF0000"/>
        <rFont val="Arial"/>
        <family val="2"/>
      </rPr>
      <t>structure</t>
    </r>
    <r>
      <rPr>
        <sz val="10"/>
        <rFont val="Arial"/>
        <family val="2"/>
        <charset val="1"/>
      </rPr>
      <t xml:space="preserve"> and tasks, </t>
    </r>
    <r>
      <rPr>
        <sz val="10"/>
        <color rgb="FFFF0000"/>
        <rFont val="Arial"/>
        <family val="2"/>
      </rPr>
      <t>reporting</t>
    </r>
  </si>
  <si>
    <r>
      <rPr>
        <sz val="10"/>
        <color rgb="FFFF0000"/>
        <rFont val="Arial"/>
        <family val="2"/>
      </rPr>
      <t>Developping</t>
    </r>
    <r>
      <rPr>
        <sz val="10"/>
        <rFont val="Arial"/>
        <family val="2"/>
        <charset val="1"/>
      </rPr>
      <t xml:space="preserve"> new technologies.</t>
    </r>
  </si>
  <si>
    <t>%</t>
  </si>
  <si>
    <t>we transfer</t>
  </si>
  <si>
    <t>genomics and bioinformatics</t>
  </si>
  <si>
    <t>website
communication/management software</t>
  </si>
  <si>
    <t>Projects are often very specific.</t>
  </si>
  <si>
    <t>Hands on training.</t>
  </si>
  <si>
    <t>Consultations with technicians, sharing experience across research groups at the institute.</t>
  </si>
  <si>
    <t>backed up at two different locations</t>
  </si>
  <si>
    <t>after publication</t>
  </si>
  <si>
    <t>in rare cases</t>
  </si>
  <si>
    <t>Intramural users get full support. Extramural only primary analysis.</t>
  </si>
  <si>
    <t>Guidance only, trainig in collaboration with local university and external company</t>
  </si>
  <si>
    <t>Standard QC for the methods and researcher feedback.</t>
  </si>
  <si>
    <t>Very primitive - notebooks, this we should improve.</t>
  </si>
  <si>
    <t>Inaccuracies, overinterpretation, often improper statistical analysis.</t>
  </si>
  <si>
    <t>Discussions.</t>
  </si>
  <si>
    <t>To streamline cooperation.</t>
  </si>
  <si>
    <t>Replicability, strength of the experiment.</t>
  </si>
  <si>
    <t>Automatization of some wet lab protocols, LIMS.</t>
  </si>
  <si>
    <t>Lagging in bioinformatics with the development of new wet lab methodologies.</t>
  </si>
  <si>
    <t>maybe a communication platform would be helpful. However I do not know how to implement that.</t>
  </si>
  <si>
    <t>in the mandatory face-to-face discussion before a project is accepted we discuss the scope and possible outcome of each technique. We decide together how to process and analyze the samples. In many cases the users have to help during sample preparation.</t>
  </si>
  <si>
    <t>clean sample preparation</t>
  </si>
  <si>
    <t>If a project went through without incident and the results are looking OK we do  nothing. However if for example our QC looks good and the results of the samples are bad we check every step in the sample preparation to identify what went wrong. most frequently seen problem: incompatible solutions used during sample preparation ... detergents are for example deadly for proteomics /mass spectrometry</t>
  </si>
  <si>
    <t>All project related data is stored in the ACE cloud. The cloud is additionally backed up by the university on tape drives (full backup).</t>
  </si>
  <si>
    <t>PRIDE ... but only and exclusively when this is required during publication process.</t>
  </si>
  <si>
    <t>not at all</t>
  </si>
  <si>
    <t>we do not provide RAW data. Only processed data is transfered to the user. We use GigaMove or Email ... depends a bit on file size.</t>
  </si>
  <si>
    <t>The core does the initial statistical evaluation. The user is however responsible for re-evaluating the data. In any case we provide the unfiltered raw search data which is sufficient for an evaluation.</t>
  </si>
  <si>
    <t>We always point out that we are no statisticians and that the statistics has to be re-evaluated by the user.
We do not train people in statistics analysis.</t>
  </si>
  <si>
    <t>in principle yes ...but it is almost impossible to implement. The projects we are looking at are very much different from each other. We have a standardized procedure to do the initial analysis. This is always done the same way. The user has to evaluate and redo the statistics. What the user does with the data then is out of our hands.</t>
  </si>
  <si>
    <t>Not entirely sure what you mean. But each project receives a unique number (e.g. ACE_0444). Each sample that we analyze receives also a unique file name (ACE_0444_xx01; where xx are the initials of the customer supplying the samples). All project related data are stored in one Folder.</t>
  </si>
  <si>
    <t>This is an important point. I think involvement of the Core will increase the quality of the manuscript. We always write the M&amp;M and check those parts of the manuscript that are describing proteomics data.</t>
  </si>
  <si>
    <t>do you mean "terms of use"? its online</t>
  </si>
  <si>
    <t>We need more staff to run the facility. Strangely enough its easier to get a couple of millions (via DFG/HBFG) to buy new equipment ... but money to employ a technician or a PostDoc is basically "0".</t>
  </si>
  <si>
    <t>employ more staff.</t>
  </si>
  <si>
    <t>SupportSystem tickets</t>
  </si>
  <si>
    <t>Ok</t>
  </si>
  <si>
    <t>to make sure that m&amp;m section is correct</t>
  </si>
  <si>
    <t>A (semi)professional managment software / LIMS system would be awesome!</t>
  </si>
  <si>
    <t>We are hardly performing standardized operation procedures, i.e. every project run at the factiliy is pretty unique in its structual form. I think it will be difficult to setup a communication platform that can accommodate all the project-specific needs and support the highly diverse sample preparation, data acquisition and data analysis workflows....</t>
  </si>
  <si>
    <t>Yes, every user gets trained to the level that he/she understands the final output data (excel table) and knows how to correctly interpret the data. 
Extensive users often also get deeper trainings, i.e. training in how the data was acquired, how LC-MS/MS works, how the data got analyzed to reach the point of the excel table....</t>
  </si>
  <si>
    <t>Making sure that the users know how to correctly interpret the data that we provide, i.e. which scientific conclsions are supported by the data and which NOT.</t>
  </si>
  <si>
    <t>We provide our in-house sample preparation scripts.</t>
  </si>
  <si>
    <t>we have an internal server, which is backup by the computing center of the university</t>
  </si>
  <si>
    <t>only the published data, which always gets uploaded to public repositories</t>
  </si>
  <si>
    <t>for lots of projects raw data is not transferred</t>
  </si>
  <si>
    <t>In case of publication, the facility takes care about providing raw data to a public repository, so users only get the quantitative results tables for further downstream analysis, but no raw files.</t>
  </si>
  <si>
    <t>This is very project specific. Experiences users perform secondary downstream analysis themselves, others get support by the core facility...</t>
  </si>
  <si>
    <t>Again, very project specific, but we always try to support and give guidance as much as possible.</t>
  </si>
  <si>
    <t>We always perform some superficial clustering and PCA analysis of every dataset to check that replicates are clustering as expected (if replicates have been performed ;). We also check coefficient of variances between replicates. We run a QC sample on our mass spectrometers at least every 24 samples and before and after every new project to ensure optimal performance of our mass spectrometers.
Further biology-driven QCs (do we see whats already known or expected from a given experiment) gets typcially performed by the user, who is the biological expert....</t>
  </si>
  <si>
    <t>On every paper that includes data generated at the core facility we are co-authors and provide the raw data in a public repository.</t>
  </si>
  <si>
    <t>We exclusivley operate that way, i.e. for every new project we inform the user that if he/she publishes data that was acquired together with us we want to be co-authors on the respective publication and we let the user sign this agreement.</t>
  </si>
  <si>
    <t>Mhh, I do not think I need to encourage users to use the information I provide 
(which includes information like sample preparation protocols, quantitative result tables, statistical analyses, material and methods text for publication, links with their data to data repositories, etc.)</t>
  </si>
  <si>
    <t>- Strong interaction with the users, personal meetings, project kick-off meeting
- optimal teaching of users
- good QC maintenance of all steps performed in the facility (laboratory and mass spectrometry)</t>
  </si>
  <si>
    <t>More professional project and data managment system. Currently we perform all documentation, administration, experiment descriptions etc. manually in form of excel tables, powerpoint and word documents. This is highly vulnerable to human mistakes. A more professional and standardized software/setup would be really great.
Often we do have lots of administrative questions and issues regarding bills, grants, rights, etc. And very often nobody really knows how core facilites should operate and deal with such administrative challanges, i.e. there are no clear rules, nobody feels responsible or knows what to do. More administrative support for core facilites would be great</t>
  </si>
  <si>
    <t>- A professional lab managment system needs to be highly flexible, because we do hardly have standardized workflows, but very diverse and project-specific workflows. At the same time it should be cheap too ;)
- More administrative support needs more (wo)man-power, which is very hard to achieve.</t>
  </si>
  <si>
    <t>surgical models</t>
  </si>
  <si>
    <t>We usually integrate and exchange our competences</t>
  </si>
  <si>
    <t>Welfare and animal care</t>
  </si>
  <si>
    <t>brain storming/ common revision of the literature</t>
  </si>
  <si>
    <t>It depends on the cooperation between the core facility and the Researchers, it cannot be generalized.</t>
  </si>
  <si>
    <t>Integrating difference competences allows to describe the model more thouroughly and to Interpret the results more completely</t>
  </si>
  <si>
    <t>Personal communication, experts opinion sessions</t>
  </si>
  <si>
    <t>but not an absolute priority as I work shoulder to shoulder with the users</t>
  </si>
  <si>
    <t>Digital monitoring, score sheet, continuous education of the facility personnel</t>
  </si>
  <si>
    <t>Personnel engagement
Continuous education
Culture of animal care
Good laboratory practice</t>
  </si>
  <si>
    <t>Structural changes (will be achieved next year)
More personnel employed (huge workload at the moment)
Improved culture of animal care (I have already noticed improvements in the last 2 years)
Real wish to increase reproducibility in research</t>
  </si>
  <si>
    <t>Work against eminence-based statements "we have always done this way"
Financial limitations</t>
  </si>
  <si>
    <t>attention to detail</t>
  </si>
  <si>
    <t>short term</t>
  </si>
  <si>
    <t>5 years</t>
  </si>
  <si>
    <t>only if researcher does so</t>
  </si>
  <si>
    <t>access allowed to some users for large data sets</t>
  </si>
  <si>
    <t>images transfered via a drop off system</t>
  </si>
  <si>
    <t>About 15 Core Facilities (flow cytometry, Genomics, Microscopy metabolomics...) are managed and organized and managed by a scientific commitee</t>
  </si>
  <si>
    <t>Handle the devices properly and to know, how to interpret the generated data.</t>
  </si>
  <si>
    <t>We discuss the protocols used, give information about appropriate controls and give also hints on critical aspects during sample preparation.</t>
  </si>
  <si>
    <t>PIs are responsible for their experiments and should also be responsible for theire long term storage. Core facilities are responsible to aqcuire quality controlled data but are not responsible for their storage (yet).</t>
  </si>
  <si>
    <t>The Core Facility works hand in hand with the PI for interpretation the data.</t>
  </si>
  <si>
    <t>The Core Facilities should be more involved in planning of the experiments and should be also responsible for the data generated in the Core Facility. At the moment often the Core Facility generates data and the PI interprets the results.</t>
  </si>
  <si>
    <t>seminars, workshops</t>
  </si>
  <si>
    <t>by social media (Twitter)</t>
  </si>
  <si>
    <t>NO</t>
  </si>
  <si>
    <t>Microscopy Fundamental concepts and understanding the technique</t>
  </si>
  <si>
    <t>There should be no responsabilities on the Data storage from the facility prospective.</t>
  </si>
  <si>
    <t>High end microscopy system along with simpler systems use for screening and proofing</t>
  </si>
  <si>
    <t>A working and calibrated instrumentation as well as knowledgeable staff in imaging aquisition and analysis.</t>
  </si>
  <si>
    <t>Advanced imaging system and up-to-date instruments.</t>
  </si>
  <si>
    <t>Fundings</t>
  </si>
  <si>
    <t>booking system</t>
  </si>
  <si>
    <t>- make them read the 1 single email that contains all relevant email 
- weekly facility walk-in hour (for any kind of questions)</t>
  </si>
  <si>
    <t>we use a booking system, website and email. the obsticale would be too many platforms.
one could consider to move communication from email and booking system into an ticket-tracker system however</t>
  </si>
  <si>
    <t>collect data that you can quantify
(pre-)define the process or feature that you want to quantify!</t>
  </si>
  <si>
    <t>actively involved on demain - on all available platforms</t>
  </si>
  <si>
    <t>personal assistance on demand / request
assess needs during initial instrument trainings
join in joined-group meetings
preovide a platform during scientific institute retreats</t>
  </si>
  <si>
    <t>IT</t>
  </si>
  <si>
    <t>only during image analysis processing</t>
  </si>
  <si>
    <t>from file server moved to archive upon project completion</t>
  </si>
  <si>
    <t>any other connection to are stricktly forbidden</t>
  </si>
  <si>
    <t>additional expertise also available within institution</t>
  </si>
  <si>
    <t>good point</t>
  </si>
  <si>
    <t>yes and no: 
- we provide all support for correct sampling, whereas the interpretation can be also in need of expertise of the field. this responibility lies with the PI.
- We do provide additional support for machine learning based routines, where we enforce an training.</t>
  </si>
  <si>
    <t>this is under development with our library - data repsository for raw data and analysis scripts.
we do provide an github, which is underused as recource - but under further development</t>
  </si>
  <si>
    <t>Yes and no - the researcher shoudl be responsible (and knowing) about the data published. The Core should be able to offer the needed support. These tasks should be clearly defined and communicated.</t>
  </si>
  <si>
    <t>join meetings,
organzie workshops and topic focussed workshops
equipment demonstrations
invited speakers
trainings
facility website
inlcuding an TEACH &amp;TECH section in weekly facility update email</t>
  </si>
  <si>
    <t>there is an institute policy instead</t>
  </si>
  <si>
    <t>tracking assistance in booking system
GitLAB repository
repository for facility contributions to manuscripts (via library maintained database)</t>
  </si>
  <si>
    <t>proper training of researchers and provide an platform with expertise (website and personell)</t>
  </si>
  <si>
    <t>deepened expertise
inplementation of lacking technology
raising awareness of quantified data and the need to use matching technologies (not only confocal)</t>
  </si>
  <si>
    <t>time and patience
dynamics of userbase / research interres -&gt; some generalization in required</t>
  </si>
  <si>
    <t>There are so many platforms already available that People are reluctant to use an additional one.</t>
  </si>
  <si>
    <t>Demonstration at the Instrument or suggestion of alternative protocols</t>
  </si>
  <si>
    <t>Software of the microscope</t>
  </si>
  <si>
    <t>Data interpretation by the used is often subjective and sometimes wrong.</t>
  </si>
  <si>
    <t>Service Now</t>
  </si>
  <si>
    <t>We focus on communication, it is key to delivering a professional service</t>
  </si>
  <si>
    <t>Teaching good practice for cell culutre</t>
  </si>
  <si>
    <t>results of screen emailed</t>
  </si>
  <si>
    <t>checked against international cell line databse, second person in the team will check the data</t>
  </si>
  <si>
    <t>not a lot, people know we have the information and can ask. we have too many users to chase and ask if they need it.</t>
  </si>
  <si>
    <t>being organised and working to the highest standards</t>
  </si>
  <si>
    <t>Resource in the form of staff numbers.</t>
  </si>
  <si>
    <t>leaving the EU, funding</t>
  </si>
  <si>
    <t>Phone calls, emails and face to face communication always outperform management software, except in the criteria of making sure noone is forgotten.</t>
  </si>
  <si>
    <t>The people who would benefit most from the training tend not to attend.</t>
  </si>
  <si>
    <t>Good experimental design to maximise successful outcome.</t>
  </si>
  <si>
    <t>Face to face training, written protocols, guidance to staff on use of QC and QA when analysing samples.</t>
  </si>
  <si>
    <t>staff dedicated to contacts with users</t>
  </si>
  <si>
    <t>It could be, much it depends  on the organizzation of the entire structure where the core facility is embedded.
It would be preferable to use traceable and archivable communication systems.</t>
  </si>
  <si>
    <t>To organize theoretical courses of flow cytometry and then training courses on instruments.
After this, to select users able to correctly follow the procedures of setup and maintenance.</t>
  </si>
  <si>
    <t>keep instrument in a clean and functional state
use right instrument settings
use good controls</t>
  </si>
  <si>
    <t>assistance in choosing good controls, reagents, protocols and instrument settings</t>
  </si>
  <si>
    <t>PC, external drive</t>
  </si>
  <si>
    <t>instruments must be in good condition
all necessary controls must be provided
appropriate instrument settings must be chosen
careful data analysis</t>
  </si>
  <si>
    <t>more standard operating procedures</t>
  </si>
  <si>
    <t>time management</t>
  </si>
  <si>
    <t>User Group Meetings</t>
  </si>
  <si>
    <t>Sample preparation</t>
  </si>
  <si>
    <t>Tips and tricks, pilot experiments for reduced costs, optimization suggestions regarding design and performance</t>
  </si>
  <si>
    <t>external hard drives, will change to backed-up NAS system soon</t>
  </si>
  <si>
    <t>Backed-up NAS system (soon)</t>
  </si>
  <si>
    <t>Their data can be accessed on the backed-up NAS individually</t>
  </si>
  <si>
    <t>This will be stopped asap</t>
  </si>
  <si>
    <t>Experiments cannot be reproduced by other labs if accurate details of how core facility instruments were operated a.s.o. are missing</t>
  </si>
  <si>
    <r>
      <t xml:space="preserve">communication with users ok, more effort in communications </t>
    </r>
    <r>
      <rPr>
        <sz val="10"/>
        <color rgb="FFFF0000"/>
        <rFont val="Arial"/>
        <family val="2"/>
      </rPr>
      <t>with PIs</t>
    </r>
  </si>
  <si>
    <r>
      <t xml:space="preserve">It is a </t>
    </r>
    <r>
      <rPr>
        <sz val="10"/>
        <color rgb="FFFF0000"/>
        <rFont val="Arial"/>
        <family val="2"/>
      </rPr>
      <t>good</t>
    </r>
    <r>
      <rPr>
        <sz val="10"/>
        <rFont val="Arial"/>
        <family val="2"/>
        <charset val="1"/>
      </rPr>
      <t xml:space="preserve"> system with some peculiarities and sometimes very </t>
    </r>
    <r>
      <rPr>
        <sz val="10"/>
        <color rgb="FFFF0000"/>
        <rFont val="Arial"/>
        <family val="2"/>
      </rPr>
      <t>slowly</t>
    </r>
    <r>
      <rPr>
        <sz val="10"/>
        <rFont val="Arial"/>
        <family val="2"/>
        <charset val="1"/>
      </rPr>
      <t>. E-Mail contact is often used too.
Often a personal</t>
    </r>
    <r>
      <rPr>
        <sz val="10"/>
        <color rgb="FFFF0000"/>
        <rFont val="Arial"/>
        <family val="2"/>
      </rPr>
      <t xml:space="preserve"> face to face </t>
    </r>
    <r>
      <rPr>
        <sz val="10"/>
        <rFont val="Arial"/>
        <family val="2"/>
        <charset val="1"/>
      </rPr>
      <t>meeting is very helpful to understand the research questioning and to give optimal consultation.</t>
    </r>
  </si>
  <si>
    <r>
      <t xml:space="preserve">The booking platform works </t>
    </r>
    <r>
      <rPr>
        <sz val="10"/>
        <color rgb="FFFF0000"/>
        <rFont val="Arial"/>
        <family val="2"/>
      </rPr>
      <t>fine</t>
    </r>
    <r>
      <rPr>
        <sz val="10"/>
        <rFont val="Arial"/>
        <family val="2"/>
        <charset val="1"/>
      </rPr>
      <t xml:space="preserve">, </t>
    </r>
    <r>
      <rPr>
        <sz val="10"/>
        <color rgb="FFFF0000"/>
        <rFont val="Arial"/>
        <family val="2"/>
      </rPr>
      <t>but</t>
    </r>
    <r>
      <rPr>
        <sz val="10"/>
        <rFont val="Arial"/>
        <family val="2"/>
        <charset val="1"/>
      </rPr>
      <t xml:space="preserve"> I suspect that </t>
    </r>
    <r>
      <rPr>
        <sz val="10"/>
        <color rgb="FFFF0000"/>
        <rFont val="Arial"/>
        <family val="2"/>
      </rPr>
      <t>users</t>
    </r>
    <r>
      <rPr>
        <sz val="10"/>
        <rFont val="Arial"/>
        <family val="2"/>
        <charset val="1"/>
      </rPr>
      <t xml:space="preserve"> are not always reading the messages sent through it, or it is considered spam as their email filters.</t>
    </r>
  </si>
  <si>
    <r>
      <rPr>
        <sz val="10"/>
        <color rgb="FFFF0000"/>
        <rFont val="Arial"/>
        <family val="2"/>
      </rPr>
      <t>Phone calls, emails and face to face</t>
    </r>
    <r>
      <rPr>
        <sz val="10"/>
        <rFont val="Arial"/>
        <family val="2"/>
        <charset val="1"/>
      </rPr>
      <t xml:space="preserve"> communication always outperform management software, except in the criteria of making sure noone is forgotten.</t>
    </r>
  </si>
  <si>
    <r>
      <t xml:space="preserve">We do limited training in specialised </t>
    </r>
    <r>
      <rPr>
        <sz val="10"/>
        <color rgb="FFFF0000"/>
        <rFont val="Arial"/>
        <family val="2"/>
      </rPr>
      <t>workshops/courses</t>
    </r>
    <r>
      <rPr>
        <sz val="10"/>
        <rFont val="Arial"/>
        <family val="2"/>
        <charset val="1"/>
      </rPr>
      <t xml:space="preserve"> once per year</t>
    </r>
  </si>
  <si>
    <r>
      <t>We do not have lab space for experiments. We only train for technology and use of instruments,</t>
    </r>
    <r>
      <rPr>
        <sz val="10"/>
        <color rgb="FFFF0000"/>
        <rFont val="Arial"/>
        <family val="2"/>
      </rPr>
      <t xml:space="preserve"> not for sample preparation</t>
    </r>
    <r>
      <rPr>
        <sz val="10"/>
        <rFont val="Arial"/>
        <family val="2"/>
        <charset val="1"/>
      </rPr>
      <t xml:space="preserve"> (unfortunately).</t>
    </r>
  </si>
  <si>
    <r>
      <t xml:space="preserve">Mostly we give overviews, training for ordering our services or training on equipment/software we offer as </t>
    </r>
    <r>
      <rPr>
        <sz val="10"/>
        <color rgb="FFFF0000"/>
        <rFont val="Arial"/>
        <family val="2"/>
      </rPr>
      <t>bookable on PPMS</t>
    </r>
  </si>
  <si>
    <r>
      <t xml:space="preserve">We dont train them how to perform experiments. </t>
    </r>
    <r>
      <rPr>
        <sz val="10"/>
        <color rgb="FFFF0000"/>
        <rFont val="Arial"/>
        <family val="2"/>
      </rPr>
      <t xml:space="preserve">We train them how to prepare the material (Cellstaining), how to acquire data and how to analyze these data in general. </t>
    </r>
    <r>
      <rPr>
        <sz val="10"/>
        <rFont val="Arial"/>
        <family val="2"/>
        <charset val="1"/>
      </rPr>
      <t xml:space="preserve">
We expect training in experimental controls, answering biological research questions and biosafety from the PIs. (We just control the above topics).</t>
    </r>
  </si>
  <si>
    <r>
      <t xml:space="preserve">in the mandatory face-to-face discussion before a project is accepted we discuss the scope and possible outcome of each technique. We decide together how to process and analyze the samples. In many cases the </t>
    </r>
    <r>
      <rPr>
        <sz val="10"/>
        <color rgb="FFFF0000"/>
        <rFont val="Arial"/>
        <family val="2"/>
      </rPr>
      <t>users have to help during sample preparation.</t>
    </r>
  </si>
  <si>
    <r>
      <t xml:space="preserve">We offer </t>
    </r>
    <r>
      <rPr>
        <sz val="10"/>
        <color rgb="FFFF0000"/>
        <rFont val="Arial"/>
        <family val="2"/>
      </rPr>
      <t>EDMs (experimental design meetings) once a week</t>
    </r>
    <r>
      <rPr>
        <sz val="10"/>
        <rFont val="Arial"/>
        <family val="2"/>
        <charset val="1"/>
      </rPr>
      <t>, they are bookable via a dedicated email and the user fills in information on a template document.
The meeting has representation from both our genomics and bioinformatics cores.</t>
    </r>
  </si>
  <si>
    <r>
      <t xml:space="preserve">If they want to be trained. Most elect not to do so.  The main purpose of training is that it </t>
    </r>
    <r>
      <rPr>
        <sz val="10"/>
        <color rgb="FFFF0000"/>
        <rFont val="Arial"/>
        <family val="2"/>
      </rPr>
      <t>enables users to ask better questions rather than giving them independence</t>
    </r>
  </si>
  <si>
    <r>
      <rPr>
        <sz val="10"/>
        <color rgb="FFFF0000"/>
        <rFont val="Arial"/>
        <family val="2"/>
      </rPr>
      <t>Theoretical</t>
    </r>
    <r>
      <rPr>
        <sz val="10"/>
        <rFont val="Arial"/>
        <family val="2"/>
        <charset val="1"/>
      </rPr>
      <t xml:space="preserve"> background and proper use of </t>
    </r>
    <r>
      <rPr>
        <sz val="10"/>
        <color rgb="FFFF0000"/>
        <rFont val="Arial"/>
        <family val="2"/>
      </rPr>
      <t>techniques</t>
    </r>
    <r>
      <rPr>
        <sz val="10"/>
        <rFont val="Arial"/>
        <family val="2"/>
        <charset val="1"/>
      </rPr>
      <t>.</t>
    </r>
  </si>
  <si>
    <r>
      <t xml:space="preserve">New and up and coming </t>
    </r>
    <r>
      <rPr>
        <sz val="10"/>
        <color rgb="FFFF0000"/>
        <rFont val="Arial"/>
        <family val="2"/>
      </rPr>
      <t>techniques</t>
    </r>
    <r>
      <rPr>
        <sz val="10"/>
        <rFont val="Arial"/>
        <family val="2"/>
        <charset val="1"/>
      </rPr>
      <t xml:space="preserve"> in drug discovery and validation</t>
    </r>
  </si>
  <si>
    <r>
      <t xml:space="preserve">technical competence to use </t>
    </r>
    <r>
      <rPr>
        <sz val="10"/>
        <color rgb="FFFF0000"/>
        <rFont val="Arial"/>
        <family val="2"/>
      </rPr>
      <t>equipment</t>
    </r>
  </si>
  <si>
    <r>
      <t xml:space="preserve">Data </t>
    </r>
    <r>
      <rPr>
        <sz val="10"/>
        <color rgb="FFFF0000"/>
        <rFont val="Arial"/>
        <family val="2"/>
      </rPr>
      <t>analysis</t>
    </r>
  </si>
  <si>
    <r>
      <t xml:space="preserve">Consult about adapting standard </t>
    </r>
    <r>
      <rPr>
        <sz val="10"/>
        <color rgb="FFFF0000"/>
        <rFont val="Arial"/>
        <family val="2"/>
      </rPr>
      <t>sample</t>
    </r>
    <r>
      <rPr>
        <sz val="10"/>
        <rFont val="Arial"/>
        <family val="2"/>
        <charset val="1"/>
      </rPr>
      <t xml:space="preserve"> prep protocols to specific needs, use of data </t>
    </r>
    <r>
      <rPr>
        <sz val="10"/>
        <color rgb="FFFF0000"/>
        <rFont val="Arial"/>
        <family val="2"/>
      </rPr>
      <t>analysis</t>
    </r>
    <r>
      <rPr>
        <sz val="10"/>
        <rFont val="Arial"/>
        <family val="2"/>
        <charset val="1"/>
      </rPr>
      <t xml:space="preserve"> software</t>
    </r>
  </si>
  <si>
    <r>
      <t xml:space="preserve">Making sure they know what to do and how to do it, following the </t>
    </r>
    <r>
      <rPr>
        <sz val="10"/>
        <color rgb="FFFF0000"/>
        <rFont val="Arial"/>
        <family val="2"/>
      </rPr>
      <t>rules</t>
    </r>
    <r>
      <rPr>
        <sz val="10"/>
        <rFont val="Arial"/>
        <family val="2"/>
        <charset val="1"/>
      </rPr>
      <t xml:space="preserve"> of the facility (</t>
    </r>
    <r>
      <rPr>
        <sz val="10"/>
        <color rgb="FF00B0F0"/>
        <rFont val="Arial"/>
        <family val="2"/>
      </rPr>
      <t>technique</t>
    </r>
    <r>
      <rPr>
        <sz val="10"/>
        <rFont val="Arial"/>
        <family val="2"/>
        <charset val="1"/>
      </rPr>
      <t>)</t>
    </r>
  </si>
  <si>
    <r>
      <t xml:space="preserve">Experimental </t>
    </r>
    <r>
      <rPr>
        <sz val="10"/>
        <color rgb="FFFF0000"/>
        <rFont val="Arial"/>
        <family val="2"/>
      </rPr>
      <t>design</t>
    </r>
    <r>
      <rPr>
        <sz val="10"/>
        <rFont val="Arial"/>
        <family val="2"/>
        <charset val="1"/>
      </rPr>
      <t xml:space="preserve">, </t>
    </r>
    <r>
      <rPr>
        <sz val="10"/>
        <color rgb="FFFF0000"/>
        <rFont val="Arial"/>
        <family val="2"/>
      </rPr>
      <t>sample</t>
    </r>
    <r>
      <rPr>
        <sz val="10"/>
        <rFont val="Arial"/>
        <family val="2"/>
        <charset val="1"/>
      </rPr>
      <t xml:space="preserve"> preparation and data </t>
    </r>
    <r>
      <rPr>
        <sz val="10"/>
        <color rgb="FFFF0000"/>
        <rFont val="Arial"/>
        <family val="2"/>
      </rPr>
      <t>analysis</t>
    </r>
  </si>
  <si>
    <r>
      <t xml:space="preserve">Software-based </t>
    </r>
    <r>
      <rPr>
        <sz val="10"/>
        <color rgb="FFFF0000"/>
        <rFont val="Arial"/>
        <family val="2"/>
      </rPr>
      <t>analysis</t>
    </r>
    <r>
      <rPr>
        <sz val="10"/>
        <rFont val="Arial"/>
        <family val="2"/>
        <charset val="1"/>
      </rPr>
      <t xml:space="preserve"> of proteomics data so users can perform their own statistical tests and generate their own figures.</t>
    </r>
  </si>
  <si>
    <r>
      <t xml:space="preserve">To make sure that users become </t>
    </r>
    <r>
      <rPr>
        <sz val="10"/>
        <color rgb="FFFF0000"/>
        <rFont val="Arial"/>
        <family val="2"/>
      </rPr>
      <t>independent</t>
    </r>
    <r>
      <rPr>
        <sz val="10"/>
        <rFont val="Arial"/>
        <family val="2"/>
        <charset val="1"/>
      </rPr>
      <t xml:space="preserve"> in using the techniques which we offer.</t>
    </r>
  </si>
  <si>
    <r>
      <t>Enable them to use the microscopes such that they get good data, without damaging the hardware. (</t>
    </r>
    <r>
      <rPr>
        <sz val="10"/>
        <color rgb="FF00B0F0"/>
        <rFont val="Arial"/>
        <family val="2"/>
      </rPr>
      <t>equipment</t>
    </r>
    <r>
      <rPr>
        <sz val="10"/>
        <rFont val="Arial"/>
        <family val="2"/>
        <charset val="1"/>
      </rPr>
      <t>)</t>
    </r>
  </si>
  <si>
    <r>
      <t>to teach aseptic cell culture (</t>
    </r>
    <r>
      <rPr>
        <sz val="10"/>
        <color rgb="FF00B0F0"/>
        <rFont val="Arial"/>
        <family val="2"/>
      </rPr>
      <t>techniques</t>
    </r>
    <r>
      <rPr>
        <sz val="10"/>
        <rFont val="Arial"/>
        <family val="2"/>
        <charset val="1"/>
      </rPr>
      <t xml:space="preserve">) and scientific practice including </t>
    </r>
    <r>
      <rPr>
        <sz val="10"/>
        <color rgb="FFFF0000"/>
        <rFont val="Arial"/>
        <family val="2"/>
      </rPr>
      <t>safety</t>
    </r>
    <r>
      <rPr>
        <sz val="10"/>
        <rFont val="Arial"/>
        <family val="2"/>
        <charset val="1"/>
      </rPr>
      <t xml:space="preserve"> rules and most importantly insure </t>
    </r>
    <r>
      <rPr>
        <sz val="10"/>
        <color rgb="FFFF0000"/>
        <rFont val="Arial"/>
        <family val="2"/>
      </rPr>
      <t>quality</t>
    </r>
    <r>
      <rPr>
        <sz val="10"/>
        <rFont val="Arial"/>
        <family val="2"/>
        <charset val="1"/>
      </rPr>
      <t xml:space="preserve"> control and characterization of the cell cultures and assays.</t>
    </r>
  </si>
  <si>
    <r>
      <rPr>
        <sz val="10"/>
        <color rgb="FFFF0000"/>
        <rFont val="Arial"/>
        <family val="2"/>
      </rPr>
      <t>Sample</t>
    </r>
    <r>
      <rPr>
        <sz val="10"/>
        <rFont val="Arial"/>
        <family val="2"/>
        <charset val="1"/>
      </rPr>
      <t xml:space="preserve"> preparation
Imaging (</t>
    </r>
    <r>
      <rPr>
        <sz val="10"/>
        <color rgb="FF00B0F0"/>
        <rFont val="Arial"/>
        <family val="2"/>
      </rPr>
      <t>equipment</t>
    </r>
    <r>
      <rPr>
        <sz val="10"/>
        <rFont val="Arial"/>
        <family val="2"/>
        <charset val="1"/>
      </rPr>
      <t>)
Data interpretation (</t>
    </r>
    <r>
      <rPr>
        <sz val="10"/>
        <color rgb="FF00B0F0"/>
        <rFont val="Arial"/>
        <family val="2"/>
      </rPr>
      <t>analysis</t>
    </r>
    <r>
      <rPr>
        <sz val="10"/>
        <rFont val="Arial"/>
        <family val="2"/>
        <charset val="1"/>
      </rPr>
      <t>)</t>
    </r>
  </si>
  <si>
    <r>
      <t xml:space="preserve">Handling of </t>
    </r>
    <r>
      <rPr>
        <sz val="10"/>
        <color rgb="FFFF0000"/>
        <rFont val="Arial"/>
        <family val="2"/>
      </rPr>
      <t>samples</t>
    </r>
    <r>
      <rPr>
        <sz val="10"/>
        <rFont val="Arial"/>
        <family val="2"/>
        <charset val="1"/>
      </rPr>
      <t xml:space="preserve">
processing (</t>
    </r>
    <r>
      <rPr>
        <sz val="10"/>
        <color rgb="FF00B0F0"/>
        <rFont val="Arial"/>
        <family val="2"/>
      </rPr>
      <t>analysis</t>
    </r>
    <r>
      <rPr>
        <sz val="10"/>
        <rFont val="Arial"/>
        <family val="2"/>
        <charset val="1"/>
      </rPr>
      <t>)</t>
    </r>
  </si>
  <si>
    <r>
      <t>getting best results, avoiding damage (</t>
    </r>
    <r>
      <rPr>
        <sz val="10"/>
        <color rgb="FF00B0F0"/>
        <rFont val="Arial"/>
        <family val="2"/>
      </rPr>
      <t>equipment</t>
    </r>
    <r>
      <rPr>
        <sz val="10"/>
        <rFont val="Arial"/>
        <family val="2"/>
        <charset val="1"/>
      </rPr>
      <t>)</t>
    </r>
  </si>
  <si>
    <r>
      <t xml:space="preserve">Good and correct </t>
    </r>
    <r>
      <rPr>
        <sz val="10"/>
        <color rgb="FFFF0000"/>
        <rFont val="Arial"/>
        <family val="2"/>
      </rPr>
      <t>sample</t>
    </r>
    <r>
      <rPr>
        <sz val="10"/>
        <rFont val="Arial"/>
        <family val="2"/>
        <charset val="1"/>
      </rPr>
      <t xml:space="preserve"> preparation</t>
    </r>
  </si>
  <si>
    <r>
      <t xml:space="preserve">Microscopy, Histology, Immunofluorescence and </t>
    </r>
    <r>
      <rPr>
        <sz val="10"/>
        <color rgb="FFFF0000"/>
        <rFont val="Arial"/>
        <family val="2"/>
      </rPr>
      <t>Sample</t>
    </r>
    <r>
      <rPr>
        <sz val="10"/>
        <rFont val="Arial"/>
        <family val="2"/>
        <charset val="1"/>
      </rPr>
      <t xml:space="preserve"> Preparation</t>
    </r>
  </si>
  <si>
    <r>
      <t xml:space="preserve">How to use </t>
    </r>
    <r>
      <rPr>
        <sz val="10"/>
        <color rgb="FFFF0000"/>
        <rFont val="Arial"/>
        <family val="2"/>
      </rPr>
      <t>equipment</t>
    </r>
    <r>
      <rPr>
        <sz val="10"/>
        <rFont val="Arial"/>
        <family val="2"/>
        <charset val="1"/>
      </rPr>
      <t xml:space="preserve"> correctly, store and evaluate data (</t>
    </r>
    <r>
      <rPr>
        <sz val="10"/>
        <color rgb="FF00B0F0"/>
        <rFont val="Arial"/>
        <family val="2"/>
      </rPr>
      <t>analysis</t>
    </r>
    <r>
      <rPr>
        <sz val="10"/>
        <rFont val="Arial"/>
        <family val="2"/>
        <charset val="1"/>
      </rPr>
      <t xml:space="preserve">). Understand </t>
    </r>
    <r>
      <rPr>
        <sz val="10"/>
        <color rgb="FFFF0000"/>
        <rFont val="Arial"/>
        <family val="2"/>
      </rPr>
      <t>limits</t>
    </r>
    <r>
      <rPr>
        <sz val="10"/>
        <rFont val="Arial"/>
        <family val="2"/>
        <charset val="1"/>
      </rPr>
      <t xml:space="preserve"> of applied method.</t>
    </r>
  </si>
  <si>
    <r>
      <t>We are training students to be able to carry out CRISPR experiments (</t>
    </r>
    <r>
      <rPr>
        <sz val="10"/>
        <color rgb="FF00B0F0"/>
        <rFont val="Arial"/>
        <family val="2"/>
      </rPr>
      <t>technique</t>
    </r>
    <r>
      <rPr>
        <sz val="10"/>
        <rFont val="Arial"/>
        <family val="2"/>
        <charset val="1"/>
      </rPr>
      <t>)</t>
    </r>
  </si>
  <si>
    <r>
      <t xml:space="preserve">minimise bad use of facility </t>
    </r>
    <r>
      <rPr>
        <sz val="10"/>
        <color rgb="FFFF0000"/>
        <rFont val="Arial"/>
        <family val="2"/>
      </rPr>
      <t>equipment</t>
    </r>
  </si>
  <si>
    <r>
      <t>the training should lead the customers through the experiment so that he is able to perform the next experiment by it's own (</t>
    </r>
    <r>
      <rPr>
        <sz val="10"/>
        <color rgb="FFFF0000"/>
        <rFont val="Arial"/>
        <family val="2"/>
      </rPr>
      <t>technique</t>
    </r>
    <r>
      <rPr>
        <sz val="10"/>
        <rFont val="Arial"/>
        <family val="2"/>
        <charset val="1"/>
      </rPr>
      <t>)</t>
    </r>
  </si>
  <si>
    <r>
      <t xml:space="preserve">data </t>
    </r>
    <r>
      <rPr>
        <sz val="10"/>
        <color rgb="FFFF0000"/>
        <rFont val="Arial"/>
        <family val="2"/>
      </rPr>
      <t>analysis</t>
    </r>
  </si>
  <si>
    <r>
      <t>how to use the analyzer, how to plan, execute and analyze properly (</t>
    </r>
    <r>
      <rPr>
        <sz val="10"/>
        <color rgb="FF00B0F0"/>
        <rFont val="Arial"/>
        <family val="2"/>
      </rPr>
      <t>equipment, design, analysis</t>
    </r>
    <r>
      <rPr>
        <sz val="10"/>
        <rFont val="Arial"/>
        <family val="2"/>
        <charset val="1"/>
      </rPr>
      <t>)</t>
    </r>
  </si>
  <si>
    <r>
      <t xml:space="preserve"> -understanding method and technology's fundamental principles and basis of operation. (</t>
    </r>
    <r>
      <rPr>
        <sz val="10"/>
        <color rgb="FF00B0F0"/>
        <rFont val="Arial"/>
        <family val="2"/>
      </rPr>
      <t>theoretical</t>
    </r>
    <r>
      <rPr>
        <sz val="10"/>
        <rFont val="Arial"/>
        <family val="2"/>
        <charset val="1"/>
      </rPr>
      <t xml:space="preserve">)
 -Understanding data </t>
    </r>
    <r>
      <rPr>
        <sz val="10"/>
        <color rgb="FFFF0000"/>
        <rFont val="Arial"/>
        <family val="2"/>
      </rPr>
      <t>quality</t>
    </r>
    <r>
      <rPr>
        <sz val="10"/>
        <rFont val="Arial"/>
        <family val="2"/>
        <charset val="1"/>
      </rPr>
      <t xml:space="preserve"> and assignment principles</t>
    </r>
  </si>
  <si>
    <r>
      <t>To provide the user with the best possible operation of the device (</t>
    </r>
    <r>
      <rPr>
        <sz val="10"/>
        <color rgb="FF00B0F0"/>
        <rFont val="Arial"/>
        <family val="2"/>
      </rPr>
      <t>equipment</t>
    </r>
    <r>
      <rPr>
        <sz val="10"/>
        <rFont val="Arial"/>
        <family val="2"/>
        <charset val="1"/>
      </rPr>
      <t xml:space="preserve">) and to help him in the best possible way. The user should gain security and be able to work </t>
    </r>
    <r>
      <rPr>
        <sz val="10"/>
        <color rgb="FFFF0000"/>
        <rFont val="Arial"/>
        <family val="2"/>
      </rPr>
      <t>independently</t>
    </r>
    <r>
      <rPr>
        <sz val="10"/>
        <rFont val="Arial"/>
        <family val="2"/>
        <charset val="1"/>
      </rPr>
      <t>.
To show the user that he can always ask questions.</t>
    </r>
  </si>
  <si>
    <r>
      <t xml:space="preserve">Training on SOPs for the relevant </t>
    </r>
    <r>
      <rPr>
        <sz val="10"/>
        <color rgb="FFFF0000"/>
        <rFont val="Arial"/>
        <family val="2"/>
      </rPr>
      <t>techniques</t>
    </r>
    <r>
      <rPr>
        <sz val="10"/>
        <rFont val="Arial"/>
        <family val="2"/>
        <charset val="1"/>
      </rPr>
      <t xml:space="preserve"> used in the study.</t>
    </r>
  </si>
  <si>
    <r>
      <rPr>
        <sz val="10"/>
        <color rgb="FFFF0000"/>
        <rFont val="Arial"/>
        <family val="2"/>
      </rPr>
      <t>Safety</t>
    </r>
    <r>
      <rPr>
        <sz val="10"/>
        <rFont val="Arial"/>
        <family val="2"/>
        <charset val="1"/>
      </rPr>
      <t>, reliability (</t>
    </r>
    <r>
      <rPr>
        <sz val="10"/>
        <color rgb="FF00B0F0"/>
        <rFont val="Arial"/>
        <family val="2"/>
      </rPr>
      <t>quality</t>
    </r>
    <r>
      <rPr>
        <sz val="10"/>
        <rFont val="Arial"/>
        <family val="2"/>
        <charset val="1"/>
      </rPr>
      <t>), teaching</t>
    </r>
  </si>
  <si>
    <r>
      <t xml:space="preserve">To be trained to use the </t>
    </r>
    <r>
      <rPr>
        <sz val="10"/>
        <color rgb="FFFF0000"/>
        <rFont val="Arial"/>
        <family val="2"/>
      </rPr>
      <t>equipment</t>
    </r>
    <r>
      <rPr>
        <sz val="10"/>
        <rFont val="Arial"/>
        <family val="2"/>
        <charset val="1"/>
      </rPr>
      <t xml:space="preserve"> in a proper way with regards to technical as well as scientific aspects.</t>
    </r>
  </si>
  <si>
    <r>
      <t>be sure that a user understand what he/she is doing  with the instruments/ experiment  (</t>
    </r>
    <r>
      <rPr>
        <sz val="10"/>
        <color rgb="FF00B0F0"/>
        <rFont val="Arial"/>
        <family val="2"/>
      </rPr>
      <t>equipment</t>
    </r>
    <r>
      <rPr>
        <sz val="10"/>
        <rFont val="Arial"/>
        <family val="2"/>
        <charset val="1"/>
      </rPr>
      <t>)</t>
    </r>
  </si>
  <si>
    <r>
      <t>processing of Tissue, fixation, use of suitable antibodies (</t>
    </r>
    <r>
      <rPr>
        <sz val="10"/>
        <color rgb="FF00B0F0"/>
        <rFont val="Arial"/>
        <family val="2"/>
      </rPr>
      <t>technique</t>
    </r>
    <r>
      <rPr>
        <sz val="10"/>
        <rFont val="Arial"/>
        <family val="2"/>
        <charset val="1"/>
      </rPr>
      <t>)</t>
    </r>
  </si>
  <si>
    <r>
      <rPr>
        <sz val="10"/>
        <color rgb="FFFF0000"/>
        <rFont val="Arial"/>
        <family val="2"/>
      </rPr>
      <t>safety</t>
    </r>
    <r>
      <rPr>
        <sz val="10"/>
        <rFont val="Arial"/>
        <family val="2"/>
        <charset val="1"/>
      </rPr>
      <t xml:space="preserve">, </t>
    </r>
    <r>
      <rPr>
        <sz val="10"/>
        <color rgb="FFFF0000"/>
        <rFont val="Arial"/>
        <family val="2"/>
      </rPr>
      <t>sample</t>
    </r>
    <r>
      <rPr>
        <sz val="10"/>
        <rFont val="Arial"/>
        <family val="2"/>
        <charset val="1"/>
      </rPr>
      <t xml:space="preserve"> preparation, microscope handling (</t>
    </r>
    <r>
      <rPr>
        <sz val="10"/>
        <color rgb="FF00B0F0"/>
        <rFont val="Arial"/>
        <family val="2"/>
      </rPr>
      <t>equipment</t>
    </r>
    <r>
      <rPr>
        <sz val="10"/>
        <rFont val="Arial"/>
        <family val="2"/>
        <charset val="1"/>
      </rPr>
      <t>)</t>
    </r>
  </si>
  <si>
    <r>
      <t xml:space="preserve">The most important aspect is that the user learns to use the </t>
    </r>
    <r>
      <rPr>
        <sz val="10"/>
        <color rgb="FFFF0000"/>
        <rFont val="Arial"/>
        <family val="2"/>
      </rPr>
      <t>equipment</t>
    </r>
    <r>
      <rPr>
        <sz val="10"/>
        <rFont val="Arial"/>
        <family val="2"/>
        <charset val="1"/>
      </rPr>
      <t xml:space="preserve"> correctly, on the one hand to perform the measurement reproducibly and scientifically correct (</t>
    </r>
    <r>
      <rPr>
        <sz val="10"/>
        <color rgb="FF00B0F0"/>
        <rFont val="Arial"/>
        <family val="2"/>
      </rPr>
      <t>quality</t>
    </r>
    <r>
      <rPr>
        <sz val="10"/>
        <rFont val="Arial"/>
        <family val="2"/>
        <charset val="1"/>
      </rPr>
      <t>), and on the other hand so that the equipment is used without a risk of breaking it.</t>
    </r>
  </si>
  <si>
    <r>
      <rPr>
        <sz val="10"/>
        <color rgb="FFFF0000"/>
        <rFont val="Arial"/>
        <family val="2"/>
      </rPr>
      <t>Design</t>
    </r>
    <r>
      <rPr>
        <sz val="10"/>
        <rFont val="Arial"/>
        <family val="2"/>
        <charset val="1"/>
      </rPr>
      <t xml:space="preserve"> of experiment and </t>
    </r>
    <r>
      <rPr>
        <sz val="10"/>
        <color rgb="FFFF0000"/>
        <rFont val="Arial"/>
        <family val="2"/>
      </rPr>
      <t>analysis</t>
    </r>
  </si>
  <si>
    <r>
      <rPr>
        <sz val="10"/>
        <color rgb="FFFF0000"/>
        <rFont val="Arial"/>
        <family val="2"/>
      </rPr>
      <t>safety</t>
    </r>
    <r>
      <rPr>
        <sz val="10"/>
        <rFont val="Arial"/>
        <family val="2"/>
        <charset val="1"/>
      </rPr>
      <t xml:space="preserve"> for instruments and users, </t>
    </r>
    <r>
      <rPr>
        <sz val="10"/>
        <color rgb="FFFF0000"/>
        <rFont val="Arial"/>
        <family val="2"/>
      </rPr>
      <t>quality</t>
    </r>
    <r>
      <rPr>
        <sz val="10"/>
        <rFont val="Arial"/>
        <family val="2"/>
        <charset val="1"/>
      </rPr>
      <t xml:space="preserve"> of results, throughput</t>
    </r>
  </si>
  <si>
    <r>
      <t>The injection training. We inject mostly Morpholinos, if the volume changes there you will get a high variance in your results. (</t>
    </r>
    <r>
      <rPr>
        <sz val="10"/>
        <color rgb="FF00B0F0"/>
        <rFont val="Arial"/>
        <family val="2"/>
      </rPr>
      <t>technique</t>
    </r>
    <r>
      <rPr>
        <sz val="10"/>
        <rFont val="Arial"/>
        <family val="2"/>
        <charset val="1"/>
      </rPr>
      <t>)</t>
    </r>
  </si>
  <si>
    <r>
      <t>hands on- to ensure machines work properly (</t>
    </r>
    <r>
      <rPr>
        <sz val="10"/>
        <color rgb="FF00B0F0"/>
        <rFont val="Arial"/>
        <family val="2"/>
      </rPr>
      <t>equipment</t>
    </r>
    <r>
      <rPr>
        <sz val="10"/>
        <rFont val="Arial"/>
        <family val="2"/>
        <charset val="1"/>
      </rPr>
      <t>)</t>
    </r>
  </si>
  <si>
    <r>
      <rPr>
        <sz val="10"/>
        <color rgb="FFFF0000"/>
        <rFont val="Arial"/>
        <family val="2"/>
      </rPr>
      <t>theorical</t>
    </r>
    <r>
      <rPr>
        <sz val="10"/>
        <rFont val="Arial"/>
        <family val="2"/>
        <charset val="1"/>
      </rPr>
      <t xml:space="preserve"> and technical aspects (</t>
    </r>
    <r>
      <rPr>
        <sz val="10"/>
        <color rgb="FF00B0F0"/>
        <rFont val="Arial"/>
        <family val="2"/>
      </rPr>
      <t>technique</t>
    </r>
    <r>
      <rPr>
        <sz val="10"/>
        <rFont val="Arial"/>
        <family val="2"/>
        <charset val="1"/>
      </rPr>
      <t>)</t>
    </r>
  </si>
  <si>
    <r>
      <rPr>
        <sz val="10"/>
        <color rgb="FFFF0000"/>
        <rFont val="Arial"/>
        <family val="2"/>
      </rPr>
      <t>sample</t>
    </r>
    <r>
      <rPr>
        <sz val="10"/>
        <rFont val="Arial"/>
        <family val="2"/>
        <charset val="1"/>
      </rPr>
      <t xml:space="preserve"> preparation and data </t>
    </r>
    <r>
      <rPr>
        <sz val="10"/>
        <color rgb="FFFF0000"/>
        <rFont val="Arial"/>
        <family val="2"/>
      </rPr>
      <t>analysis</t>
    </r>
    <r>
      <rPr>
        <sz val="10"/>
        <rFont val="Arial"/>
        <family val="2"/>
        <charset val="1"/>
      </rPr>
      <t xml:space="preserve"> for biological interpretation</t>
    </r>
  </si>
  <si>
    <r>
      <t xml:space="preserve">Knowledge about the </t>
    </r>
    <r>
      <rPr>
        <sz val="10"/>
        <color rgb="FFFF0000"/>
        <rFont val="Arial"/>
        <family val="2"/>
      </rPr>
      <t>technique</t>
    </r>
    <r>
      <rPr>
        <sz val="10"/>
        <rFont val="Arial"/>
        <family val="2"/>
        <charset val="1"/>
      </rPr>
      <t xml:space="preserve"> and how to handle the instruments with care. (</t>
    </r>
    <r>
      <rPr>
        <sz val="10"/>
        <color rgb="FF00B0F0"/>
        <rFont val="Arial"/>
        <family val="2"/>
      </rPr>
      <t>equipment</t>
    </r>
    <r>
      <rPr>
        <sz val="10"/>
        <rFont val="Arial"/>
        <family val="2"/>
        <charset val="1"/>
      </rPr>
      <t xml:space="preserve">) Moreover, they need to know what the research questions and using the right </t>
    </r>
    <r>
      <rPr>
        <sz val="10"/>
        <color rgb="FFFF0000"/>
        <rFont val="Arial"/>
        <family val="2"/>
      </rPr>
      <t>controls</t>
    </r>
    <r>
      <rPr>
        <sz val="10"/>
        <rFont val="Arial"/>
        <family val="2"/>
        <charset val="1"/>
      </rPr>
      <t xml:space="preserve"> for their experiments.</t>
    </r>
  </si>
  <si>
    <r>
      <t>Practical sessions and protocol overview (</t>
    </r>
    <r>
      <rPr>
        <sz val="10"/>
        <color rgb="FF00B0F0"/>
        <rFont val="Arial"/>
        <family val="2"/>
      </rPr>
      <t>technique</t>
    </r>
    <r>
      <rPr>
        <sz val="10"/>
        <rFont val="Arial"/>
        <family val="2"/>
        <charset val="1"/>
      </rPr>
      <t>)</t>
    </r>
  </si>
  <si>
    <t>theory</t>
  </si>
  <si>
    <t>rules to follow</t>
  </si>
  <si>
    <t>safety</t>
  </si>
  <si>
    <t>controls</t>
  </si>
  <si>
    <t>Understand and interprete the QC at each experimental step</t>
  </si>
  <si>
    <t>Improvement of the experimental design (number of replicates, number and type of controls)
Quality check of starting material</t>
  </si>
  <si>
    <t>ftp</t>
  </si>
  <si>
    <t>If needed, we can perform data analysis as scientific collaboration. It is not included in the standard service. It concerns about half of the projects treated on the core facility. This is an extra free of charge but we ask co-authorship on papers if our contribution is significant.</t>
  </si>
  <si>
    <t>we organize several bioinformatics trainings per year</t>
  </si>
  <si>
    <t>Don't really know what it would add</t>
  </si>
  <si>
    <t>LIMS for projects management
Our platform is certified ISO 9001as well as NFX50-900 (french norm dedicated to technological core facilities)</t>
  </si>
  <si>
    <t>traceability ; standardized procedures ; trained staff ; rigorously maintained and updated equipments</t>
  </si>
  <si>
    <t>improved delivery times</t>
  </si>
  <si>
    <t>the lack of staff</t>
  </si>
  <si>
    <t>More advertising in intranet and other internal ways of university and hospital.</t>
  </si>
  <si>
    <t>People need to know how to contact you, it has to be easy and without installing a program oder app. Support may need time and might be good for bigger core facilities, for smaller ones it might be more work than help.</t>
  </si>
  <si>
    <t>- how do my samples have to be prepared BEFORE coming
- what is possible/ where are the limitations
- which results may I get
- how to operate the instruments
- how to interpret the results
- which problems of over interpreting might occur</t>
  </si>
  <si>
    <t>- Mostly knowledge about earlier experiments on the same/similar topic.
- Good paper about the topic</t>
  </si>
  <si>
    <t>central storage server inside the core facility (short/mid-term)</t>
  </si>
  <si>
    <t>university IT infrastructure for long term and backup</t>
  </si>
  <si>
    <t>server, cloud (depending on needs of user)</t>
  </si>
  <si>
    <t>depending on amount of data</t>
  </si>
  <si>
    <t>depending on the data and the technical possibilities of such control mechanisms</t>
  </si>
  <si>
    <t>our core facility has no influence in documentation at the users. If someone does not document important features, we do not know for sure about that.</t>
  </si>
  <si>
    <t>Staff from the core facility can double check if the conclusions can be legit (due to their knowledge about the method)</t>
  </si>
  <si>
    <t>More quality management and possibility of knowing who wrote the plan and at which date (maybe chemicals or instruments changed due to the time)</t>
  </si>
  <si>
    <t>More staff (up to 80% of the instruments are not used, because we are not enough people to operate them all at the same time)</t>
  </si>
  <si>
    <t>Getting founding for the core facility especially in staff is much harder than getting new instruments.</t>
  </si>
  <si>
    <t>direct communication works best, but is most time consuming</t>
  </si>
  <si>
    <t>only rarely in form of students courses</t>
  </si>
  <si>
    <t>numerous optimizations and suggestions to protocols, advice mostly biochemical.</t>
  </si>
  <si>
    <t>automatically captured by LIMS, long term stored on internal central servers</t>
  </si>
  <si>
    <t>mostly not properly trained</t>
  </si>
  <si>
    <t>We are no statisticians</t>
  </si>
  <si>
    <t>If some clever idea how to do so is around :-)</t>
  </si>
  <si>
    <t>raw data deposit on PRIDE</t>
  </si>
  <si>
    <t>Users need to be pushed more rigorously to deposit high quality protocols of their experiments until they hand over samples to core facility</t>
  </si>
  <si>
    <t>this avoids misinterpretation of the data at all analysis levels. We are writing the mat meth parts anyway, our users are mostly not able to do so</t>
  </si>
  <si>
    <t>we review and revise the manuscripts before submission to journals</t>
  </si>
  <si>
    <t>Actually, I don´t know, what is a data management plan??</t>
  </si>
  <si>
    <t>QC at all levels of the analytical process (sample prep, digest, HPLC, mass spec), all home made and experience driven.</t>
  </si>
  <si>
    <t>Trained personnel, constant updating of  training and research equipment, time for R&amp;D (optimization of all processes)</t>
  </si>
  <si>
    <t>More people, higher level of experience and better training, state-of-the-art equipment</t>
  </si>
  <si>
    <t>The key challenge for any Core facility is to remain at the forefront of technology. This can only be achieved if the people involved are also pursuing research and stay motivated to improve their skills.</t>
  </si>
  <si>
    <t>Establishing standard procedures to ensure that, when techniques are required that the facility offers, the facility gets involved early during project planning.</t>
  </si>
  <si>
    <t>Basic understanding what a technique can do and a technique can't do.</t>
  </si>
  <si>
    <t>Part of initial training and reminders during face-to-face discussions when users are at the facility.</t>
  </si>
  <si>
    <t>occasionally as a workaround</t>
  </si>
  <si>
    <t>Data analysis support is offered, but not all users use it.</t>
  </si>
  <si>
    <t>Facility should be consulted when manuscripts are written to co-write and check experimental procedure documentation.</t>
  </si>
  <si>
    <t>Check of 'materials and methods' - section.
Facility knows which image adjustment procedures are allowed and which are not.
Quality control for super-resolution light microscopy techniques.</t>
  </si>
  <si>
    <t>Explain importance in face-to-face meetings.</t>
  </si>
  <si>
    <t>Standard protocols.
Documentation.
Regular meetings with users.</t>
  </si>
  <si>
    <t>Facility should be involved from planning of experiments until manuscript writing.
Stable budget is required.</t>
  </si>
  <si>
    <t>For most universities, the concept of a research-driven facility is new. Thus, it is very challenging to implement administrative and organisational prerequisits for running such a facility within the structure of the university.</t>
  </si>
  <si>
    <t>Quality assurance</t>
  </si>
  <si>
    <t>Instrument quality control, quality assurance, SOPs, data Analysis and management, training and education of both users and staff</t>
  </si>
  <si>
    <t>Providing tools for analysis of high-dimensional (big) data.</t>
  </si>
  <si>
    <t>Keeping CF infrastructure up-to-date.</t>
  </si>
  <si>
    <t>Feed-back upon discussion of results</t>
  </si>
  <si>
    <t>Yes, person is trained</t>
  </si>
  <si>
    <t>We have out own QC if we are to analyze the data. We do not take responsibility for projects where the user is to analyze the data. We always QC the raw data provided.</t>
  </si>
  <si>
    <t>User always get the raw data and processed data (if latter applies). Each image can be tracked to a specific plate, well etc.</t>
  </si>
  <si>
    <t>Depending on the expertise of the user, the facility could improve the part regarding their expertise area.</t>
  </si>
  <si>
    <t>We work hard on our reputation and the users trust our expertise</t>
  </si>
  <si>
    <t>This will be required in the near future..</t>
  </si>
  <si>
    <t>Standard operations procedures, replicates, sample preparation controls</t>
  </si>
  <si>
    <t>routines for contracts, invoicing, data management plans</t>
  </si>
  <si>
    <t>increased data amounts, need for better analysis suport to the user (more funding to offer this)</t>
  </si>
  <si>
    <t>People should really understand what they do.</t>
  </si>
  <si>
    <t>mri</t>
  </si>
  <si>
    <t>Yes, I do see obstacles every day.
We are inside a hospital network and barely able to use services of the university computer center.</t>
  </si>
  <si>
    <t>Safety of subjects and staff members.</t>
  </si>
  <si>
    <t>We provide instructions on how to setup and analyze experiments. Sometimes we provide support for writing paradigms.
We always perform test measurements, so the researchers can check the complete path from data acquisition up to the analysis.</t>
  </si>
  <si>
    <t>we host a number of servers (file servers, compute servers, ...)</t>
  </si>
  <si>
    <t>normally not at all</t>
  </si>
  <si>
    <t>most users use our computers for data analysis.</t>
  </si>
  <si>
    <t>some users are already experienced, others need details about the analysis</t>
  </si>
  <si>
    <t>We always talk about additional features and finally we create bureaucracy but no additional positions, who take care of this...</t>
  </si>
  <si>
    <t>don't want to answer.</t>
  </si>
  <si>
    <t>we provide detailed information about the measurements and the procedures of the core facility. This information is available to the researchers. We can only offer support and point out complications. I don't expect that control mechanisms would work, as I have seen how professors / researchers 'use' their data.</t>
  </si>
  <si>
    <t>We provide it for free, explain the procedures...</t>
  </si>
  <si>
    <t>could help users to think more about data analysis...</t>
  </si>
  <si>
    <t>independence (funding), independence (staff)
data quality of the core facility is good but could be improved in some places.</t>
  </si>
  <si>
    <t>The communication with the users would improve with a communication software.</t>
  </si>
  <si>
    <t>Sample submission guides</t>
  </si>
  <si>
    <t>recombinant viruses</t>
  </si>
  <si>
    <t>We are producing biological material. It has nothing to do with bioinformatic or digital data.</t>
  </si>
  <si>
    <t>Not applicable. Usually, we provide training if a user specifically asks for. We do not do it on a regular basis.</t>
  </si>
  <si>
    <t>We are giving an advise (1) what serotype of the recombinant viral prep (AAV - adeno-associated virus) to use in a certain situation; (2) what genetic elements in a viral construct would be most optimal; (3) how to increase tissue specificity of viral-mediated gene transfer.</t>
  </si>
  <si>
    <t>Not applicable. We are selling viral preps to the customers.</t>
  </si>
  <si>
    <t>We are not dealing with data generation. We are selling the viral preps to the customers.</t>
  </si>
  <si>
    <t>We are not generating the "raw" data.</t>
  </si>
  <si>
    <t>We are not generating "raw" data.</t>
  </si>
  <si>
    <t>We are not generating the "raw" data. We are selling the viral preps to the customers.</t>
  </si>
  <si>
    <t>It's totally up to the end user/customer on how to use the viral preps, which we generated for him/her.</t>
  </si>
  <si>
    <t>Nothing. They are interested to get the necessary information.</t>
  </si>
  <si>
    <t>We don't need it. We are not generating the "raw" data.</t>
  </si>
  <si>
    <t>State-of-the-art microscopy, ultracentrifuges.</t>
  </si>
  <si>
    <t>Not applicable.</t>
  </si>
  <si>
    <t>Speed-up the viral production and testing time.</t>
  </si>
  <si>
    <t>Greater faculty enggment with research facilities</t>
  </si>
  <si>
    <t>Staff knowledge lacking and investment of time to develop.</t>
  </si>
  <si>
    <t>Safe use of equipment</t>
  </si>
  <si>
    <t>Agarose gel images and excerpts from literature.</t>
  </si>
  <si>
    <t>Sequencer PC</t>
  </si>
  <si>
    <t>Google</t>
  </si>
  <si>
    <t>G-mail or google drive</t>
  </si>
  <si>
    <t>Often the users include only limited information</t>
  </si>
  <si>
    <t>Verbal prompts</t>
  </si>
  <si>
    <t>Tracking and tracing version control</t>
  </si>
  <si>
    <t>Servicing of equipment and quality of reagents.</t>
  </si>
  <si>
    <t>Investment in equipment.</t>
  </si>
  <si>
    <t>Lack of prioritising research facilites investment and structures by faculty.</t>
  </si>
  <si>
    <t>Most of time no, but if there are users that heavily use MS-proteomics, then yes, we do train them to do sample preparation for MS analysis.
For the data analysis we give users the option to be trained or not with the data analysis software,</t>
  </si>
  <si>
    <t>Suggesting replicates and sometimes to check the samples (e.g. cells in culture) before extracting proteins for analysis.</t>
  </si>
  <si>
    <t>PRIDE</t>
  </si>
  <si>
    <t>We do not transfer the RAW data. They are stored in the Institute server (so they can be access by the users through the facility at any time). We transfer only the analysed data through the network</t>
  </si>
  <si>
    <t>It's in the Material and Methods or similar in the manuscript</t>
  </si>
  <si>
    <t>We are already involved to make figures and write methods</t>
  </si>
  <si>
    <t>We work in collaboration with the users, therefore both facility and researcher are engaged in the experiments. Therefore it is clear since the beginning that we are doing our best to get good quality data for the project</t>
  </si>
  <si>
    <t>There is one written by the institute. The institute could provide it</t>
  </si>
  <si>
    <t>We have quite some funding and got 2 new instruments in the last 5 years, however, I'd wish to have funding to be able to routinely replace old (5 years) with new instruments to keep the technology state of the art and improve portfolio.</t>
  </si>
  <si>
    <t>DNA sequencing</t>
  </si>
  <si>
    <t>One way communication (CF &gt; user). Project tracking system (TraqBio).</t>
  </si>
  <si>
    <t>Introducing handling of sequencing/preparation devices.</t>
  </si>
  <si>
    <t>discussion during project planning phase - if CF is involved.</t>
  </si>
  <si>
    <t>Another CF is doing statistical analysis</t>
  </si>
  <si>
    <t>discussion with user</t>
  </si>
  <si>
    <t>establish a lab management system in order to shift the work from organization to science</t>
  </si>
  <si>
    <r>
      <t xml:space="preserve">Making sure the users understand the </t>
    </r>
    <r>
      <rPr>
        <sz val="10"/>
        <color rgb="FFFF0000"/>
        <rFont val="Arial"/>
        <family val="2"/>
      </rPr>
      <t>technology</t>
    </r>
    <r>
      <rPr>
        <sz val="10"/>
        <rFont val="Arial"/>
        <family val="2"/>
        <charset val="1"/>
      </rPr>
      <t xml:space="preserve"> (</t>
    </r>
    <r>
      <rPr>
        <sz val="10"/>
        <color rgb="FF00B0F0"/>
        <rFont val="Arial"/>
        <family val="2"/>
      </rPr>
      <t>technique</t>
    </r>
    <r>
      <rPr>
        <sz val="10"/>
        <rFont val="Arial"/>
        <family val="2"/>
        <charset val="1"/>
      </rPr>
      <t xml:space="preserve">) and obey the </t>
    </r>
    <r>
      <rPr>
        <sz val="10"/>
        <color rgb="FFFF0000"/>
        <rFont val="Arial"/>
        <family val="2"/>
      </rPr>
      <t>rules</t>
    </r>
    <r>
      <rPr>
        <sz val="10"/>
        <rFont val="Arial"/>
        <family val="2"/>
        <charset val="1"/>
      </rPr>
      <t xml:space="preserve"> of the platform</t>
    </r>
  </si>
  <si>
    <r>
      <t xml:space="preserve">Train to use </t>
    </r>
    <r>
      <rPr>
        <sz val="10"/>
        <color rgb="FFFF0000"/>
        <rFont val="Arial"/>
        <family val="2"/>
      </rPr>
      <t>equipment independently</t>
    </r>
  </si>
  <si>
    <r>
      <t>Ensuring that users are able to obtain correct and relevant data (</t>
    </r>
    <r>
      <rPr>
        <sz val="10"/>
        <color rgb="FF00B0F0"/>
        <rFont val="Arial"/>
        <family val="2"/>
      </rPr>
      <t>technique</t>
    </r>
    <r>
      <rPr>
        <sz val="10"/>
        <rFont val="Arial"/>
        <family val="2"/>
        <charset val="1"/>
      </rPr>
      <t>)</t>
    </r>
  </si>
  <si>
    <r>
      <t>Proper use of cytometers. (</t>
    </r>
    <r>
      <rPr>
        <sz val="10"/>
        <color rgb="FF00B0F0"/>
        <rFont val="Arial"/>
        <family val="2"/>
      </rPr>
      <t>equipment</t>
    </r>
    <r>
      <rPr>
        <sz val="10"/>
        <rFont val="Arial"/>
        <family val="2"/>
        <charset val="1"/>
      </rPr>
      <t>)</t>
    </r>
  </si>
  <si>
    <r>
      <t xml:space="preserve">How to </t>
    </r>
    <r>
      <rPr>
        <sz val="10"/>
        <color rgb="FFFF0000"/>
        <rFont val="Arial"/>
        <family val="2"/>
      </rPr>
      <t>design</t>
    </r>
    <r>
      <rPr>
        <sz val="10"/>
        <rFont val="Arial"/>
        <family val="2"/>
        <charset val="1"/>
      </rPr>
      <t xml:space="preserve"> the experiment so that the researchers measures what he/she actually intends to measure</t>
    </r>
  </si>
  <si>
    <r>
      <t xml:space="preserve">To help the users to be </t>
    </r>
    <r>
      <rPr>
        <sz val="10"/>
        <color rgb="FFFF0000"/>
        <rFont val="Arial"/>
        <family val="2"/>
      </rPr>
      <t>independently</t>
    </r>
    <r>
      <rPr>
        <sz val="10"/>
        <rFont val="Arial"/>
        <family val="2"/>
        <charset val="1"/>
      </rPr>
      <t xml:space="preserve"> able to use the </t>
    </r>
    <r>
      <rPr>
        <sz val="10"/>
        <color rgb="FF00B0F0"/>
        <rFont val="Arial"/>
        <family val="2"/>
      </rPr>
      <t>equipment</t>
    </r>
    <r>
      <rPr>
        <sz val="10"/>
        <rFont val="Arial"/>
        <family val="2"/>
        <charset val="1"/>
      </rPr>
      <t xml:space="preserve"> and to understand optimal ways to prepare </t>
    </r>
    <r>
      <rPr>
        <sz val="10"/>
        <color rgb="FFFF0000"/>
        <rFont val="Arial"/>
        <family val="2"/>
      </rPr>
      <t>samples</t>
    </r>
    <r>
      <rPr>
        <sz val="10"/>
        <rFont val="Arial"/>
        <family val="2"/>
        <charset val="1"/>
      </rPr>
      <t xml:space="preserve"> for their experiments. To make sure that the technicians and facility manager are up to date in their knowledge and expertise.</t>
    </r>
  </si>
  <si>
    <r>
      <t>attention to detail (</t>
    </r>
    <r>
      <rPr>
        <sz val="10"/>
        <color rgb="FF00B0F0"/>
        <rFont val="Arial"/>
        <family val="2"/>
      </rPr>
      <t>quality</t>
    </r>
    <r>
      <rPr>
        <sz val="10"/>
        <rFont val="Arial"/>
        <family val="2"/>
        <charset val="1"/>
      </rPr>
      <t xml:space="preserve">) and </t>
    </r>
    <r>
      <rPr>
        <sz val="10"/>
        <color rgb="FFFF0000"/>
        <rFont val="Arial"/>
        <family val="2"/>
      </rPr>
      <t>safety</t>
    </r>
  </si>
  <si>
    <r>
      <t xml:space="preserve">Users need to understand what the Lab provides and how they can access training. </t>
    </r>
    <r>
      <rPr>
        <sz val="10"/>
        <color rgb="FFFF0000"/>
        <rFont val="Arial"/>
        <family val="2"/>
      </rPr>
      <t>Sample</t>
    </r>
    <r>
      <rPr>
        <sz val="10"/>
        <rFont val="Arial"/>
        <family val="2"/>
        <charset val="1"/>
      </rPr>
      <t xml:space="preserve"> prep seems a common aspect in all cores</t>
    </r>
  </si>
  <si>
    <r>
      <t xml:space="preserve">Most of the training we give is so that users can use the </t>
    </r>
    <r>
      <rPr>
        <sz val="10"/>
        <color rgb="FFFF0000"/>
        <rFont val="Arial"/>
        <family val="2"/>
      </rPr>
      <t>equipment</t>
    </r>
    <r>
      <rPr>
        <sz val="10"/>
        <rFont val="Arial"/>
        <family val="2"/>
        <charset val="1"/>
      </rPr>
      <t>/</t>
    </r>
    <r>
      <rPr>
        <sz val="10"/>
        <color rgb="FFFF0000"/>
        <rFont val="Arial"/>
        <family val="2"/>
      </rPr>
      <t>software</t>
    </r>
    <r>
      <rPr>
        <sz val="10"/>
        <rFont val="Arial"/>
        <family val="2"/>
        <charset val="1"/>
      </rPr>
      <t xml:space="preserve"> themselves. There is a H&amp;S aspect to this as well as a </t>
    </r>
    <r>
      <rPr>
        <sz val="10"/>
        <color rgb="FFFF0000"/>
        <rFont val="Arial"/>
        <family val="2"/>
      </rPr>
      <t>theoretical</t>
    </r>
    <r>
      <rPr>
        <sz val="10"/>
        <rFont val="Arial"/>
        <family val="2"/>
        <charset val="1"/>
      </rPr>
      <t xml:space="preserve"> understanding and scientific </t>
    </r>
    <r>
      <rPr>
        <sz val="10"/>
        <color rgb="FFFF0000"/>
        <rFont val="Arial"/>
        <family val="2"/>
      </rPr>
      <t>quality</t>
    </r>
    <r>
      <rPr>
        <sz val="10"/>
        <rFont val="Arial"/>
        <family val="2"/>
        <charset val="1"/>
      </rPr>
      <t xml:space="preserve"> aspect, which are all equally important but overall </t>
    </r>
    <r>
      <rPr>
        <sz val="10"/>
        <color rgb="FFFF0000"/>
        <rFont val="Arial"/>
        <family val="2"/>
      </rPr>
      <t>safety</t>
    </r>
    <r>
      <rPr>
        <sz val="10"/>
        <rFont val="Arial"/>
        <family val="2"/>
        <charset val="1"/>
      </rPr>
      <t xml:space="preserve"> has to come first if pushed for the most important aspect in our core.</t>
    </r>
  </si>
  <si>
    <r>
      <t xml:space="preserve">using the machines </t>
    </r>
    <r>
      <rPr>
        <sz val="10"/>
        <color rgb="FFFF0000"/>
        <rFont val="Arial"/>
        <family val="2"/>
      </rPr>
      <t>software</t>
    </r>
    <r>
      <rPr>
        <sz val="10"/>
        <rFont val="Arial"/>
        <family val="2"/>
        <charset val="1"/>
      </rPr>
      <t xml:space="preserve"> </t>
    </r>
  </si>
  <si>
    <r>
      <t xml:space="preserve">Clarity and knowledge of how to use the </t>
    </r>
    <r>
      <rPr>
        <sz val="10"/>
        <color rgb="FFFF0000"/>
        <rFont val="Arial"/>
        <family val="2"/>
      </rPr>
      <t>software</t>
    </r>
    <r>
      <rPr>
        <sz val="10"/>
        <rFont val="Arial"/>
        <family val="2"/>
        <charset val="1"/>
      </rPr>
      <t xml:space="preserve"> </t>
    </r>
  </si>
  <si>
    <r>
      <t>Mostly involves with training in the operation of the instrument (</t>
    </r>
    <r>
      <rPr>
        <sz val="10"/>
        <color rgb="FF00B0F0"/>
        <rFont val="Arial"/>
        <family val="2"/>
      </rPr>
      <t>equipment</t>
    </r>
    <r>
      <rPr>
        <sz val="10"/>
        <rFont val="Arial"/>
        <family val="2"/>
        <charset val="1"/>
      </rPr>
      <t xml:space="preserve">) as well as data </t>
    </r>
    <r>
      <rPr>
        <sz val="10"/>
        <color rgb="FFFF0000"/>
        <rFont val="Arial"/>
        <family val="2"/>
      </rPr>
      <t>analysis</t>
    </r>
  </si>
  <si>
    <r>
      <t>Confidence that the users understand what they've been taught and take that knowledge away with them. My personal ethos about running a core facility is that as well as providing equipment/services, our main purpose is to provide knowledge and skills to our users. (</t>
    </r>
    <r>
      <rPr>
        <sz val="10"/>
        <color rgb="FF00B0F0"/>
        <rFont val="Arial"/>
        <family val="2"/>
      </rPr>
      <t>theoretical, technique</t>
    </r>
    <r>
      <rPr>
        <sz val="10"/>
        <rFont val="Arial"/>
        <family val="2"/>
        <charset val="1"/>
      </rPr>
      <t>)</t>
    </r>
  </si>
  <si>
    <r>
      <t xml:space="preserve">To ensure best practice is taken away from any training, and an understanding on how to generate good </t>
    </r>
    <r>
      <rPr>
        <sz val="10"/>
        <color rgb="FFFF0000"/>
        <rFont val="Arial"/>
        <family val="2"/>
      </rPr>
      <t>quality</t>
    </r>
    <r>
      <rPr>
        <sz val="10"/>
        <rFont val="Arial"/>
        <family val="2"/>
        <charset val="1"/>
      </rPr>
      <t xml:space="preserve"> research data, pros/cons on performing experiments certain ways (</t>
    </r>
    <r>
      <rPr>
        <sz val="10"/>
        <color rgb="FF00B0F0"/>
        <rFont val="Arial"/>
        <family val="2"/>
      </rPr>
      <t>technique</t>
    </r>
    <r>
      <rPr>
        <sz val="10"/>
        <rFont val="Arial"/>
        <family val="2"/>
        <charset val="1"/>
      </rPr>
      <t>)</t>
    </r>
  </si>
  <si>
    <r>
      <t>people should understand (</t>
    </r>
    <r>
      <rPr>
        <sz val="10"/>
        <color rgb="FF00B0F0"/>
        <rFont val="Arial"/>
        <family val="2"/>
      </rPr>
      <t>theoretical</t>
    </r>
    <r>
      <rPr>
        <sz val="10"/>
        <rFont val="Arial"/>
        <family val="2"/>
        <charset val="1"/>
      </rPr>
      <t>)what they are doing, not just copy from established experiments from colleagues or CF staff</t>
    </r>
  </si>
  <si>
    <r>
      <t>The users must understand what we are doing to plan the experiments and interpret the data. (</t>
    </r>
    <r>
      <rPr>
        <sz val="10"/>
        <color rgb="FF00B0F0"/>
        <rFont val="Arial"/>
        <family val="2"/>
      </rPr>
      <t>theoretical, analysis</t>
    </r>
    <r>
      <rPr>
        <sz val="10"/>
        <rFont val="Arial"/>
        <family val="2"/>
        <charset val="1"/>
      </rPr>
      <t>)</t>
    </r>
  </si>
  <si>
    <r>
      <t xml:space="preserve">Possibilities and </t>
    </r>
    <r>
      <rPr>
        <sz val="10"/>
        <color rgb="FFFF0000"/>
        <rFont val="Arial"/>
        <family val="2"/>
      </rPr>
      <t>Limitations</t>
    </r>
    <r>
      <rPr>
        <sz val="10"/>
        <rFont val="Arial"/>
        <family val="2"/>
        <charset val="1"/>
      </rPr>
      <t xml:space="preserve"> of  methods, background knowledge for students/postDocs (</t>
    </r>
    <r>
      <rPr>
        <sz val="10"/>
        <color rgb="FF00B0F0"/>
        <rFont val="Arial"/>
        <family val="2"/>
      </rPr>
      <t>theoretical</t>
    </r>
    <r>
      <rPr>
        <sz val="10"/>
        <rFont val="Arial"/>
        <family val="2"/>
        <charset val="1"/>
      </rPr>
      <t>)</t>
    </r>
  </si>
  <si>
    <r>
      <t xml:space="preserve">Convincing people to provide the correct </t>
    </r>
    <r>
      <rPr>
        <sz val="10"/>
        <color rgb="FFFF0000"/>
        <rFont val="Arial"/>
        <family val="2"/>
      </rPr>
      <t>controls</t>
    </r>
    <r>
      <rPr>
        <sz val="10"/>
        <rFont val="Arial"/>
        <family val="2"/>
        <charset val="1"/>
      </rPr>
      <t>.</t>
    </r>
  </si>
  <si>
    <r>
      <t>Cytometer operation (</t>
    </r>
    <r>
      <rPr>
        <sz val="10"/>
        <color rgb="FF00B0F0"/>
        <rFont val="Arial"/>
        <family val="2"/>
      </rPr>
      <t>equipment</t>
    </r>
    <r>
      <rPr>
        <sz val="10"/>
        <rFont val="Arial"/>
        <family val="2"/>
        <charset val="1"/>
      </rPr>
      <t>)</t>
    </r>
  </si>
  <si>
    <r>
      <t>Thorough training following SOP's (</t>
    </r>
    <r>
      <rPr>
        <sz val="10"/>
        <color rgb="FF00B0F0"/>
        <rFont val="Arial"/>
        <family val="2"/>
      </rPr>
      <t>technique</t>
    </r>
    <r>
      <rPr>
        <sz val="10"/>
        <rFont val="Arial"/>
        <family val="2"/>
        <charset val="1"/>
      </rPr>
      <t>)</t>
    </r>
  </si>
  <si>
    <r>
      <t xml:space="preserve">Finding the best </t>
    </r>
    <r>
      <rPr>
        <sz val="10"/>
        <color rgb="FFFF0000"/>
        <rFont val="Arial"/>
        <family val="2"/>
      </rPr>
      <t>technique</t>
    </r>
    <r>
      <rPr>
        <sz val="10"/>
        <rFont val="Arial"/>
        <family val="2"/>
        <charset val="1"/>
      </rPr>
      <t xml:space="preserve"> to answer the scientific question. (</t>
    </r>
    <r>
      <rPr>
        <sz val="10"/>
        <color rgb="FF00B0F0"/>
        <rFont val="Arial"/>
        <family val="2"/>
      </rPr>
      <t>design</t>
    </r>
    <r>
      <rPr>
        <sz val="10"/>
        <rFont val="Arial"/>
        <family val="2"/>
        <charset val="1"/>
      </rPr>
      <t>)</t>
    </r>
  </si>
  <si>
    <r>
      <t>Enabling users to be set up their own experiments (</t>
    </r>
    <r>
      <rPr>
        <sz val="10"/>
        <color rgb="FF00B0F0"/>
        <rFont val="Arial"/>
        <family val="2"/>
      </rPr>
      <t>independence</t>
    </r>
    <r>
      <rPr>
        <sz val="10"/>
        <rFont val="Arial"/>
        <family val="2"/>
        <charset val="1"/>
      </rPr>
      <t>)</t>
    </r>
  </si>
  <si>
    <r>
      <t xml:space="preserve">Getting users to become knowledgeable and skilful enough to </t>
    </r>
    <r>
      <rPr>
        <sz val="10"/>
        <color rgb="FFFF0000"/>
        <rFont val="Arial"/>
        <family val="2"/>
      </rPr>
      <t>design</t>
    </r>
    <r>
      <rPr>
        <sz val="10"/>
        <rFont val="Arial"/>
        <family val="2"/>
        <charset val="1"/>
      </rPr>
      <t>, acquire (</t>
    </r>
    <r>
      <rPr>
        <sz val="10"/>
        <color rgb="FF00B0F0"/>
        <rFont val="Arial"/>
        <family val="2"/>
      </rPr>
      <t>equipment</t>
    </r>
    <r>
      <rPr>
        <sz val="10"/>
        <rFont val="Arial"/>
        <family val="2"/>
        <charset val="1"/>
      </rPr>
      <t>) and analyse (</t>
    </r>
    <r>
      <rPr>
        <sz val="10"/>
        <color rgb="FF00B0F0"/>
        <rFont val="Arial"/>
        <family val="2"/>
      </rPr>
      <t>analysis</t>
    </r>
    <r>
      <rPr>
        <sz val="10"/>
        <rFont val="Arial"/>
        <family val="2"/>
        <charset val="1"/>
      </rPr>
      <t xml:space="preserve">) their own experiments </t>
    </r>
    <r>
      <rPr>
        <sz val="10"/>
        <color rgb="FFFF0000"/>
        <rFont val="Arial"/>
        <family val="2"/>
      </rPr>
      <t>independently</t>
    </r>
    <r>
      <rPr>
        <sz val="10"/>
        <rFont val="Arial"/>
        <family val="2"/>
        <charset val="1"/>
      </rPr>
      <t>.</t>
    </r>
  </si>
  <si>
    <r>
      <t>Train user to look after the instruments (</t>
    </r>
    <r>
      <rPr>
        <sz val="10"/>
        <color rgb="FF00B0F0"/>
        <rFont val="Arial"/>
        <family val="2"/>
      </rPr>
      <t>equipment</t>
    </r>
    <r>
      <rPr>
        <sz val="10"/>
        <rFont val="Arial"/>
        <family val="2"/>
        <charset val="1"/>
      </rPr>
      <t>)</t>
    </r>
  </si>
  <si>
    <r>
      <t xml:space="preserve">Making sure they can use </t>
    </r>
    <r>
      <rPr>
        <sz val="10"/>
        <color rgb="FFFF0000"/>
        <rFont val="Arial"/>
        <family val="2"/>
      </rPr>
      <t>equipment</t>
    </r>
    <r>
      <rPr>
        <sz val="10"/>
        <rFont val="Arial"/>
        <family val="2"/>
        <charset val="1"/>
      </rPr>
      <t xml:space="preserve"> </t>
    </r>
    <r>
      <rPr>
        <sz val="10"/>
        <color rgb="FFFF0000"/>
        <rFont val="Arial"/>
        <family val="2"/>
      </rPr>
      <t>safely (</t>
    </r>
    <r>
      <rPr>
        <sz val="10"/>
        <color rgb="FF00B0F0"/>
        <rFont val="Arial"/>
        <family val="2"/>
      </rPr>
      <t>safety</t>
    </r>
    <r>
      <rPr>
        <sz val="10"/>
        <color rgb="FFFF0000"/>
        <rFont val="Arial"/>
        <family val="2"/>
      </rPr>
      <t>)</t>
    </r>
  </si>
  <si>
    <r>
      <t>1:1 and at the instruments (</t>
    </r>
    <r>
      <rPr>
        <sz val="10"/>
        <color rgb="FF00B0F0"/>
        <rFont val="Arial"/>
        <family val="2"/>
      </rPr>
      <t>equipment</t>
    </r>
    <r>
      <rPr>
        <sz val="10"/>
        <rFont val="Arial"/>
        <family val="2"/>
        <charset val="1"/>
      </rPr>
      <t>)</t>
    </r>
  </si>
  <si>
    <r>
      <t>The correct use of the machine (</t>
    </r>
    <r>
      <rPr>
        <sz val="10"/>
        <color rgb="FF00B0F0"/>
        <rFont val="Arial"/>
        <family val="2"/>
      </rPr>
      <t>equipment</t>
    </r>
    <r>
      <rPr>
        <sz val="10"/>
        <rFont val="Arial"/>
        <family val="2"/>
        <charset val="1"/>
      </rPr>
      <t>) and the correct execution of the project to achieve the best standards in flow cytometry.</t>
    </r>
  </si>
  <si>
    <r>
      <t>Teach people to use the instrument (</t>
    </r>
    <r>
      <rPr>
        <sz val="10"/>
        <color rgb="FF00B0F0"/>
        <rFont val="Arial"/>
        <family val="2"/>
      </rPr>
      <t>equipment</t>
    </r>
    <r>
      <rPr>
        <sz val="10"/>
        <rFont val="Arial"/>
        <family val="2"/>
        <charset val="1"/>
      </rPr>
      <t>) without destroying it. And in a way that gives the information they need.</t>
    </r>
  </si>
  <si>
    <r>
      <t>Teaching researchers to technically use flow cytometers (</t>
    </r>
    <r>
      <rPr>
        <sz val="10"/>
        <color rgb="FF00B0F0"/>
        <rFont val="Arial"/>
        <family val="2"/>
      </rPr>
      <t>equipment</t>
    </r>
    <r>
      <rPr>
        <sz val="10"/>
        <rFont val="Arial"/>
        <family val="2"/>
        <charset val="1"/>
      </rPr>
      <t>) and interpret the results. (</t>
    </r>
    <r>
      <rPr>
        <sz val="10"/>
        <color rgb="FF00B0F0"/>
        <rFont val="Arial"/>
        <family val="2"/>
      </rPr>
      <t>analysis</t>
    </r>
    <r>
      <rPr>
        <sz val="10"/>
        <rFont val="Arial"/>
        <family val="2"/>
        <charset val="1"/>
      </rPr>
      <t>)</t>
    </r>
  </si>
  <si>
    <r>
      <t>The goal is to train the users to operate the QPCR and the FACS machines. (</t>
    </r>
    <r>
      <rPr>
        <sz val="10"/>
        <color rgb="FF00B0F0"/>
        <rFont val="Arial"/>
        <family val="2"/>
      </rPr>
      <t>equipment</t>
    </r>
    <r>
      <rPr>
        <sz val="10"/>
        <rFont val="Arial"/>
        <family val="2"/>
        <charset val="1"/>
      </rPr>
      <t>)</t>
    </r>
  </si>
  <si>
    <r>
      <t>Compensation (</t>
    </r>
    <r>
      <rPr>
        <sz val="10"/>
        <color rgb="FF00B0F0"/>
        <rFont val="Arial"/>
        <family val="2"/>
      </rPr>
      <t>technique</t>
    </r>
    <r>
      <rPr>
        <sz val="10"/>
        <rFont val="Arial"/>
        <family val="2"/>
        <charset val="1"/>
      </rPr>
      <t>)</t>
    </r>
  </si>
  <si>
    <r>
      <t xml:space="preserve">Flawless preparation of </t>
    </r>
    <r>
      <rPr>
        <sz val="10"/>
        <color rgb="FFFF0000"/>
        <rFont val="Arial"/>
        <family val="2"/>
      </rPr>
      <t>samples</t>
    </r>
    <r>
      <rPr>
        <sz val="10"/>
        <rFont val="Arial"/>
        <family val="2"/>
        <charset val="1"/>
      </rPr>
      <t xml:space="preserve"> (in our case crystals) for delivery to the CF</t>
    </r>
  </si>
  <si>
    <r>
      <t xml:space="preserve">It gives users the capacity to do their own data </t>
    </r>
    <r>
      <rPr>
        <sz val="10"/>
        <color rgb="FFFF0000"/>
        <rFont val="Arial"/>
        <family val="2"/>
      </rPr>
      <t>analysis</t>
    </r>
    <r>
      <rPr>
        <sz val="10"/>
        <rFont val="Arial"/>
        <family val="2"/>
        <charset val="1"/>
      </rPr>
      <t>.</t>
    </r>
  </si>
  <si>
    <r>
      <rPr>
        <sz val="10"/>
        <color rgb="FFFF0000"/>
        <rFont val="Arial"/>
        <family val="2"/>
      </rPr>
      <t>sample</t>
    </r>
    <r>
      <rPr>
        <sz val="10"/>
        <rFont val="Arial"/>
        <family val="2"/>
        <charset val="1"/>
      </rPr>
      <t xml:space="preserve"> preparation</t>
    </r>
  </si>
  <si>
    <r>
      <t xml:space="preserve">To provide knowledge to the users in becoming </t>
    </r>
    <r>
      <rPr>
        <sz val="10"/>
        <color rgb="FFFF0000"/>
        <rFont val="Arial"/>
        <family val="2"/>
      </rPr>
      <t>independent</t>
    </r>
    <r>
      <rPr>
        <sz val="10"/>
        <rFont val="Arial"/>
        <family val="2"/>
        <charset val="1"/>
      </rPr>
      <t xml:space="preserve"> later when using the particular technique.</t>
    </r>
  </si>
  <si>
    <r>
      <rPr>
        <sz val="10"/>
        <color rgb="FFFF0000"/>
        <rFont val="Arial"/>
        <family val="2"/>
      </rPr>
      <t>Quality</t>
    </r>
    <r>
      <rPr>
        <sz val="10"/>
        <rFont val="Arial"/>
        <family val="2"/>
        <charset val="1"/>
      </rPr>
      <t xml:space="preserve"> standards and individualized workflows</t>
    </r>
  </si>
  <si>
    <r>
      <t>Understanding the principle of FACS machines. (</t>
    </r>
    <r>
      <rPr>
        <sz val="10"/>
        <color rgb="FF00B0F0"/>
        <rFont val="Arial"/>
        <family val="2"/>
      </rPr>
      <t>equipment</t>
    </r>
    <r>
      <rPr>
        <sz val="10"/>
        <rFont val="Arial"/>
        <family val="2"/>
        <charset val="1"/>
      </rPr>
      <t>)</t>
    </r>
  </si>
  <si>
    <r>
      <t>Adherence to protocols (</t>
    </r>
    <r>
      <rPr>
        <sz val="10"/>
        <color rgb="FF00B0F0"/>
        <rFont val="Arial"/>
        <family val="2"/>
      </rPr>
      <t>technique</t>
    </r>
    <r>
      <rPr>
        <sz val="10"/>
        <rFont val="Arial"/>
        <family val="2"/>
        <charset val="1"/>
      </rPr>
      <t>)</t>
    </r>
  </si>
  <si>
    <r>
      <t>Scientific project related
technical sound training to achieve best scientific results (</t>
    </r>
    <r>
      <rPr>
        <sz val="10"/>
        <color rgb="FF00B0F0"/>
        <rFont val="Arial"/>
        <family val="2"/>
      </rPr>
      <t>technique</t>
    </r>
    <r>
      <rPr>
        <sz val="10"/>
        <rFont val="Arial"/>
        <family val="2"/>
        <charset val="1"/>
      </rPr>
      <t>)
as basic as possible regarding the  hardware</t>
    </r>
  </si>
  <si>
    <t>troubleshooting</t>
  </si>
  <si>
    <r>
      <t>Introducing handling of sequencing/preparation devices. (</t>
    </r>
    <r>
      <rPr>
        <sz val="10"/>
        <color rgb="FF00B0F0"/>
        <rFont val="Arial"/>
        <family val="2"/>
      </rPr>
      <t>theoretical</t>
    </r>
    <r>
      <rPr>
        <sz val="10"/>
        <rFont val="Arial"/>
        <family val="2"/>
        <charset val="1"/>
      </rPr>
      <t>)</t>
    </r>
  </si>
  <si>
    <r>
      <t>Safe use of equipment (</t>
    </r>
    <r>
      <rPr>
        <sz val="10"/>
        <color rgb="FF00B0F0"/>
        <rFont val="Arial"/>
        <family val="2"/>
      </rPr>
      <t>safety</t>
    </r>
    <r>
      <rPr>
        <sz val="10"/>
        <rFont val="Arial"/>
        <family val="2"/>
        <charset val="1"/>
      </rPr>
      <t>)</t>
    </r>
  </si>
  <si>
    <r>
      <rPr>
        <sz val="10"/>
        <color rgb="FFFF0000"/>
        <rFont val="Arial"/>
        <family val="2"/>
      </rPr>
      <t>Safety</t>
    </r>
    <r>
      <rPr>
        <sz val="10"/>
        <rFont val="Arial"/>
        <family val="2"/>
        <charset val="1"/>
      </rPr>
      <t xml:space="preserve"> of subjects and staff members.</t>
    </r>
  </si>
  <si>
    <r>
      <t>People should really understand what they do. (</t>
    </r>
    <r>
      <rPr>
        <sz val="10"/>
        <color rgb="FF00B0F0"/>
        <rFont val="Arial"/>
        <family val="2"/>
      </rPr>
      <t>theoretical</t>
    </r>
    <r>
      <rPr>
        <sz val="10"/>
        <rFont val="Arial"/>
        <family val="2"/>
        <charset val="1"/>
      </rPr>
      <t>)</t>
    </r>
  </si>
  <si>
    <r>
      <rPr>
        <sz val="10"/>
        <color rgb="FFFF0000"/>
        <rFont val="Arial"/>
        <family val="2"/>
      </rPr>
      <t>Quality</t>
    </r>
    <r>
      <rPr>
        <sz val="10"/>
        <rFont val="Arial"/>
        <family val="2"/>
        <charset val="1"/>
      </rPr>
      <t xml:space="preserve"> assurance</t>
    </r>
  </si>
  <si>
    <r>
      <t>Basic understanding what a technique can do and a technique can't do. (</t>
    </r>
    <r>
      <rPr>
        <sz val="10"/>
        <color rgb="FF00B0F0"/>
        <rFont val="Arial"/>
        <family val="2"/>
      </rPr>
      <t>theoretical, limitation</t>
    </r>
    <r>
      <rPr>
        <sz val="10"/>
        <rFont val="Arial"/>
        <family val="2"/>
        <charset val="1"/>
      </rPr>
      <t>)</t>
    </r>
  </si>
  <si>
    <r>
      <t xml:space="preserve"> - how do my </t>
    </r>
    <r>
      <rPr>
        <sz val="10"/>
        <color rgb="FFFF0000"/>
        <rFont val="Arial"/>
        <family val="2"/>
      </rPr>
      <t>samples</t>
    </r>
    <r>
      <rPr>
        <sz val="10"/>
        <rFont val="Arial"/>
        <family val="2"/>
        <charset val="1"/>
      </rPr>
      <t xml:space="preserve"> have to be prepared BEFORE coming
 - what is possible/ where are the </t>
    </r>
    <r>
      <rPr>
        <sz val="10"/>
        <color rgb="FFFF0000"/>
        <rFont val="Arial"/>
        <family val="2"/>
      </rPr>
      <t>limitations</t>
    </r>
    <r>
      <rPr>
        <sz val="10"/>
        <rFont val="Arial"/>
        <family val="2"/>
        <charset val="1"/>
      </rPr>
      <t xml:space="preserve">
 - which results may I get (</t>
    </r>
    <r>
      <rPr>
        <sz val="10"/>
        <color rgb="FF00B0F0"/>
        <rFont val="Arial"/>
        <family val="2"/>
      </rPr>
      <t>technique</t>
    </r>
    <r>
      <rPr>
        <sz val="10"/>
        <rFont val="Arial"/>
        <family val="2"/>
        <charset val="1"/>
      </rPr>
      <t>)
 - how to operate the instruments (</t>
    </r>
    <r>
      <rPr>
        <sz val="10"/>
        <color rgb="FF00B0F0"/>
        <rFont val="Arial"/>
        <family val="2"/>
      </rPr>
      <t>equipment</t>
    </r>
    <r>
      <rPr>
        <sz val="10"/>
        <rFont val="Arial"/>
        <family val="2"/>
        <charset val="1"/>
      </rPr>
      <t>)
 - how to interpret the results (</t>
    </r>
    <r>
      <rPr>
        <sz val="10"/>
        <color rgb="FF00B0F0"/>
        <rFont val="Arial"/>
        <family val="2"/>
      </rPr>
      <t>analysis</t>
    </r>
    <r>
      <rPr>
        <sz val="10"/>
        <rFont val="Arial"/>
        <family val="2"/>
        <charset val="1"/>
      </rPr>
      <t>)
 - which problems of over interpreting might occur</t>
    </r>
  </si>
  <si>
    <r>
      <t>keep instrument in a clean and functional state
use right instrument settings (</t>
    </r>
    <r>
      <rPr>
        <sz val="10"/>
        <color rgb="FF00B0F0"/>
        <rFont val="Arial"/>
        <family val="2"/>
      </rPr>
      <t>equipment</t>
    </r>
    <r>
      <rPr>
        <sz val="10"/>
        <rFont val="Arial"/>
        <family val="2"/>
        <charset val="1"/>
      </rPr>
      <t xml:space="preserve">)
use good </t>
    </r>
    <r>
      <rPr>
        <sz val="10"/>
        <color rgb="FFFF0000"/>
        <rFont val="Arial"/>
        <family val="2"/>
      </rPr>
      <t>controls</t>
    </r>
  </si>
  <si>
    <r>
      <rPr>
        <sz val="10"/>
        <color rgb="FFFF0000"/>
        <rFont val="Arial"/>
        <family val="2"/>
      </rPr>
      <t>Sample</t>
    </r>
    <r>
      <rPr>
        <sz val="10"/>
        <rFont val="Arial"/>
        <family val="2"/>
        <charset val="1"/>
      </rPr>
      <t xml:space="preserve"> preparation</t>
    </r>
  </si>
  <si>
    <r>
      <t xml:space="preserve">To organize </t>
    </r>
    <r>
      <rPr>
        <sz val="10"/>
        <color rgb="FFFF0000"/>
        <rFont val="Arial"/>
        <family val="2"/>
      </rPr>
      <t>theoretical</t>
    </r>
    <r>
      <rPr>
        <sz val="10"/>
        <rFont val="Arial"/>
        <family val="2"/>
        <charset val="1"/>
      </rPr>
      <t xml:space="preserve"> courses of flow cytometry and then training courses on instruments. (</t>
    </r>
    <r>
      <rPr>
        <sz val="10"/>
        <color rgb="FF00B0F0"/>
        <rFont val="Arial"/>
        <family val="2"/>
      </rPr>
      <t>equipment</t>
    </r>
    <r>
      <rPr>
        <sz val="10"/>
        <rFont val="Arial"/>
        <family val="2"/>
        <charset val="1"/>
      </rPr>
      <t>)
After this, to select users able to correctly follow the procedures of setup and maintenance.</t>
    </r>
  </si>
  <si>
    <r>
      <t xml:space="preserve">Good experimental </t>
    </r>
    <r>
      <rPr>
        <sz val="10"/>
        <color rgb="FFFF0000"/>
        <rFont val="Arial"/>
        <family val="2"/>
      </rPr>
      <t>design</t>
    </r>
    <r>
      <rPr>
        <sz val="10"/>
        <rFont val="Arial"/>
        <family val="2"/>
        <charset val="1"/>
      </rPr>
      <t xml:space="preserve"> to maximise successful outcome.</t>
    </r>
  </si>
  <si>
    <r>
      <t>collect data that you can quantify
(pre-)define the process or feature that you want to quantify! (</t>
    </r>
    <r>
      <rPr>
        <sz val="10"/>
        <color rgb="FF00B0F0"/>
        <rFont val="Arial"/>
        <family val="2"/>
      </rPr>
      <t>software</t>
    </r>
    <r>
      <rPr>
        <sz val="10"/>
        <rFont val="Arial"/>
        <family val="2"/>
        <charset val="1"/>
      </rPr>
      <t>)</t>
    </r>
  </si>
  <si>
    <r>
      <t xml:space="preserve">support with data </t>
    </r>
    <r>
      <rPr>
        <sz val="10"/>
        <color rgb="FFFF0000"/>
        <rFont val="Arial"/>
        <family val="2"/>
      </rPr>
      <t>analysis</t>
    </r>
    <r>
      <rPr>
        <sz val="10"/>
        <rFont val="Arial"/>
        <family val="2"/>
        <charset val="1"/>
      </rPr>
      <t>, providing best-practises (</t>
    </r>
    <r>
      <rPr>
        <sz val="10"/>
        <color rgb="FF00B0F0"/>
        <rFont val="Arial"/>
        <family val="2"/>
      </rPr>
      <t>quality</t>
    </r>
    <r>
      <rPr>
        <sz val="10"/>
        <rFont val="Arial"/>
        <family val="2"/>
        <charset val="1"/>
      </rPr>
      <t>), training</t>
    </r>
  </si>
  <si>
    <r>
      <t>That users are able to operate FACS analysers (</t>
    </r>
    <r>
      <rPr>
        <sz val="10"/>
        <color rgb="FF00B0F0"/>
        <rFont val="Arial"/>
        <family val="2"/>
      </rPr>
      <t>equipment</t>
    </r>
    <r>
      <rPr>
        <sz val="10"/>
        <rFont val="Arial"/>
        <family val="2"/>
        <charset val="1"/>
      </rPr>
      <t xml:space="preserve">)  </t>
    </r>
    <r>
      <rPr>
        <sz val="10"/>
        <color rgb="FFFF0000"/>
        <rFont val="Arial"/>
        <family val="2"/>
      </rPr>
      <t>independently</t>
    </r>
    <r>
      <rPr>
        <sz val="10"/>
        <rFont val="Arial"/>
        <family val="2"/>
        <charset val="1"/>
      </rPr>
      <t xml:space="preserve"> of core facility
Training in the use of appropriate </t>
    </r>
    <r>
      <rPr>
        <sz val="10"/>
        <color rgb="FFFF0000"/>
        <rFont val="Arial"/>
        <family val="2"/>
      </rPr>
      <t>analysis soft-ware</t>
    </r>
    <r>
      <rPr>
        <sz val="10"/>
        <rFont val="Arial"/>
        <family val="2"/>
        <charset val="1"/>
      </rPr>
      <t xml:space="preserve"> for flow cytometry generated data.</t>
    </r>
  </si>
  <si>
    <r>
      <t>discussing protocols (</t>
    </r>
    <r>
      <rPr>
        <sz val="10"/>
        <color rgb="FF00B0F0"/>
        <rFont val="Arial"/>
        <family val="2"/>
      </rPr>
      <t>technique</t>
    </r>
    <r>
      <rPr>
        <sz val="10"/>
        <rFont val="Arial"/>
        <family val="2"/>
        <charset val="1"/>
      </rPr>
      <t xml:space="preserve">) and data </t>
    </r>
    <r>
      <rPr>
        <sz val="10"/>
        <color rgb="FFFF0000"/>
        <rFont val="Arial"/>
        <family val="2"/>
      </rPr>
      <t>analysis</t>
    </r>
  </si>
  <si>
    <r>
      <t xml:space="preserve">make the people aware about the </t>
    </r>
    <r>
      <rPr>
        <sz val="10"/>
        <color rgb="FFFF0000"/>
        <rFont val="Arial"/>
        <family val="2"/>
      </rPr>
      <t>limitations</t>
    </r>
  </si>
  <si>
    <r>
      <t>know-hows : stem cell culture is very difficult (</t>
    </r>
    <r>
      <rPr>
        <sz val="10"/>
        <color rgb="FF00B0F0"/>
        <rFont val="Arial"/>
        <family val="2"/>
      </rPr>
      <t>technique</t>
    </r>
    <r>
      <rPr>
        <sz val="10"/>
        <rFont val="Arial"/>
        <family val="2"/>
        <charset val="1"/>
      </rPr>
      <t>)</t>
    </r>
  </si>
  <si>
    <r>
      <t>Making correct use of the laser microdissection setup and avoid damage of the setup by misuse. (</t>
    </r>
    <r>
      <rPr>
        <sz val="10"/>
        <color rgb="FF00B0F0"/>
        <rFont val="Arial"/>
        <family val="2"/>
      </rPr>
      <t>equipment</t>
    </r>
    <r>
      <rPr>
        <sz val="10"/>
        <rFont val="Arial"/>
        <family val="2"/>
        <charset val="1"/>
      </rPr>
      <t>)</t>
    </r>
  </si>
  <si>
    <r>
      <t xml:space="preserve">health and </t>
    </r>
    <r>
      <rPr>
        <sz val="10"/>
        <color rgb="FFFF0000"/>
        <rFont val="Arial"/>
        <family val="2"/>
      </rPr>
      <t>safety</t>
    </r>
    <r>
      <rPr>
        <sz val="10"/>
        <rFont val="Arial"/>
        <family val="2"/>
        <charset val="1"/>
      </rPr>
      <t>/lab skills</t>
    </r>
  </si>
  <si>
    <r>
      <t>How to get reliable data (</t>
    </r>
    <r>
      <rPr>
        <sz val="10"/>
        <color rgb="FF00B0F0"/>
        <rFont val="Arial"/>
        <family val="2"/>
      </rPr>
      <t>software</t>
    </r>
    <r>
      <rPr>
        <sz val="10"/>
        <rFont val="Arial"/>
        <family val="2"/>
        <charset val="1"/>
      </rPr>
      <t>)</t>
    </r>
  </si>
  <si>
    <r>
      <t xml:space="preserve">laboratory </t>
    </r>
    <r>
      <rPr>
        <sz val="10"/>
        <color rgb="FFFF0000"/>
        <rFont val="Arial"/>
        <family val="2"/>
      </rPr>
      <t>safety</t>
    </r>
    <r>
      <rPr>
        <sz val="10"/>
        <rFont val="Arial"/>
        <family val="2"/>
        <charset val="1"/>
      </rPr>
      <t xml:space="preserve"> and proper waste disposal (there is a separate MLI and MLII cytometry lab), basic use of user interfaces (</t>
    </r>
    <r>
      <rPr>
        <sz val="10"/>
        <color rgb="FF00B0F0"/>
        <rFont val="Arial"/>
        <family val="2"/>
      </rPr>
      <t>software</t>
    </r>
    <r>
      <rPr>
        <sz val="10"/>
        <rFont val="Arial"/>
        <family val="2"/>
        <charset val="1"/>
      </rPr>
      <t>) and how to get consistent results, instrument set up, (</t>
    </r>
    <r>
      <rPr>
        <sz val="10"/>
        <color rgb="FF00B0F0"/>
        <rFont val="Arial"/>
        <family val="2"/>
      </rPr>
      <t>equipment</t>
    </r>
    <r>
      <rPr>
        <sz val="10"/>
        <rFont val="Arial"/>
        <family val="2"/>
        <charset val="1"/>
      </rPr>
      <t xml:space="preserve">) using proper experimental </t>
    </r>
    <r>
      <rPr>
        <sz val="10"/>
        <color rgb="FFFF0000"/>
        <rFont val="Arial"/>
        <family val="2"/>
      </rPr>
      <t>controls</t>
    </r>
    <r>
      <rPr>
        <sz val="10"/>
        <rFont val="Arial"/>
        <family val="2"/>
        <charset val="1"/>
      </rPr>
      <t>, QC. (</t>
    </r>
    <r>
      <rPr>
        <sz val="10"/>
        <color rgb="FF00B0F0"/>
        <rFont val="Arial"/>
        <family val="2"/>
      </rPr>
      <t>quality</t>
    </r>
    <r>
      <rPr>
        <sz val="10"/>
        <rFont val="Arial"/>
        <family val="2"/>
        <charset val="1"/>
      </rPr>
      <t>)</t>
    </r>
  </si>
  <si>
    <r>
      <t>Hands on experience (</t>
    </r>
    <r>
      <rPr>
        <sz val="10"/>
        <color rgb="FF00B0F0"/>
        <rFont val="Arial"/>
        <family val="2"/>
      </rPr>
      <t>technique</t>
    </r>
    <r>
      <rPr>
        <sz val="10"/>
        <rFont val="Arial"/>
        <family val="2"/>
        <charset val="1"/>
      </rPr>
      <t>)</t>
    </r>
  </si>
  <si>
    <r>
      <rPr>
        <sz val="10"/>
        <color rgb="FFFF0000"/>
        <rFont val="Arial"/>
        <family val="2"/>
      </rPr>
      <t>sample</t>
    </r>
    <r>
      <rPr>
        <sz val="10"/>
        <rFont val="Arial"/>
        <family val="2"/>
        <charset val="1"/>
      </rPr>
      <t xml:space="preserve"> preparation and selections, including </t>
    </r>
    <r>
      <rPr>
        <sz val="10"/>
        <color rgb="FFFF0000"/>
        <rFont val="Arial"/>
        <family val="2"/>
      </rPr>
      <t>controls</t>
    </r>
  </si>
  <si>
    <r>
      <rPr>
        <sz val="10"/>
        <color rgb="FFFF0000"/>
        <rFont val="Arial"/>
        <family val="2"/>
      </rPr>
      <t>Sample</t>
    </r>
    <r>
      <rPr>
        <sz val="10"/>
        <rFont val="Arial"/>
        <family val="2"/>
        <charset val="1"/>
      </rPr>
      <t xml:space="preserve"> specific training. We really try to adapt the training to the user</t>
    </r>
  </si>
  <si>
    <r>
      <t>The basics of the methods and how the devices work (t</t>
    </r>
    <r>
      <rPr>
        <sz val="10"/>
        <color rgb="FF00B0F0"/>
        <rFont val="Arial"/>
        <family val="2"/>
      </rPr>
      <t>heoretical, equipment</t>
    </r>
    <r>
      <rPr>
        <sz val="10"/>
        <rFont val="Arial"/>
        <family val="2"/>
        <charset val="1"/>
      </rPr>
      <t>)</t>
    </r>
  </si>
  <si>
    <r>
      <t xml:space="preserve">clean </t>
    </r>
    <r>
      <rPr>
        <sz val="10"/>
        <color rgb="FFFF0000"/>
        <rFont val="Arial"/>
        <family val="2"/>
      </rPr>
      <t>sample</t>
    </r>
    <r>
      <rPr>
        <sz val="10"/>
        <rFont val="Arial"/>
        <family val="2"/>
        <charset val="1"/>
      </rPr>
      <t xml:space="preserve"> preparation</t>
    </r>
  </si>
  <si>
    <r>
      <t>attention to detail (</t>
    </r>
    <r>
      <rPr>
        <sz val="10"/>
        <color rgb="FF00B0F0"/>
        <rFont val="Arial"/>
        <family val="2"/>
      </rPr>
      <t>quality</t>
    </r>
    <r>
      <rPr>
        <sz val="10"/>
        <rFont val="Arial"/>
        <family val="2"/>
        <charset val="1"/>
      </rPr>
      <t>)</t>
    </r>
  </si>
  <si>
    <r>
      <t>Handle the devices properly and to know, how to interpret the generated data. (</t>
    </r>
    <r>
      <rPr>
        <sz val="10"/>
        <color rgb="FF00B0F0"/>
        <rFont val="Arial"/>
        <family val="2"/>
      </rPr>
      <t>equipment, analysis</t>
    </r>
    <r>
      <rPr>
        <sz val="10"/>
        <rFont val="Arial"/>
        <family val="2"/>
        <charset val="1"/>
      </rPr>
      <t>)</t>
    </r>
  </si>
  <si>
    <r>
      <t>Microscopy Fundamental concepts and understanding the technique (</t>
    </r>
    <r>
      <rPr>
        <sz val="10"/>
        <color rgb="FF00B0F0"/>
        <rFont val="Arial"/>
        <family val="2"/>
      </rPr>
      <t>theoretical</t>
    </r>
    <r>
      <rPr>
        <sz val="10"/>
        <rFont val="Arial"/>
        <family val="2"/>
        <charset val="1"/>
      </rPr>
      <t>)</t>
    </r>
  </si>
  <si>
    <t>techniques, protocols</t>
  </si>
  <si>
    <t>equipment, instruments</t>
  </si>
  <si>
    <t>software, data acquisition</t>
  </si>
  <si>
    <t>limitations of technique</t>
  </si>
  <si>
    <t>data analysis + interpretation</t>
  </si>
  <si>
    <t>independence of the user</t>
  </si>
  <si>
    <t>development, staff, funding</t>
  </si>
  <si>
    <t>career</t>
  </si>
  <si>
    <t>career, development</t>
  </si>
  <si>
    <t>interaction with users, staff, development</t>
  </si>
  <si>
    <t>funding, staff, career</t>
  </si>
  <si>
    <t>data handling</t>
  </si>
  <si>
    <t>publishing</t>
  </si>
  <si>
    <t>funding, development</t>
  </si>
  <si>
    <t>space</t>
  </si>
  <si>
    <t>data management</t>
  </si>
  <si>
    <r>
      <t xml:space="preserve">Staff levels are difficult. The facility works OK with 3 staff members (which we have currently, although 4 would be ideal), but I'm due to lose one shortly which will hit us quite hard. </t>
    </r>
    <r>
      <rPr>
        <sz val="10"/>
        <color rgb="FFFF0000"/>
        <rFont val="Arial"/>
        <family val="2"/>
      </rPr>
      <t>Generating income is our biggest challenge, the facilities in our University are seen as a loss-making burden by Central Finance, and we (all Facility Managers) are constantly challenged to drive change to improve the finances, often to the detriment of good science.</t>
    </r>
  </si>
  <si>
    <t>space, staff</t>
  </si>
  <si>
    <t>project complexity, interactions with users</t>
  </si>
  <si>
    <t>staff, cost recovery, recognition</t>
  </si>
  <si>
    <t>interaction with users, funding, career, recognition</t>
  </si>
  <si>
    <t>visibility</t>
  </si>
  <si>
    <t>funding, time</t>
  </si>
  <si>
    <t>staff, career, equipment, funding</t>
  </si>
  <si>
    <t>standardization</t>
  </si>
  <si>
    <t>time, staff</t>
  </si>
  <si>
    <t>time, interaction with user</t>
  </si>
  <si>
    <t>quality</t>
  </si>
  <si>
    <t>data management, staff</t>
  </si>
  <si>
    <t>interaction with users, funding</t>
  </si>
  <si>
    <t>time, funding</t>
  </si>
  <si>
    <t>time, interaction with users</t>
  </si>
  <si>
    <t>time, capacity</t>
  </si>
  <si>
    <t>career progression, permanent positions, motivation</t>
  </si>
  <si>
    <t>equipment, interaction with users, time, development</t>
  </si>
  <si>
    <t>Acquire resources for methods development / implementation of new instrumentation / testing of new columns, solvent systems, data interpretation software etc. 
The biggest challenge is to mediate the constant pressure between academic customers, research institutions and founding (funding) bodies on the question who is paying the full costs of the facility.</t>
  </si>
  <si>
    <t>development, cost recovery, staff</t>
  </si>
  <si>
    <t>funding, recognition</t>
  </si>
  <si>
    <t>staff, infrastructure, development</t>
  </si>
  <si>
    <t>funding, staff, development, data management</t>
  </si>
  <si>
    <t>cost recovery, capacity</t>
  </si>
  <si>
    <t>interaction with users, staff, quality</t>
  </si>
  <si>
    <t>capacity</t>
  </si>
  <si>
    <t>cost recovery, staff</t>
  </si>
  <si>
    <t>staff, capacity</t>
  </si>
  <si>
    <t>capacity, staff</t>
  </si>
  <si>
    <t>infrastructure</t>
  </si>
  <si>
    <t>time, interaction with user, quality</t>
  </si>
  <si>
    <t>data management, IT infrastructure</t>
  </si>
  <si>
    <t xml:space="preserve"> expertise</t>
  </si>
  <si>
    <t xml:space="preserve"> experimental design,  sample , equipment , SOP, data analysis, user</t>
  </si>
  <si>
    <t xml:space="preserve">SOP, data analysis, equipment. </t>
  </si>
  <si>
    <t xml:space="preserve"> users,  staff, equipment, data management, </t>
  </si>
  <si>
    <t xml:space="preserve"> data collection and communication </t>
  </si>
  <si>
    <t>SOP, data analysis</t>
  </si>
  <si>
    <t>user  , equipment, quality control</t>
  </si>
  <si>
    <t>experimental design, sample, SOP, equipment, data analysis</t>
  </si>
  <si>
    <t>sample, quality</t>
  </si>
  <si>
    <t>equipment, quality, sample, communication</t>
  </si>
  <si>
    <t>equipment, staff, collaboration</t>
  </si>
  <si>
    <t>user, equipment, experimental design</t>
  </si>
  <si>
    <t>user, staff</t>
  </si>
  <si>
    <t>communication, teaching, SOP</t>
  </si>
  <si>
    <t>controls, users, quality</t>
  </si>
  <si>
    <t>staff, user</t>
  </si>
  <si>
    <t>data management, data analysis</t>
  </si>
  <si>
    <t>sample, user</t>
  </si>
  <si>
    <t>Staff training
Standardised protocols
Strong interaction between wet lab &amp; bioinformatics teams
Strong interaction &amp; thorough discussion with the users</t>
  </si>
  <si>
    <t>staff, SOP, data analysis, communication</t>
  </si>
  <si>
    <t>quality control, data management</t>
  </si>
  <si>
    <t>sample, experimental design, data analysis, data management</t>
  </si>
  <si>
    <t>SOP, good scientific practice</t>
  </si>
  <si>
    <t>good scientific practice, SOP</t>
  </si>
  <si>
    <t>user, equipment</t>
  </si>
  <si>
    <t xml:space="preserve">user, </t>
  </si>
  <si>
    <r>
      <t xml:space="preserve">Ensuring our users are sufficiently trained
</t>
    </r>
    <r>
      <rPr>
        <sz val="10"/>
        <color rgb="FFFF0000"/>
        <rFont val="Arial"/>
        <family val="2"/>
      </rPr>
      <t>Preventing our users thinking they know more than they do, which leads to misinterpretation of data</t>
    </r>
  </si>
  <si>
    <t>development, SOP</t>
  </si>
  <si>
    <t>controls, data collection</t>
  </si>
  <si>
    <t xml:space="preserve">experimental design, data collection
</t>
  </si>
  <si>
    <t>good scientific practice</t>
  </si>
  <si>
    <t>SOP, sample, data analysis, data management, reporting</t>
  </si>
  <si>
    <t>training, SOP, reporting</t>
  </si>
  <si>
    <t>quality, SOP, controls</t>
  </si>
  <si>
    <t xml:space="preserve"> equipment ,  controls,  data analysis</t>
  </si>
  <si>
    <t>staff, user, collaboration</t>
  </si>
  <si>
    <r>
      <t xml:space="preserve">highly experienced and engaged staff and users who are willing to treat interactions with a facility </t>
    </r>
    <r>
      <rPr>
        <sz val="10"/>
        <color rgb="FFFF0000"/>
        <rFont val="Arial"/>
        <family val="2"/>
      </rPr>
      <t>as a collaboration rather than a service where each side is open  and benefits from the others specialist knowledge</t>
    </r>
  </si>
  <si>
    <t>communication, SOP, data management</t>
  </si>
  <si>
    <t>reporting</t>
  </si>
  <si>
    <t>Educated users, educated staff of the facility, up to date hardware and software, data management system with trackable data coupled to electronic lab books where all data is searchable , mapped to the user and their experiment.</t>
  </si>
  <si>
    <t>Scientific qualification of core facility personnel. State-of-the-art equipment.</t>
  </si>
  <si>
    <t>Where to get the money from</t>
  </si>
  <si>
    <t>equipment, controls</t>
  </si>
  <si>
    <t>metadata</t>
  </si>
  <si>
    <t>experimental design, quality control</t>
  </si>
  <si>
    <t>SOP, quality control</t>
  </si>
  <si>
    <t>data management, SOP, user</t>
  </si>
  <si>
    <t>staff, equipment, user</t>
  </si>
  <si>
    <t xml:space="preserve">sample, equipment, </t>
  </si>
  <si>
    <t>sample, experimental design, equipment, data analysis</t>
  </si>
  <si>
    <t>communication, user, staff</t>
  </si>
  <si>
    <t>time, expertise</t>
  </si>
  <si>
    <t xml:space="preserve"> expertise, communication</t>
  </si>
  <si>
    <t>expertise</t>
  </si>
  <si>
    <t>expertise, experimental design, data analysis</t>
  </si>
  <si>
    <t>expertise, staff</t>
  </si>
  <si>
    <t>staff, expertise, equipment</t>
  </si>
  <si>
    <t>equipment, expertise</t>
  </si>
  <si>
    <t>equipment, quality, SOP</t>
  </si>
  <si>
    <t>staff, data analysis</t>
  </si>
  <si>
    <t>experimental design, user</t>
  </si>
  <si>
    <t>user, quality</t>
  </si>
  <si>
    <t>staff, good scientific practice, teaching</t>
  </si>
  <si>
    <t>equipment, staff</t>
  </si>
  <si>
    <t>user, expertise</t>
  </si>
  <si>
    <t>SOP, data management, staff, equipment</t>
  </si>
  <si>
    <t xml:space="preserve">staff, development, </t>
  </si>
  <si>
    <t>SOP, data management, user</t>
  </si>
  <si>
    <t>equipment, quality, Sop, data analysis, data management, user, staff</t>
  </si>
  <si>
    <t>SOP, sample</t>
  </si>
  <si>
    <t>equipment, reagents</t>
  </si>
  <si>
    <t>communication, collaboration with user</t>
  </si>
  <si>
    <t>staff training</t>
  </si>
  <si>
    <t>staff, SOP, user</t>
  </si>
  <si>
    <t>expertise, development</t>
  </si>
  <si>
    <t>sample, controls</t>
  </si>
  <si>
    <t>SOP, standardization</t>
  </si>
  <si>
    <t>equipment (up to date, setup, maintenance)</t>
  </si>
  <si>
    <t>data collection</t>
  </si>
  <si>
    <t>data management, metadata, documentation</t>
  </si>
  <si>
    <r>
      <t xml:space="preserve">Good starting materials and </t>
    </r>
    <r>
      <rPr>
        <sz val="10"/>
        <color rgb="FFFF0000"/>
        <rFont val="Arial"/>
        <family val="2"/>
      </rPr>
      <t>iterative dialogue with the PIs at the beginning of a project.</t>
    </r>
  </si>
  <si>
    <t>staff, quality</t>
  </si>
  <si>
    <t>good scientific practice,  training</t>
  </si>
  <si>
    <t>equipment, user, staff, good scientific practice</t>
  </si>
  <si>
    <t>equipment, user, staff, integrity</t>
  </si>
  <si>
    <t>equipment, quality control, user</t>
  </si>
  <si>
    <t>development, staff, equipment</t>
  </si>
  <si>
    <t>equipment, staff, data analysis</t>
  </si>
  <si>
    <t>quality, sample, equipment, data analysis</t>
  </si>
  <si>
    <t>equipment, controls, data collection, data analysis</t>
  </si>
  <si>
    <t>experimental design, sample, data analysis, communication</t>
  </si>
  <si>
    <t>experimental design, controls</t>
  </si>
  <si>
    <t>sample, experimental design</t>
  </si>
  <si>
    <t xml:space="preserve">experimental design, data collection, data analysis
</t>
  </si>
  <si>
    <t>enough qualified staff</t>
  </si>
  <si>
    <t>Qualified and motivated personal</t>
  </si>
  <si>
    <t>collaboration</t>
  </si>
  <si>
    <t>equipment, sample management</t>
  </si>
  <si>
    <t xml:space="preserve">sample management, data management, metadata, </t>
  </si>
  <si>
    <t>quality, data management</t>
  </si>
  <si>
    <t>training staff, training user</t>
  </si>
  <si>
    <t xml:space="preserve">sample management, data management, equipment </t>
  </si>
  <si>
    <t>experimental design, data analysis</t>
  </si>
  <si>
    <t>training user, training staff</t>
  </si>
  <si>
    <t>LIMS, ELN</t>
  </si>
  <si>
    <r>
      <t xml:space="preserve">Institute Drives
Shared electronic notebook </t>
    </r>
    <r>
      <rPr>
        <sz val="10"/>
        <color rgb="FF00B0F0"/>
        <rFont val="Arial"/>
        <family val="2"/>
      </rPr>
      <t>ELN</t>
    </r>
  </si>
  <si>
    <t>training user</t>
  </si>
  <si>
    <t>data analysis, data management</t>
  </si>
  <si>
    <t>training user, quality</t>
  </si>
  <si>
    <t>project management</t>
  </si>
  <si>
    <t>reduce cost</t>
  </si>
  <si>
    <t>training user, data analysis</t>
  </si>
  <si>
    <t>sample management</t>
  </si>
  <si>
    <t>equipment, development</t>
  </si>
  <si>
    <t>data management, equipment, data analysis</t>
  </si>
  <si>
    <t>development, data analysis</t>
  </si>
  <si>
    <t>involvement</t>
  </si>
  <si>
    <t>CF management</t>
  </si>
  <si>
    <t>CF management,</t>
  </si>
  <si>
    <t>automation, equipment</t>
  </si>
  <si>
    <t>data analysis, automation</t>
  </si>
  <si>
    <t>automation, communication</t>
  </si>
  <si>
    <t>data management, CF management</t>
  </si>
  <si>
    <t>data management, automation</t>
  </si>
  <si>
    <t>CF management, data management</t>
  </si>
  <si>
    <t>more staff, equipment, recognition</t>
  </si>
  <si>
    <t>data management, more staff</t>
  </si>
  <si>
    <t>more staff, development</t>
  </si>
  <si>
    <t>more staff, training user</t>
  </si>
  <si>
    <t>more staff, development, data management</t>
  </si>
  <si>
    <t>equipment, more staff,</t>
  </si>
  <si>
    <t>more staff, equipment</t>
  </si>
  <si>
    <t>more staff, equipment, IT infrastructure</t>
  </si>
  <si>
    <t>more staff, quality, training user</t>
  </si>
  <si>
    <t>more staff, data analysis</t>
  </si>
  <si>
    <t>more staff, space</t>
  </si>
  <si>
    <t>more staff, automation</t>
  </si>
  <si>
    <t>more staff, recognition</t>
  </si>
  <si>
    <t xml:space="preserve">more staff, </t>
  </si>
  <si>
    <t>more staff, quality</t>
  </si>
  <si>
    <t>more staff, training more staff, equipment</t>
  </si>
  <si>
    <t>equipment, training staff</t>
  </si>
  <si>
    <t>training staff</t>
  </si>
  <si>
    <t>data management, administration</t>
  </si>
  <si>
    <t>user training</t>
  </si>
  <si>
    <t>sample management, project management</t>
  </si>
  <si>
    <t>automation</t>
  </si>
  <si>
    <t>more staff, funding staff</t>
  </si>
  <si>
    <t>training user, communication</t>
  </si>
  <si>
    <t>communication, involvement, collaboration with user</t>
  </si>
  <si>
    <t>equipment, more staff, development</t>
  </si>
  <si>
    <t>more staff, development, equipment</t>
  </si>
  <si>
    <t>equipment, more staff</t>
  </si>
  <si>
    <t>project management, quality</t>
  </si>
  <si>
    <t>automation, data management</t>
  </si>
  <si>
    <t>discussion</t>
  </si>
  <si>
    <t>discussion, experimental design</t>
  </si>
  <si>
    <t>protocols</t>
  </si>
  <si>
    <t>training, experimental design, data acquisition, data analysis</t>
  </si>
  <si>
    <t xml:space="preserve">discussion, controls, samples, </t>
  </si>
  <si>
    <r>
      <t xml:space="preserve"> - Discussion and recommendation of proper controls.
 - Recommend to use blinded samples.
</t>
    </r>
    <r>
      <rPr>
        <sz val="10"/>
        <color rgb="FFFF0000"/>
        <rFont val="Arial"/>
        <family val="2"/>
      </rPr>
      <t xml:space="preserve"> - Learn to accept a "negative" result as a valuable result.</t>
    </r>
  </si>
  <si>
    <t>discussion, samples, controls, data acquisition</t>
  </si>
  <si>
    <t>training, sample, data acquisition</t>
  </si>
  <si>
    <t>data acquisition, publication</t>
  </si>
  <si>
    <t>discussion, in writing, emails</t>
  </si>
  <si>
    <t>sample, controls, data acquisition</t>
  </si>
  <si>
    <t xml:space="preserve">sample, SOP, </t>
  </si>
  <si>
    <t>quality, discussion</t>
  </si>
  <si>
    <r>
      <t xml:space="preserve"> - We teach this 4 times per year in a flow cytometry course 
</t>
    </r>
    <r>
      <rPr>
        <sz val="10"/>
        <color rgb="FFFF0000"/>
        <rFont val="Arial"/>
        <family val="2"/>
      </rPr>
      <t xml:space="preserve"> - we allow poor samples to be processed, since the responsibility for the experiment lies entirely on the researcher! We provide the information, if they choose to ignore us pointing to chances how to improve the experiment, we accept this.</t>
    </r>
  </si>
  <si>
    <t>in writing, discussion, email, literature</t>
  </si>
  <si>
    <t>discussion, samples</t>
  </si>
  <si>
    <t>SOP, discussion, controls, data analysis, training</t>
  </si>
  <si>
    <t>discussion, email, experiment design, troubleshooting</t>
  </si>
  <si>
    <t>troubleshooting, discussion, in writing</t>
  </si>
  <si>
    <t>design, sample</t>
  </si>
  <si>
    <t>Case by case basis. I do not always know there is an issue unless I look over their shoulder or if they come to me with questions. I then go through a lot of Q&amp;A about their protocols, quality, controls and set up and offer suggestions to improve. Unfortunately, you don't always know if there is an issue or if someone is doing a poor experiment.</t>
  </si>
  <si>
    <t>email, protocols, literature</t>
  </si>
  <si>
    <t>discussion, protocols</t>
  </si>
  <si>
    <t>discussion, protocols, literature</t>
  </si>
  <si>
    <t>in writing, discussion, sample</t>
  </si>
  <si>
    <t>discussion, sample, controls</t>
  </si>
  <si>
    <t>discussion, design, controls, quality</t>
  </si>
  <si>
    <t>discussion, in writing, examples</t>
  </si>
  <si>
    <t>discussion, sample, controls, quality, SOP</t>
  </si>
  <si>
    <t>discussion, design</t>
  </si>
  <si>
    <t>discussion, design, sample, limitations, publication</t>
  </si>
  <si>
    <t>discussion, sample, design</t>
  </si>
  <si>
    <t>seminars, protocols, discussion</t>
  </si>
  <si>
    <t>data analysis, sample</t>
  </si>
  <si>
    <t>discussion, seminars, quality</t>
  </si>
  <si>
    <t>controls, design</t>
  </si>
  <si>
    <t>discussion, sample, data acquisition, design</t>
  </si>
  <si>
    <t xml:space="preserve">seminars, discussion, </t>
  </si>
  <si>
    <t>literature, in writing, training</t>
  </si>
  <si>
    <t xml:space="preserve">discussion, design, </t>
  </si>
  <si>
    <t xml:space="preserve">discussion, sample, </t>
  </si>
  <si>
    <t>discussion, email</t>
  </si>
  <si>
    <t>SOP, supervision</t>
  </si>
  <si>
    <t>supervision, sample, data acquisition, SOP</t>
  </si>
  <si>
    <t>check</t>
  </si>
  <si>
    <t xml:space="preserve">literature, examples, </t>
  </si>
  <si>
    <t xml:space="preserve">sample, design, </t>
  </si>
  <si>
    <t>discussion, data analysis</t>
  </si>
  <si>
    <t>sample, design, controls</t>
  </si>
  <si>
    <t xml:space="preserve">troubleshooting, </t>
  </si>
  <si>
    <t xml:space="preserve">discussion, literature, </t>
  </si>
  <si>
    <t>discussion, protocols, controls, sample</t>
  </si>
  <si>
    <t xml:space="preserve">discussion, training, seminars, </t>
  </si>
  <si>
    <t>training, protocols</t>
  </si>
  <si>
    <t>controls, protocols, data acquisition</t>
  </si>
  <si>
    <t xml:space="preserve">design, </t>
  </si>
  <si>
    <t>literature</t>
  </si>
  <si>
    <t>training, discussion</t>
  </si>
  <si>
    <t>discussion, results</t>
  </si>
  <si>
    <t>examples, literature</t>
  </si>
  <si>
    <t>seminars, courses</t>
  </si>
  <si>
    <t>supervision</t>
  </si>
  <si>
    <t>limitations</t>
  </si>
  <si>
    <t>data acquisition, results</t>
  </si>
  <si>
    <t>final check</t>
  </si>
  <si>
    <t>controls, standards</t>
  </si>
  <si>
    <t>SOP, protocols</t>
  </si>
  <si>
    <t>give examples</t>
  </si>
  <si>
    <t>SOP, seminars, training</t>
  </si>
  <si>
    <t>controls, sample, data acquisition</t>
  </si>
  <si>
    <t>discussion, troubleshooting</t>
  </si>
  <si>
    <t>discussion, experimental design, results, data analysis</t>
  </si>
  <si>
    <t>discussion, results, literature, protocols, data analysis</t>
  </si>
  <si>
    <t>discussion, design, results, data analysis</t>
  </si>
  <si>
    <t>limitations, results, quality, controls</t>
  </si>
  <si>
    <t>discussion, training</t>
  </si>
  <si>
    <t>discussion, samples, results</t>
  </si>
  <si>
    <t>controls, sample, experimental design, limitations</t>
  </si>
  <si>
    <t>teaching, discussion</t>
  </si>
  <si>
    <t>discussion, design, SOP, data analysis</t>
  </si>
  <si>
    <t>discussion, SOP, in writing</t>
  </si>
  <si>
    <t>discussion, sample, troubleshooting</t>
  </si>
  <si>
    <t>training, supervision</t>
  </si>
  <si>
    <t>discussion, results, troubleshooting</t>
  </si>
  <si>
    <t>discussion, results, seminars, quality</t>
  </si>
  <si>
    <t xml:space="preserve">discussion, seminars, </t>
  </si>
  <si>
    <t>sample, design, acquisition</t>
  </si>
  <si>
    <t>sample, in writing</t>
  </si>
  <si>
    <t>design, quality, sample</t>
  </si>
  <si>
    <t xml:space="preserve">design, acquisition, data analysis, </t>
  </si>
  <si>
    <t>yes - the facility on the raw data itself. The processed data is interpreted by the user - here the situation might be different</t>
  </si>
  <si>
    <r>
      <t xml:space="preserve">We have various means to control the data for stringency. e.g. by measuring a combined sample as a </t>
    </r>
    <r>
      <rPr>
        <sz val="10"/>
        <color rgb="FFFF0000"/>
        <rFont val="Arial"/>
        <family val="2"/>
      </rPr>
      <t>QC sample</t>
    </r>
    <r>
      <rPr>
        <sz val="10"/>
        <rFont val="Arial"/>
        <family val="2"/>
        <charset val="1"/>
      </rPr>
      <t>.</t>
    </r>
  </si>
  <si>
    <r>
      <rPr>
        <sz val="10"/>
        <color rgb="FFFF0000"/>
        <rFont val="Arial"/>
        <family val="2"/>
      </rPr>
      <t>Manual</t>
    </r>
    <r>
      <rPr>
        <sz val="10"/>
        <rFont val="Arial"/>
        <family val="2"/>
        <charset val="1"/>
      </rPr>
      <t xml:space="preserve"> </t>
    </r>
    <r>
      <rPr>
        <sz val="10"/>
        <color rgb="FFFF0000"/>
        <rFont val="Arial"/>
        <family val="2"/>
      </rPr>
      <t>check</t>
    </r>
    <r>
      <rPr>
        <sz val="10"/>
        <rFont val="Arial"/>
        <family val="2"/>
        <charset val="1"/>
      </rPr>
      <t xml:space="preserve"> by the core head and nearly always a </t>
    </r>
    <r>
      <rPr>
        <sz val="10"/>
        <color rgb="FFFF0000"/>
        <rFont val="Arial"/>
        <family val="2"/>
      </rPr>
      <t>feedback meeting</t>
    </r>
    <r>
      <rPr>
        <sz val="10"/>
        <rFont val="Arial"/>
        <family val="2"/>
        <charset val="1"/>
      </rPr>
      <t xml:space="preserve"> after the service is finished to discuss the report.</t>
    </r>
  </si>
  <si>
    <r>
      <rPr>
        <sz val="10"/>
        <color rgb="FFFF0000"/>
        <rFont val="Arial"/>
        <family val="2"/>
      </rPr>
      <t>External checking</t>
    </r>
    <r>
      <rPr>
        <sz val="10"/>
        <rFont val="Arial"/>
        <family val="2"/>
        <charset val="1"/>
      </rPr>
      <t xml:space="preserve"> for publication relevant data</t>
    </r>
  </si>
  <si>
    <r>
      <t xml:space="preserve">We include </t>
    </r>
    <r>
      <rPr>
        <sz val="10"/>
        <color rgb="FFFF0000"/>
        <rFont val="Arial"/>
        <family val="2"/>
      </rPr>
      <t>control</t>
    </r>
    <r>
      <rPr>
        <sz val="10"/>
        <rFont val="Arial"/>
        <family val="2"/>
        <charset val="1"/>
      </rPr>
      <t xml:space="preserve"> experiment we known sgRNA</t>
    </r>
  </si>
  <si>
    <r>
      <t xml:space="preserve">meetings with other members of core facility to </t>
    </r>
    <r>
      <rPr>
        <sz val="10"/>
        <color rgb="FFFF0000"/>
        <rFont val="Arial"/>
        <family val="2"/>
      </rPr>
      <t>discuss</t>
    </r>
    <r>
      <rPr>
        <sz val="10"/>
        <rFont val="Arial"/>
        <family val="2"/>
        <charset val="1"/>
      </rPr>
      <t xml:space="preserve"> data, meeting with users group members to discuss data, for critical mass</t>
    </r>
  </si>
  <si>
    <r>
      <t xml:space="preserve">We do general </t>
    </r>
    <r>
      <rPr>
        <sz val="10"/>
        <color rgb="FFFF0000"/>
        <rFont val="Arial"/>
        <family val="2"/>
      </rPr>
      <t xml:space="preserve">quality control </t>
    </r>
    <r>
      <rPr>
        <sz val="10"/>
        <rFont val="Arial"/>
        <family val="2"/>
        <charset val="1"/>
      </rPr>
      <t>on the analyses provided by the core facility.</t>
    </r>
  </si>
  <si>
    <r>
      <t xml:space="preserve">Analysis </t>
    </r>
    <r>
      <rPr>
        <sz val="10"/>
        <color rgb="FFFF0000"/>
        <rFont val="Arial"/>
        <family val="2"/>
      </rPr>
      <t>validated</t>
    </r>
    <r>
      <rPr>
        <sz val="10"/>
        <rFont val="Arial"/>
        <family val="2"/>
        <charset val="1"/>
      </rPr>
      <t xml:space="preserve"> by core facility staff where appropriate.</t>
    </r>
  </si>
  <si>
    <r>
      <t xml:space="preserve">We use exploratory </t>
    </r>
    <r>
      <rPr>
        <sz val="10"/>
        <color rgb="FFFF0000"/>
        <rFont val="Arial"/>
        <family val="2"/>
      </rPr>
      <t>statistics</t>
    </r>
    <r>
      <rPr>
        <sz val="10"/>
        <rFont val="Arial"/>
        <family val="2"/>
        <charset val="1"/>
      </rPr>
      <t xml:space="preserve"> and graph visualisation to detect potential problems and we </t>
    </r>
    <r>
      <rPr>
        <sz val="10"/>
        <color rgb="FFFF0000"/>
        <rFont val="Arial"/>
        <family val="2"/>
      </rPr>
      <t>discuss</t>
    </r>
    <r>
      <rPr>
        <sz val="10"/>
        <rFont val="Arial"/>
        <family val="2"/>
        <charset val="1"/>
      </rPr>
      <t xml:space="preserve"> with the user of known positive </t>
    </r>
    <r>
      <rPr>
        <sz val="10"/>
        <color rgb="FFFF0000"/>
        <rFont val="Arial"/>
        <family val="2"/>
      </rPr>
      <t>controls</t>
    </r>
  </si>
  <si>
    <r>
      <t xml:space="preserve">Physical Quality </t>
    </r>
    <r>
      <rPr>
        <sz val="10"/>
        <color rgb="FFFF0000"/>
        <rFont val="Arial"/>
        <family val="2"/>
      </rPr>
      <t>Controle</t>
    </r>
    <r>
      <rPr>
        <sz val="10"/>
        <rFont val="Arial"/>
        <family val="2"/>
        <charset val="1"/>
      </rPr>
      <t xml:space="preserve"> Samples of known composition and SSTs are included in each run and have to result in an value unknown to the user before analysis (for qualitative analysis).
While the biological interpretation cannot be evaluated by the facility personal, the significance of the data can and is. Before providing the data to the user, each data set is </t>
    </r>
    <r>
      <rPr>
        <sz val="10"/>
        <color rgb="FFFF0000"/>
        <rFont val="Arial"/>
        <family val="2"/>
      </rPr>
      <t>checked for systematic errors</t>
    </r>
    <r>
      <rPr>
        <sz val="10"/>
        <rFont val="Arial"/>
        <family val="2"/>
        <charset val="1"/>
      </rPr>
      <t xml:space="preserve"> like trends of batch effects.</t>
    </r>
  </si>
  <si>
    <r>
      <t xml:space="preserve">We have two kinds of users: 1. people who got trained to the instruments and afterwards use the machines without our help and 2. people who either come with their samples or give us their samples for full-service processing. For group 1. there is no real control mechanism. These people usually acquire and process data on their own, in most cases without any feedback. For group 2, which is the majority of our users we have permanent contact to the samples, the progress and the results  and usually guide the people up to publishable results. Here, the control mechanism is our </t>
    </r>
    <r>
      <rPr>
        <sz val="10"/>
        <color rgb="FFFF0000"/>
        <rFont val="Arial"/>
        <family val="2"/>
      </rPr>
      <t>experienced guidance</t>
    </r>
    <r>
      <rPr>
        <sz val="10"/>
        <rFont val="Arial"/>
        <family val="2"/>
        <charset val="1"/>
      </rPr>
      <t xml:space="preserve"> which most of our users thankfully welcome.</t>
    </r>
  </si>
  <si>
    <t>Yes in case the facility performed the analysis. Otherwise, it's the team's responsibility.</t>
  </si>
  <si>
    <r>
      <rPr>
        <sz val="10"/>
        <color rgb="FFFF0000"/>
        <rFont val="Arial"/>
        <family val="2"/>
      </rPr>
      <t>Standard</t>
    </r>
    <r>
      <rPr>
        <sz val="10"/>
        <rFont val="Arial"/>
        <family val="2"/>
        <charset val="1"/>
      </rPr>
      <t xml:space="preserve"> operating procedures</t>
    </r>
  </si>
  <si>
    <r>
      <t xml:space="preserve">In some work, we are involved in data analysis. In those cases, we can </t>
    </r>
    <r>
      <rPr>
        <sz val="10"/>
        <color rgb="FFFF0000"/>
        <rFont val="Arial"/>
        <family val="2"/>
      </rPr>
      <t>certify</t>
    </r>
    <r>
      <rPr>
        <sz val="10"/>
        <rFont val="Arial"/>
        <family val="2"/>
        <charset val="1"/>
      </rPr>
      <t xml:space="preserve"> correct analysis. In other cases, data is taken away and we have no insight into how data is interpreted.</t>
    </r>
  </si>
  <si>
    <r>
      <t>CF members are mostly involved in</t>
    </r>
    <r>
      <rPr>
        <sz val="10"/>
        <color rgb="FFFF0000"/>
        <rFont val="Arial"/>
        <family val="2"/>
      </rPr>
      <t xml:space="preserve"> co-authored</t>
    </r>
    <r>
      <rPr>
        <sz val="10"/>
        <rFont val="Arial"/>
        <family val="2"/>
        <charset val="1"/>
      </rPr>
      <t xml:space="preserve"> team of the publication and interpret the data</t>
    </r>
  </si>
  <si>
    <r>
      <t xml:space="preserve">It is applied </t>
    </r>
    <r>
      <rPr>
        <sz val="10"/>
        <color rgb="FFFF0000"/>
        <rFont val="Arial"/>
        <family val="2"/>
      </rPr>
      <t>only if CF is involved in data processing</t>
    </r>
    <r>
      <rPr>
        <sz val="10"/>
        <rFont val="Arial"/>
        <family val="2"/>
        <charset val="1"/>
      </rPr>
      <t>. For the cases where row data are provided to users (which is most typical), users are responsible for quality control of measured data and only very basic and limited control is done during the measurement.</t>
    </r>
  </si>
  <si>
    <r>
      <t xml:space="preserve">4 eyes control and </t>
    </r>
    <r>
      <rPr>
        <sz val="10"/>
        <color rgb="FFFF0000"/>
        <rFont val="Arial"/>
        <family val="2"/>
      </rPr>
      <t>discussions</t>
    </r>
    <r>
      <rPr>
        <sz val="10"/>
        <rFont val="Arial"/>
        <family val="2"/>
        <charset val="1"/>
      </rPr>
      <t xml:space="preserve"> with the user</t>
    </r>
  </si>
  <si>
    <r>
      <rPr>
        <sz val="10"/>
        <color rgb="FFFF0000"/>
        <rFont val="Arial"/>
        <family val="2"/>
      </rPr>
      <t>Discussion</t>
    </r>
    <r>
      <rPr>
        <sz val="10"/>
        <rFont val="Arial"/>
        <family val="2"/>
        <charset val="1"/>
      </rPr>
      <t xml:space="preserve"> with the User</t>
    </r>
  </si>
  <si>
    <r>
      <t xml:space="preserve">Data acquisition is checked using regular </t>
    </r>
    <r>
      <rPr>
        <sz val="10"/>
        <color rgb="FFFF0000"/>
        <rFont val="Arial"/>
        <family val="2"/>
      </rPr>
      <t>standards</t>
    </r>
    <r>
      <rPr>
        <sz val="10"/>
        <rFont val="Arial"/>
        <family val="2"/>
        <charset val="1"/>
      </rPr>
      <t>. Data analysis provides internal checks for precision and reproducibility. Current aim is to use QC to describe data not condemn it - i.e. poor data can still be useful in a quasi manner but it needs to be identified as such.</t>
    </r>
  </si>
  <si>
    <r>
      <t xml:space="preserve">Internal </t>
    </r>
    <r>
      <rPr>
        <sz val="10"/>
        <color rgb="FFFF0000"/>
        <rFont val="Arial"/>
        <family val="2"/>
      </rPr>
      <t>standards</t>
    </r>
    <r>
      <rPr>
        <sz val="10"/>
        <rFont val="Arial"/>
        <family val="2"/>
        <charset val="1"/>
      </rPr>
      <t xml:space="preserve"> are regularly run in parallel. This includes data analysis.</t>
    </r>
  </si>
  <si>
    <r>
      <t xml:space="preserve">Data quality and integrity is checked by the above described processes within the individual </t>
    </r>
    <r>
      <rPr>
        <sz val="10"/>
        <color rgb="FFFF0000"/>
        <rFont val="Arial"/>
        <family val="2"/>
      </rPr>
      <t xml:space="preserve">P.I. </t>
    </r>
    <r>
      <rPr>
        <sz val="10"/>
        <rFont val="Arial"/>
        <family val="2"/>
        <charset val="1"/>
      </rPr>
      <t>groups and reviewed by peers within the institute before any attempt to publish.</t>
    </r>
  </si>
  <si>
    <r>
      <t xml:space="preserve">Project </t>
    </r>
    <r>
      <rPr>
        <sz val="10"/>
        <color rgb="FFFF0000"/>
        <rFont val="Arial"/>
        <family val="2"/>
      </rPr>
      <t xml:space="preserve">QC samples </t>
    </r>
    <r>
      <rPr>
        <sz val="10"/>
        <rFont val="Arial"/>
        <family val="2"/>
        <charset val="1"/>
      </rPr>
      <t>run throughout to check drift/batch effects. QA procedure every day to ensure temperature, shim quality and quantification.</t>
    </r>
  </si>
  <si>
    <r>
      <t xml:space="preserve">My facility carries out the proteomics workflow from sample prep thru data analysis. We want to </t>
    </r>
    <r>
      <rPr>
        <sz val="10"/>
        <color rgb="FFFF0000"/>
        <rFont val="Arial"/>
        <family val="2"/>
      </rPr>
      <t>know</t>
    </r>
    <r>
      <rPr>
        <sz val="10"/>
        <rFont val="Arial"/>
        <family val="2"/>
        <charset val="1"/>
      </rPr>
      <t xml:space="preserve"> what goes in and what comes out and want </t>
    </r>
    <r>
      <rPr>
        <sz val="10"/>
        <color rgb="FFFF0000"/>
        <rFont val="Arial"/>
        <family val="2"/>
      </rPr>
      <t>control</t>
    </r>
    <r>
      <rPr>
        <sz val="10"/>
        <rFont val="Arial"/>
        <family val="2"/>
        <charset val="1"/>
      </rPr>
      <t xml:space="preserve"> over that. Also, it is important to be able to </t>
    </r>
    <r>
      <rPr>
        <sz val="10"/>
        <color rgb="FFFF0000"/>
        <rFont val="Arial"/>
        <family val="2"/>
      </rPr>
      <t>match outcome and input</t>
    </r>
    <r>
      <rPr>
        <sz val="10"/>
        <rFont val="Arial"/>
        <family val="2"/>
        <charset val="1"/>
      </rPr>
      <t>: is there no discrepancy between the quality of the data and the quality of the samples? 
Only in exceptional cases (after thorough instruction) are users allowed to analyze data themselves.</t>
    </r>
  </si>
  <si>
    <r>
      <rPr>
        <sz val="10"/>
        <color rgb="FFFF0000"/>
        <rFont val="Arial"/>
        <family val="2"/>
      </rPr>
      <t>Control</t>
    </r>
    <r>
      <rPr>
        <sz val="10"/>
        <rFont val="Arial"/>
        <family val="2"/>
        <charset val="1"/>
      </rPr>
      <t xml:space="preserve"> samples are routinely run.</t>
    </r>
  </si>
  <si>
    <r>
      <rPr>
        <sz val="10"/>
        <color rgb="FFFF0000"/>
        <rFont val="Arial"/>
        <family val="2"/>
      </rPr>
      <t>Standard</t>
    </r>
    <r>
      <rPr>
        <sz val="10"/>
        <rFont val="Arial"/>
        <family val="2"/>
        <charset val="1"/>
      </rPr>
      <t xml:space="preserve"> QC for the methods and researcher </t>
    </r>
    <r>
      <rPr>
        <sz val="10"/>
        <color rgb="FFFF0000"/>
        <rFont val="Arial"/>
        <family val="2"/>
      </rPr>
      <t>feedback</t>
    </r>
    <r>
      <rPr>
        <sz val="10"/>
        <rFont val="Arial"/>
        <family val="2"/>
        <charset val="1"/>
      </rPr>
      <t>.</t>
    </r>
  </si>
  <si>
    <r>
      <t>The Core Facility works hand in hand</t>
    </r>
    <r>
      <rPr>
        <sz val="10"/>
        <color rgb="FFFF0000"/>
        <rFont val="Arial"/>
        <family val="2"/>
      </rPr>
      <t xml:space="preserve"> with the PI</t>
    </r>
    <r>
      <rPr>
        <sz val="10"/>
        <rFont val="Arial"/>
        <family val="2"/>
        <charset val="1"/>
      </rPr>
      <t xml:space="preserve"> for interpretation the data.</t>
    </r>
  </si>
  <si>
    <r>
      <rPr>
        <sz val="10"/>
        <color rgb="FFFF0000"/>
        <rFont val="Arial"/>
        <family val="2"/>
      </rPr>
      <t>discussion</t>
    </r>
    <r>
      <rPr>
        <sz val="10"/>
        <rFont val="Arial"/>
        <family val="2"/>
        <charset val="1"/>
      </rPr>
      <t xml:space="preserve"> with user</t>
    </r>
  </si>
  <si>
    <t>it is the overall responsibility of the facility to make sure that data are analysed correctly. If a user decides to analyse their data, we will make sure at the publication stage that all data and conclusions drawn are consistent.</t>
  </si>
  <si>
    <t>all</t>
  </si>
  <si>
    <t>Data cannot get lost / orphaned</t>
  </si>
  <si>
    <t>Q-CoFa Survey 1</t>
  </si>
  <si>
    <t>Q-CoFa Survey 2</t>
  </si>
  <si>
    <t>Raw data. The 1st survey is a pilot survey.</t>
  </si>
  <si>
    <t>Raw data. The 2nd survey is an improved version based on the answers from the 1st survey.</t>
  </si>
  <si>
    <t>categorization and interpretation of the data</t>
  </si>
  <si>
    <t>Sheet:</t>
  </si>
  <si>
    <t>1, 2, 3, …</t>
  </si>
  <si>
    <t>neurobehavior</t>
  </si>
  <si>
    <t>it depends</t>
  </si>
  <si>
    <t>recommandations</t>
  </si>
  <si>
    <t>double checking by head &amp; automated controls</t>
  </si>
  <si>
    <t>internal database and european database</t>
  </si>
  <si>
    <t>appropriate equipment for behavioural tests, well trained staff, documented procedures</t>
  </si>
  <si>
    <t>well trained hyman staff</t>
  </si>
  <si>
    <t>To convey the importance of compliance with trained study designs, protocols and procedures.</t>
  </si>
  <si>
    <t>information on our website about our collaboration requirements regarding quality and robustness</t>
  </si>
  <si>
    <t>We analyse the data by standardised R-scripts programmed by a statistician, have a quality control process in place, send out a report including data interpretation to the user and check all details in the manuscript before publication</t>
  </si>
  <si>
    <t>they can not write the publication without our methods information; we have very close interactions with the users during the entire project and outcome discussions</t>
  </si>
  <si>
    <t>Atlassian softwares (JIRA, Confluence)</t>
  </si>
  <si>
    <t>Data traceability; we control methods, procedures, data acquisition, storage, interpretation; trainings; audits, QMS</t>
  </si>
  <si>
    <t>Scientific training/experience of users regarding good scientific practice, meaningful study design, testable hypothesis, scientific rigor</t>
  </si>
  <si>
    <t>animal welfare/licence regulations make it difficult to repeat in vivo studies</t>
  </si>
  <si>
    <t>Communication can and should always be improved! The main issue to be always informed and up-to-date, in both directions (user &lt;-&gt; facility)</t>
  </si>
  <si>
    <t>Verifying that the users possess sufficient skills in handling the animals and understanding the protocols for their experiment, also emphasizing the work culture and good practice in all situations, especially in case of uncertainties - where and when to seek for help</t>
  </si>
  <si>
    <t>Lectures on experimental design on the courses on laboratory animal science, mandatory requirement (Function A) for working with animals</t>
  </si>
  <si>
    <t>Sustainable and continuous communication with research groups, building the trust in expertise provided by core facility</t>
  </si>
  <si>
    <t>Training, supervision, availability and involvement at all steps of research process if asked or necessary</t>
  </si>
  <si>
    <t>Support in statistics, experimental design</t>
  </si>
  <si>
    <t>Sustainable funding and support by host institution</t>
  </si>
  <si>
    <t xml:space="preserve">in writing, </t>
  </si>
  <si>
    <t xml:space="preserve">seminar, experimental design </t>
  </si>
  <si>
    <r>
      <t xml:space="preserve">To convey the importance of compliance with trained study </t>
    </r>
    <r>
      <rPr>
        <sz val="10"/>
        <color rgb="FFFF0000"/>
        <rFont val="Arial"/>
        <family val="2"/>
      </rPr>
      <t>designs</t>
    </r>
    <r>
      <rPr>
        <sz val="10"/>
        <rFont val="Arial"/>
        <family val="2"/>
        <charset val="1"/>
      </rPr>
      <t>, protocols and procedures.(</t>
    </r>
    <r>
      <rPr>
        <sz val="10"/>
        <color rgb="FF00B0F0"/>
        <rFont val="Arial"/>
        <family val="2"/>
      </rPr>
      <t>technique</t>
    </r>
    <r>
      <rPr>
        <sz val="10"/>
        <rFont val="Arial"/>
        <family val="2"/>
        <charset val="1"/>
      </rPr>
      <t>)</t>
    </r>
  </si>
  <si>
    <t>if yes, how?</t>
  </si>
  <si>
    <t>Are you using a communication software?</t>
  </si>
  <si>
    <t xml:space="preserve"> If yes, which software?</t>
  </si>
  <si>
    <t>If yes, what is the most important aspect of your training?</t>
  </si>
  <si>
    <t>If no, why are you not involved?</t>
  </si>
  <si>
    <t>If no, would that be important for you to provide?</t>
  </si>
  <si>
    <t>If yes, what does it look like?</t>
  </si>
  <si>
    <t>If no, do you think this would be important?</t>
  </si>
  <si>
    <r>
      <t xml:space="preserve">If user, do you think the core facility should also be responsible for </t>
    </r>
    <r>
      <rPr>
        <b/>
        <sz val="10"/>
        <color rgb="FFFF0000"/>
        <rFont val="Arial"/>
        <family val="2"/>
      </rPr>
      <t>storing</t>
    </r>
    <r>
      <rPr>
        <b/>
        <sz val="10"/>
        <rFont val="Arial"/>
        <family val="2"/>
      </rPr>
      <t xml:space="preserve"> the raw data?</t>
    </r>
  </si>
  <si>
    <t>If yes, could you please briefly describe?</t>
  </si>
  <si>
    <t>If no, do you think it would be important to have such quality control mechanism at your core facility?</t>
  </si>
  <si>
    <t>If no, how could that be improved?</t>
  </si>
  <si>
    <t>If yes, are you  willing to share with us? please contact us.</t>
  </si>
  <si>
    <t>If no, would you find it useful to implement one and why ?  </t>
  </si>
  <si>
    <t>Do you have enough staff to run your facility?</t>
  </si>
  <si>
    <t>Do you have enough funding to maintain and upgrade your equipment? </t>
  </si>
  <si>
    <t>If yes, what are these tools? </t>
  </si>
  <si>
    <t>If user, do you provide guidance or train the user how to analyse raw data?</t>
  </si>
  <si>
    <t>If user, do you provide guidance how to perform the statistical analysis?</t>
  </si>
  <si>
    <t>If no, would you find it useful to implement a data management plan?  </t>
  </si>
  <si>
    <t>how to improve communication</t>
  </si>
  <si>
    <t>know that info is read</t>
  </si>
  <si>
    <t>management</t>
  </si>
  <si>
    <t>software management</t>
  </si>
  <si>
    <t>platform</t>
  </si>
  <si>
    <t>website, platform</t>
  </si>
  <si>
    <t xml:space="preserve"> advertising</t>
  </si>
  <si>
    <t>User cooperation</t>
  </si>
  <si>
    <t>user cooperation</t>
  </si>
  <si>
    <t xml:space="preserve"> website, feedback, management</t>
  </si>
  <si>
    <t>chat, management</t>
  </si>
  <si>
    <t>know that user read</t>
  </si>
  <si>
    <t>cooperation</t>
  </si>
  <si>
    <t xml:space="preserve"> social media </t>
  </si>
  <si>
    <t>chat</t>
  </si>
  <si>
    <t xml:space="preserve"> automation </t>
  </si>
  <si>
    <t xml:space="preserve"> management </t>
  </si>
  <si>
    <t>early communication</t>
  </si>
  <si>
    <t xml:space="preserve"> visibility </t>
  </si>
  <si>
    <t xml:space="preserve"> visibility</t>
  </si>
  <si>
    <t xml:space="preserve"> platform</t>
  </si>
  <si>
    <t>management software</t>
  </si>
  <si>
    <t xml:space="preserve"> users should read </t>
  </si>
  <si>
    <t xml:space="preserve"> management software - </t>
  </si>
  <si>
    <t xml:space="preserve"> feedback of users </t>
  </si>
  <si>
    <t xml:space="preserve"> better  follow-up, more staff</t>
  </si>
  <si>
    <t xml:space="preserve"> - automation</t>
  </si>
  <si>
    <t xml:space="preserve">early communication </t>
  </si>
  <si>
    <t xml:space="preserve">Management software </t>
  </si>
  <si>
    <t>social media,   automation</t>
  </si>
  <si>
    <t xml:space="preserve"> seminars</t>
  </si>
  <si>
    <t>t feedbacks visibility</t>
  </si>
  <si>
    <t>Involve  the users in  development</t>
  </si>
  <si>
    <t xml:space="preserve"> ensure users read </t>
  </si>
  <si>
    <t xml:space="preserve"> website, social media, seminars</t>
  </si>
  <si>
    <t xml:space="preserve"> more time .</t>
  </si>
  <si>
    <t xml:space="preserve"> chat </t>
  </si>
  <si>
    <t>users don't read</t>
  </si>
  <si>
    <t xml:space="preserve">visibility.  users  actually read </t>
  </si>
  <si>
    <t xml:space="preserve">management software </t>
  </si>
  <si>
    <t xml:space="preserve"> feedback</t>
  </si>
  <si>
    <t xml:space="preserve"> seminars.</t>
  </si>
  <si>
    <t xml:space="preserve"> PI involvement</t>
  </si>
  <si>
    <t xml:space="preserve">  automation and management software / </t>
  </si>
  <si>
    <t xml:space="preserve">Platform </t>
  </si>
  <si>
    <t xml:space="preserve">Online platform </t>
  </si>
  <si>
    <t xml:space="preserve"> (seminars) </t>
  </si>
  <si>
    <t xml:space="preserve">by social media </t>
  </si>
  <si>
    <t xml:space="preserve">user should read
 open door hour </t>
  </si>
  <si>
    <t xml:space="preserve">more staff </t>
  </si>
  <si>
    <t xml:space="preserve"> advertising </t>
  </si>
  <si>
    <t>management software.</t>
  </si>
  <si>
    <t>more staff/time</t>
  </si>
  <si>
    <t>feedback from users</t>
  </si>
  <si>
    <t>better followup</t>
  </si>
  <si>
    <t>better website</t>
  </si>
  <si>
    <t>more seminars</t>
  </si>
  <si>
    <t>early involvement</t>
  </si>
  <si>
    <t>more visibility/advertising</t>
  </si>
  <si>
    <t>PI involvement</t>
  </si>
  <si>
    <t>open door hours</t>
  </si>
  <si>
    <t>Management software</t>
  </si>
  <si>
    <t xml:space="preserve"> management software / LIMS </t>
  </si>
  <si>
    <t xml:space="preserve"> early involvement</t>
  </si>
  <si>
    <t>get the users read + cooperate</t>
  </si>
  <si>
    <t>chat, social media, discussion platform</t>
  </si>
  <si>
    <t xml:space="preserve"> - automated progress tracking and reporting for users after log-in
 - automated invoicing</t>
  </si>
  <si>
    <t>regular seminars/workshop to get familiarized with the methods and work-flow of our service; 
so that expectations (time-line)  and interpretation become real....</t>
  </si>
  <si>
    <t>I would like to have the user report problems directly to me more often - now they sometimes just tell each other or make a small note in the paper user log and the information does not reach me or others in time. Then we find e.g. an instrument malfunction as an unpleasant surprise when coming to the instrument with samples already prepared etc. feedback</t>
  </si>
  <si>
    <t xml:space="preserve"> - make them read the 1 single email that contains all relevant email 
 - weekly facility walk-in hour (for any kind of questions)</t>
  </si>
  <si>
    <r>
      <t>Helpdesk software is</t>
    </r>
    <r>
      <rPr>
        <sz val="10"/>
        <color rgb="FFFF0000"/>
        <rFont val="Arial"/>
        <family val="2"/>
      </rPr>
      <t xml:space="preserve"> very useful</t>
    </r>
    <r>
      <rPr>
        <sz val="10"/>
        <rFont val="Arial"/>
        <family val="2"/>
        <charset val="1"/>
      </rPr>
      <t xml:space="preserve"> for tracking user requests. PPMS software is </t>
    </r>
    <r>
      <rPr>
        <sz val="10"/>
        <color rgb="FFFF0000"/>
        <rFont val="Arial"/>
        <family val="2"/>
      </rPr>
      <t>useful</t>
    </r>
    <r>
      <rPr>
        <sz val="10"/>
        <rFont val="Arial"/>
        <family val="2"/>
        <charset val="1"/>
      </rPr>
      <t xml:space="preserve"> for understanding user base for equipment, and communicating when equipment is booked or not available.</t>
    </r>
  </si>
  <si>
    <r>
      <t xml:space="preserve">I am just starting doing to set it up myself. I have been invited to an other group using Trello. It is </t>
    </r>
    <r>
      <rPr>
        <sz val="10"/>
        <color rgb="FFFF0000"/>
        <rFont val="Arial"/>
        <family val="2"/>
      </rPr>
      <t xml:space="preserve">very usefull </t>
    </r>
    <r>
      <rPr>
        <sz val="10"/>
        <rFont val="Arial"/>
        <family val="2"/>
        <charset val="1"/>
      </rPr>
      <t xml:space="preserve">to organize workflows. In addition, we are using an electronical lab book which is shared within the group and users. </t>
    </r>
    <r>
      <rPr>
        <sz val="10"/>
        <color rgb="FFFF0000"/>
        <rFont val="Arial"/>
        <family val="2"/>
      </rPr>
      <t>The electronical lab book has improved the documentation and my people are better organized.</t>
    </r>
  </si>
  <si>
    <r>
      <t xml:space="preserve">restyaboard, </t>
    </r>
    <r>
      <rPr>
        <sz val="10"/>
        <color rgb="FF00B0F0"/>
        <rFont val="Arial"/>
        <family val="2"/>
      </rPr>
      <t>ELN</t>
    </r>
  </si>
  <si>
    <r>
      <rPr>
        <sz val="10"/>
        <color rgb="FFFF0000"/>
        <rFont val="Arial"/>
        <family val="2"/>
      </rPr>
      <t>Excellent</t>
    </r>
    <r>
      <rPr>
        <sz val="10"/>
        <rFont val="Arial"/>
        <family val="2"/>
        <charset val="1"/>
      </rPr>
      <t>, although PyRAT is not really communication software, but it handles work requests well</t>
    </r>
  </si>
  <si>
    <r>
      <t xml:space="preserve">this </t>
    </r>
    <r>
      <rPr>
        <sz val="10"/>
        <color rgb="FFFF0000"/>
        <rFont val="Arial"/>
        <family val="2"/>
      </rPr>
      <t>helps</t>
    </r>
    <r>
      <rPr>
        <sz val="10"/>
        <rFont val="Arial"/>
        <family val="2"/>
        <charset val="1"/>
      </rPr>
      <t xml:space="preserve"> efficiency, but it reduces visibility</t>
    </r>
  </si>
  <si>
    <r>
      <t xml:space="preserve">Generally </t>
    </r>
    <r>
      <rPr>
        <sz val="10"/>
        <color rgb="FFFF0000"/>
        <rFont val="Arial"/>
        <family val="2"/>
      </rPr>
      <t>positive</t>
    </r>
    <r>
      <rPr>
        <sz val="10"/>
        <rFont val="Arial"/>
        <family val="2"/>
        <charset val="1"/>
      </rPr>
      <t xml:space="preserve">. Sometimes tedious to configure and it still need </t>
    </r>
    <r>
      <rPr>
        <sz val="10"/>
        <color rgb="FFFF0000"/>
        <rFont val="Arial"/>
        <family val="2"/>
      </rPr>
      <t>discipline</t>
    </r>
    <r>
      <rPr>
        <sz val="10"/>
        <rFont val="Arial"/>
        <family val="2"/>
        <charset val="1"/>
      </rPr>
      <t>.</t>
    </r>
  </si>
  <si>
    <r>
      <t xml:space="preserve">Really </t>
    </r>
    <r>
      <rPr>
        <sz val="10"/>
        <color rgb="FFFF0000"/>
        <rFont val="Arial"/>
        <family val="2"/>
      </rPr>
      <t>great</t>
    </r>
    <r>
      <rPr>
        <sz val="10"/>
        <rFont val="Arial"/>
        <family val="2"/>
        <charset val="1"/>
      </rPr>
      <t>, is a very nice s¡platform</t>
    </r>
  </si>
  <si>
    <r>
      <rPr>
        <sz val="10"/>
        <color rgb="FFFF0000"/>
        <rFont val="Arial"/>
        <family val="2"/>
      </rPr>
      <t>We love it</t>
    </r>
    <r>
      <rPr>
        <sz val="10"/>
        <rFont val="Arial"/>
        <family val="2"/>
        <charset val="1"/>
      </rPr>
      <t xml:space="preserve">. It is an excellent booking and financial management system. It also gives us a way of </t>
    </r>
    <r>
      <rPr>
        <sz val="10"/>
        <color rgb="FFFF0000"/>
        <rFont val="Arial"/>
        <family val="2"/>
      </rPr>
      <t>recording all communication pertaining to a particular piece of work/training</t>
    </r>
    <r>
      <rPr>
        <sz val="10"/>
        <rFont val="Arial"/>
        <family val="2"/>
        <charset val="1"/>
      </rPr>
      <t xml:space="preserve"> etc</t>
    </r>
  </si>
  <si>
    <r>
      <rPr>
        <sz val="10"/>
        <color rgb="FFFF0000"/>
        <rFont val="Arial"/>
        <family val="2"/>
      </rPr>
      <t xml:space="preserve">Very good </t>
    </r>
    <r>
      <rPr>
        <sz val="10"/>
        <rFont val="Arial"/>
        <family val="2"/>
        <charset val="1"/>
      </rPr>
      <t>for planning, limited ability for communication (mailing list + alerts on the website)</t>
    </r>
  </si>
  <si>
    <r>
      <t xml:space="preserve">It works </t>
    </r>
    <r>
      <rPr>
        <sz val="10"/>
        <color rgb="FFFF0000"/>
        <rFont val="Arial"/>
        <family val="2"/>
      </rPr>
      <t>ok</t>
    </r>
    <r>
      <rPr>
        <sz val="10"/>
        <rFont val="Arial"/>
        <family val="2"/>
        <charset val="1"/>
      </rPr>
      <t>,</t>
    </r>
    <r>
      <rPr>
        <sz val="10"/>
        <color rgb="FFFF0000"/>
        <rFont val="Arial"/>
        <family val="2"/>
      </rPr>
      <t xml:space="preserve"> but </t>
    </r>
    <r>
      <rPr>
        <sz val="10"/>
        <rFont val="Arial"/>
        <family val="2"/>
        <charset val="1"/>
      </rPr>
      <t xml:space="preserve">as they get </t>
    </r>
    <r>
      <rPr>
        <sz val="10"/>
        <color rgb="FFFF0000"/>
        <rFont val="Arial"/>
        <family val="2"/>
      </rPr>
      <t>so many emails</t>
    </r>
    <r>
      <rPr>
        <sz val="10"/>
        <rFont val="Arial"/>
        <family val="2"/>
        <charset val="1"/>
      </rPr>
      <t xml:space="preserve"> from PPMS, some of our messages fall between the cracks. </t>
    </r>
    <r>
      <rPr>
        <sz val="10"/>
        <color rgb="FFFF0000"/>
        <rFont val="Arial"/>
        <family val="2"/>
      </rPr>
      <t>Face to face is better</t>
    </r>
    <r>
      <rPr>
        <sz val="10"/>
        <rFont val="Arial"/>
        <family val="2"/>
        <charset val="1"/>
      </rPr>
      <t xml:space="preserve"> but we have over 80 groups that use us so this is not always feasible.</t>
    </r>
  </si>
  <si>
    <r>
      <rPr>
        <sz val="10"/>
        <color rgb="FFFF0000"/>
        <rFont val="Arial"/>
        <family val="2"/>
      </rPr>
      <t>very positive</t>
    </r>
    <r>
      <rPr>
        <sz val="10"/>
        <rFont val="Arial"/>
        <family val="2"/>
        <charset val="1"/>
      </rPr>
      <t xml:space="preserve"> feedback from users</t>
    </r>
  </si>
  <si>
    <r>
      <rPr>
        <sz val="10"/>
        <color rgb="FFFF0000"/>
        <rFont val="Arial"/>
        <family val="2"/>
      </rPr>
      <t>ok</t>
    </r>
    <r>
      <rPr>
        <sz val="10"/>
        <rFont val="Arial"/>
        <family val="2"/>
        <charset val="1"/>
      </rPr>
      <t>, but can be improved</t>
    </r>
  </si>
  <si>
    <r>
      <rPr>
        <sz val="10"/>
        <color rgb="FFFF0000"/>
        <rFont val="Arial"/>
        <family val="2"/>
      </rPr>
      <t>Mixed</t>
    </r>
    <r>
      <rPr>
        <sz val="10"/>
        <rFont val="Arial"/>
        <family val="2"/>
        <charset val="1"/>
      </rPr>
      <t>. An automation of processes inside the SW system is not flawless</t>
    </r>
  </si>
  <si>
    <r>
      <t xml:space="preserve">we are </t>
    </r>
    <r>
      <rPr>
        <sz val="10"/>
        <color rgb="FFFF0000"/>
        <rFont val="Arial"/>
        <family val="2"/>
      </rPr>
      <t>happy</t>
    </r>
    <r>
      <rPr>
        <sz val="10"/>
        <rFont val="Arial"/>
        <family val="2"/>
        <charset val="1"/>
      </rPr>
      <t xml:space="preserve"> with that, most of users, too</t>
    </r>
  </si>
  <si>
    <r>
      <rPr>
        <sz val="10"/>
        <color rgb="FFFF0000"/>
        <rFont val="Arial"/>
        <family val="2"/>
      </rPr>
      <t>very good</t>
    </r>
    <r>
      <rPr>
        <sz val="10"/>
        <rFont val="Arial"/>
        <family val="2"/>
        <charset val="1"/>
      </rPr>
      <t xml:space="preserve"> system to provide Data</t>
    </r>
  </si>
  <si>
    <r>
      <rPr>
        <sz val="10"/>
        <color rgb="FFFF0000"/>
        <rFont val="Arial"/>
        <family val="2"/>
      </rPr>
      <t>High maintenance</t>
    </r>
    <r>
      <rPr>
        <sz val="10"/>
        <rFont val="Arial"/>
        <family val="2"/>
        <charset val="1"/>
      </rPr>
      <t xml:space="preserve"> - but highly flexible</t>
    </r>
  </si>
  <si>
    <r>
      <t xml:space="preserve">Works </t>
    </r>
    <r>
      <rPr>
        <sz val="10"/>
        <color rgb="FFFF0000"/>
        <rFont val="Arial"/>
        <family val="2"/>
      </rPr>
      <t>well</t>
    </r>
  </si>
  <si>
    <r>
      <rPr>
        <sz val="10"/>
        <color rgb="FFFF0000"/>
        <rFont val="Arial"/>
        <family val="2"/>
      </rPr>
      <t>direct communication</t>
    </r>
    <r>
      <rPr>
        <sz val="10"/>
        <rFont val="Arial"/>
        <family val="2"/>
        <charset val="1"/>
      </rPr>
      <t xml:space="preserve"> works best, but is most time consuming</t>
    </r>
  </si>
  <si>
    <t>documents</t>
  </si>
  <si>
    <t>implementation</t>
  </si>
  <si>
    <t>cost</t>
  </si>
  <si>
    <t>time, cost</t>
  </si>
  <si>
    <t>complexity</t>
  </si>
  <si>
    <t>maintenance</t>
  </si>
  <si>
    <t>overload</t>
  </si>
  <si>
    <t>data protection, maintenance</t>
  </si>
  <si>
    <t>maintenance, complexity</t>
  </si>
  <si>
    <t>time, overload</t>
  </si>
  <si>
    <t>cost, data protection</t>
  </si>
  <si>
    <t xml:space="preserve">discussion, </t>
  </si>
  <si>
    <t>heterogeneity</t>
  </si>
  <si>
    <t>customization</t>
  </si>
  <si>
    <t>implementation, time</t>
  </si>
  <si>
    <t>maintenance, cost</t>
  </si>
  <si>
    <t>cost, time</t>
  </si>
  <si>
    <t>heterogeneity, complexity, user</t>
  </si>
  <si>
    <t>discussion is better</t>
  </si>
  <si>
    <t>user involvement, overload</t>
  </si>
  <si>
    <t>heterogeneity, complexity, customisation</t>
  </si>
  <si>
    <t>quality control, best practice</t>
  </si>
  <si>
    <r>
      <t xml:space="preserve">specific training for each application, each </t>
    </r>
    <r>
      <rPr>
        <sz val="10"/>
        <rFont val="Arial"/>
        <family val="2"/>
      </rPr>
      <t>microscope</t>
    </r>
    <r>
      <rPr>
        <sz val="10"/>
        <rFont val="Arial"/>
        <family val="2"/>
        <charset val="1"/>
      </rPr>
      <t xml:space="preserve"> (</t>
    </r>
    <r>
      <rPr>
        <sz val="10"/>
        <color rgb="FF00B0F0"/>
        <rFont val="Arial"/>
        <family val="2"/>
      </rPr>
      <t>equipment</t>
    </r>
    <r>
      <rPr>
        <sz val="10"/>
        <rFont val="Arial"/>
        <family val="2"/>
        <charset val="1"/>
      </rPr>
      <t>)</t>
    </r>
  </si>
  <si>
    <r>
      <t xml:space="preserve">knowledge of the </t>
    </r>
    <r>
      <rPr>
        <sz val="10"/>
        <rFont val="Arial"/>
        <family val="2"/>
      </rPr>
      <t>system</t>
    </r>
    <r>
      <rPr>
        <sz val="10"/>
        <rFont val="Arial"/>
        <family val="2"/>
        <charset val="1"/>
      </rPr>
      <t xml:space="preserve"> (</t>
    </r>
    <r>
      <rPr>
        <sz val="10"/>
        <color rgb="FF00B0F0"/>
        <rFont val="Arial"/>
        <family val="2"/>
      </rPr>
      <t>equipment</t>
    </r>
    <r>
      <rPr>
        <sz val="10"/>
        <rFont val="Arial"/>
        <family val="2"/>
        <charset val="1"/>
      </rPr>
      <t>)</t>
    </r>
  </si>
  <si>
    <r>
      <t>instrument</t>
    </r>
    <r>
      <rPr>
        <sz val="10"/>
        <rFont val="Arial"/>
        <family val="2"/>
        <charset val="1"/>
      </rPr>
      <t xml:space="preserve"> training (</t>
    </r>
    <r>
      <rPr>
        <sz val="10"/>
        <color rgb="FF00B0F0"/>
        <rFont val="Arial"/>
        <family val="2"/>
      </rPr>
      <t>equipment</t>
    </r>
    <r>
      <rPr>
        <sz val="10"/>
        <rFont val="Arial"/>
        <family val="2"/>
        <charset val="1"/>
      </rPr>
      <t>)</t>
    </r>
  </si>
  <si>
    <r>
      <t xml:space="preserve">That the users </t>
    </r>
    <r>
      <rPr>
        <sz val="10"/>
        <rFont val="Arial"/>
        <family val="2"/>
      </rPr>
      <t>understand</t>
    </r>
    <r>
      <rPr>
        <sz val="10"/>
        <rFont val="Arial"/>
        <family val="2"/>
        <charset val="1"/>
      </rPr>
      <t xml:space="preserve"> why they are doing certain steps and how they work. (</t>
    </r>
    <r>
      <rPr>
        <sz val="10"/>
        <color rgb="FF00B0F0"/>
        <rFont val="Arial"/>
        <family val="2"/>
      </rPr>
      <t>theoretical</t>
    </r>
    <r>
      <rPr>
        <sz val="10"/>
        <rFont val="Arial"/>
        <family val="2"/>
        <charset val="1"/>
      </rPr>
      <t>)</t>
    </r>
  </si>
  <si>
    <r>
      <t xml:space="preserve">how to use our </t>
    </r>
    <r>
      <rPr>
        <sz val="10"/>
        <color rgb="FFFF0000"/>
        <rFont val="Arial"/>
        <family val="2"/>
      </rPr>
      <t>equipment</t>
    </r>
  </si>
  <si>
    <r>
      <t xml:space="preserve">Making the student confident in their ongoing work, using the </t>
    </r>
    <r>
      <rPr>
        <sz val="10"/>
        <rFont val="Arial"/>
        <family val="2"/>
      </rPr>
      <t>instruments</t>
    </r>
    <r>
      <rPr>
        <sz val="10"/>
        <rFont val="Arial"/>
        <family val="2"/>
        <charset val="1"/>
      </rPr>
      <t xml:space="preserve"> correctly (</t>
    </r>
    <r>
      <rPr>
        <sz val="10"/>
        <color rgb="FF00B0F0"/>
        <rFont val="Arial"/>
        <family val="2"/>
      </rPr>
      <t>equipment</t>
    </r>
    <r>
      <rPr>
        <sz val="10"/>
        <rFont val="Arial"/>
        <family val="2"/>
        <charset val="1"/>
      </rPr>
      <t>)</t>
    </r>
  </si>
  <si>
    <t>Project success: only successfully users are promoters</t>
  </si>
  <si>
    <r>
      <t>the users should be able to work with pluripotent stem cells by themselves (</t>
    </r>
    <r>
      <rPr>
        <sz val="10"/>
        <color rgb="FF00B0F0"/>
        <rFont val="Arial"/>
        <family val="2"/>
      </rPr>
      <t>independence</t>
    </r>
    <r>
      <rPr>
        <sz val="10"/>
        <rFont val="Arial"/>
        <family val="2"/>
        <charset val="1"/>
      </rPr>
      <t>)</t>
    </r>
  </si>
  <si>
    <r>
      <t xml:space="preserve">Training on </t>
    </r>
    <r>
      <rPr>
        <sz val="10"/>
        <color rgb="FFFF0000"/>
        <rFont val="Arial"/>
        <family val="2"/>
      </rPr>
      <t>equipment</t>
    </r>
  </si>
  <si>
    <r>
      <t>Teaching handling instrument (</t>
    </r>
    <r>
      <rPr>
        <sz val="10"/>
        <color rgb="FF00B0F0"/>
        <rFont val="Arial"/>
        <family val="2"/>
      </rPr>
      <t>equipment</t>
    </r>
    <r>
      <rPr>
        <sz val="10"/>
        <rFont val="Arial"/>
        <family val="2"/>
        <charset val="1"/>
      </rPr>
      <t>) and recording properly. Iaging Ethics, also unbiased recording (</t>
    </r>
    <r>
      <rPr>
        <sz val="10"/>
        <color rgb="FF00B0F0"/>
        <rFont val="Arial"/>
        <family val="2"/>
      </rPr>
      <t>quality</t>
    </r>
    <r>
      <rPr>
        <sz val="10"/>
        <rFont val="Arial"/>
        <family val="2"/>
        <charset val="1"/>
      </rPr>
      <t>)</t>
    </r>
  </si>
  <si>
    <r>
      <t>learn how to use the machines (</t>
    </r>
    <r>
      <rPr>
        <sz val="10"/>
        <color rgb="FF00B0F0"/>
        <rFont val="Arial"/>
        <family val="2"/>
      </rPr>
      <t>equipment</t>
    </r>
    <r>
      <rPr>
        <sz val="10"/>
        <rFont val="Arial"/>
        <family val="2"/>
        <charset val="1"/>
      </rPr>
      <t>)
what flow cytometry is (</t>
    </r>
    <r>
      <rPr>
        <sz val="10"/>
        <color rgb="FF00B0F0"/>
        <rFont val="Arial"/>
        <family val="2"/>
      </rPr>
      <t>theoretical</t>
    </r>
    <r>
      <rPr>
        <sz val="10"/>
        <rFont val="Arial"/>
        <family val="2"/>
        <charset val="1"/>
      </rPr>
      <t>)</t>
    </r>
  </si>
  <si>
    <r>
      <t>Project related scientific and technical training to use complex instrumentation for data generation. (</t>
    </r>
    <r>
      <rPr>
        <sz val="10"/>
        <color rgb="FF00B0F0"/>
        <rFont val="Arial"/>
        <family val="2"/>
      </rPr>
      <t>equipment</t>
    </r>
    <r>
      <rPr>
        <sz val="10"/>
        <rFont val="Arial"/>
        <family val="2"/>
        <charset val="1"/>
      </rPr>
      <t xml:space="preserve">)
How to use the generated data properly. 
Raising awareness for correct, optimal </t>
    </r>
    <r>
      <rPr>
        <sz val="10"/>
        <color rgb="FFFF0000"/>
        <rFont val="Arial"/>
        <family val="2"/>
      </rPr>
      <t>sample</t>
    </r>
    <r>
      <rPr>
        <sz val="10"/>
        <rFont val="Arial"/>
        <family val="2"/>
        <charset val="1"/>
      </rPr>
      <t xml:space="preserve"> preparation, </t>
    </r>
    <r>
      <rPr>
        <sz val="10"/>
        <color rgb="FFFF0000"/>
        <rFont val="Arial"/>
        <family val="2"/>
      </rPr>
      <t>limitations</t>
    </r>
    <r>
      <rPr>
        <sz val="10"/>
        <rFont val="Arial"/>
        <family val="2"/>
        <charset val="1"/>
      </rPr>
      <t xml:space="preserve"> of the </t>
    </r>
    <r>
      <rPr>
        <sz val="10"/>
        <color rgb="FFFF0000"/>
        <rFont val="Arial"/>
        <family val="2"/>
      </rPr>
      <t>technique</t>
    </r>
    <r>
      <rPr>
        <sz val="10"/>
        <rFont val="Arial"/>
        <family val="2"/>
        <charset val="1"/>
      </rPr>
      <t xml:space="preserve">, alternatives as well as downstream </t>
    </r>
    <r>
      <rPr>
        <sz val="10"/>
        <color rgb="FFFF0000"/>
        <rFont val="Arial"/>
        <family val="2"/>
      </rPr>
      <t>analysis</t>
    </r>
    <r>
      <rPr>
        <sz val="10"/>
        <rFont val="Arial"/>
        <family val="2"/>
        <charset val="1"/>
      </rPr>
      <t xml:space="preserve"> of the data (which may be  outside the scope of the actual training).</t>
    </r>
  </si>
  <si>
    <r>
      <t>Proficiency in data acquisition (</t>
    </r>
    <r>
      <rPr>
        <sz val="10"/>
        <color rgb="FF00B0F0"/>
        <rFont val="Arial"/>
        <family val="2"/>
      </rPr>
      <t>software</t>
    </r>
    <r>
      <rPr>
        <sz val="10"/>
        <rFont val="Arial"/>
        <family val="2"/>
        <charset val="1"/>
      </rPr>
      <t xml:space="preserve">) and </t>
    </r>
    <r>
      <rPr>
        <sz val="10"/>
        <color rgb="FFFF0000"/>
        <rFont val="Arial"/>
        <family val="2"/>
      </rPr>
      <t>quality</t>
    </r>
    <r>
      <rPr>
        <sz val="10"/>
        <rFont val="Arial"/>
        <family val="2"/>
        <charset val="1"/>
      </rPr>
      <t xml:space="preserve"> control</t>
    </r>
  </si>
  <si>
    <r>
      <t xml:space="preserve">Enable user to work </t>
    </r>
    <r>
      <rPr>
        <sz val="10"/>
        <color rgb="FFFF0000"/>
        <rFont val="Arial"/>
        <family val="2"/>
      </rPr>
      <t>independently</t>
    </r>
  </si>
  <si>
    <r>
      <t>knowledge/method transfer (</t>
    </r>
    <r>
      <rPr>
        <sz val="10"/>
        <color rgb="FF00B0F0"/>
        <rFont val="Arial"/>
        <family val="2"/>
      </rPr>
      <t>theoretical</t>
    </r>
    <r>
      <rPr>
        <sz val="10"/>
        <rFont val="Arial"/>
        <family val="2"/>
        <charset val="1"/>
      </rPr>
      <t>)
methodical education (</t>
    </r>
    <r>
      <rPr>
        <sz val="10"/>
        <color rgb="FF00B0F0"/>
        <rFont val="Arial"/>
        <family val="2"/>
      </rPr>
      <t>technique</t>
    </r>
    <r>
      <rPr>
        <sz val="10"/>
        <rFont val="Arial"/>
        <family val="2"/>
        <charset val="1"/>
      </rPr>
      <t>)
interpretation of results (</t>
    </r>
    <r>
      <rPr>
        <sz val="10"/>
        <color rgb="FF00B0F0"/>
        <rFont val="Arial"/>
        <family val="2"/>
      </rPr>
      <t>analysis</t>
    </r>
    <r>
      <rPr>
        <sz val="10"/>
        <rFont val="Arial"/>
        <family val="2"/>
        <charset val="1"/>
      </rPr>
      <t>)</t>
    </r>
  </si>
  <si>
    <t>aim of our training s is to make users independent on the instrument usage/ experimental setup</t>
  </si>
  <si>
    <r>
      <t xml:space="preserve">Clarity and ensuring that users are only able to operate machines/perform data </t>
    </r>
    <r>
      <rPr>
        <sz val="10"/>
        <color rgb="FFFF0000"/>
        <rFont val="Arial"/>
        <family val="2"/>
      </rPr>
      <t>analysis</t>
    </r>
    <r>
      <rPr>
        <sz val="10"/>
        <rFont val="Arial"/>
        <family val="2"/>
        <charset val="1"/>
      </rPr>
      <t xml:space="preserve"> when we are convinced that they are competent. (</t>
    </r>
    <r>
      <rPr>
        <sz val="10"/>
        <color rgb="FF00B0F0"/>
        <rFont val="Arial"/>
        <family val="2"/>
      </rPr>
      <t>equipment</t>
    </r>
    <r>
      <rPr>
        <sz val="10"/>
        <rFont val="Arial"/>
        <family val="2"/>
        <charset val="1"/>
      </rPr>
      <t>)</t>
    </r>
  </si>
  <si>
    <r>
      <t>There is training for specific machine use which only a few users take up. (</t>
    </r>
    <r>
      <rPr>
        <sz val="10"/>
        <color rgb="FF00B0F0"/>
        <rFont val="Arial"/>
        <family val="2"/>
      </rPr>
      <t>equipment</t>
    </r>
    <r>
      <rPr>
        <sz val="10"/>
        <rFont val="Arial"/>
        <family val="2"/>
        <charset val="1"/>
      </rPr>
      <t>)  Much of our training is also quite ad hoc and generalised 'how to do a good experiment' training as not all students have such education in their home labs (</t>
    </r>
    <r>
      <rPr>
        <sz val="10"/>
        <color rgb="FF00B0F0"/>
        <rFont val="Arial"/>
        <family val="2"/>
      </rPr>
      <t>theoretical, design</t>
    </r>
    <r>
      <rPr>
        <sz val="10"/>
        <rFont val="Arial"/>
        <family val="2"/>
        <charset val="1"/>
      </rPr>
      <t>)</t>
    </r>
  </si>
  <si>
    <t>I can't single out any one aspect. There are a lot of details.</t>
  </si>
  <si>
    <r>
      <t xml:space="preserve">Making sure the scientists we deal with have a dataset that we can go through with them.  Then the training becomes more relevant and tailored to there questions.  We previously did training courses that were general but often people didn't turn up and they struggled as some of it wasn't relevant to what they were doing.  So now we do one on one training and it is much better but of course this is on an ad-hoc basis.  </t>
    </r>
    <r>
      <rPr>
        <sz val="10"/>
        <color rgb="FFFF0000"/>
        <rFont val="Arial"/>
        <family val="2"/>
      </rPr>
      <t>One of the problems that we have had is scientists thinking they know how to do analysis and using the incorrect statistical test or website because it gives them the answer they were after rather than the correct answer.</t>
    </r>
  </si>
  <si>
    <r>
      <t>Improves users' background in genomic technologies. Helps them to perform "better" experiments. (</t>
    </r>
    <r>
      <rPr>
        <sz val="10"/>
        <color rgb="FF00B0F0"/>
        <rFont val="Arial"/>
        <family val="2"/>
      </rPr>
      <t>theoretical</t>
    </r>
    <r>
      <rPr>
        <sz val="10"/>
        <rFont val="Arial"/>
        <family val="2"/>
        <charset val="1"/>
      </rPr>
      <t>)</t>
    </r>
  </si>
  <si>
    <r>
      <t xml:space="preserve">Making sure they understand how to set up an experiment and </t>
    </r>
    <r>
      <rPr>
        <sz val="10"/>
        <color rgb="FFFF0000"/>
        <rFont val="Arial"/>
        <family val="2"/>
      </rPr>
      <t>troubleshoot</t>
    </r>
    <r>
      <rPr>
        <sz val="10"/>
        <rFont val="Arial"/>
        <family val="2"/>
        <charset val="1"/>
      </rPr>
      <t xml:space="preserve"> issues (</t>
    </r>
    <r>
      <rPr>
        <sz val="10"/>
        <color rgb="FF00B0F0"/>
        <rFont val="Arial"/>
        <family val="2"/>
      </rPr>
      <t>design</t>
    </r>
    <r>
      <rPr>
        <sz val="10"/>
        <rFont val="Arial"/>
        <family val="2"/>
        <charset val="1"/>
      </rPr>
      <t>)</t>
    </r>
  </si>
  <si>
    <r>
      <t>Making sure that the users know how to correctly interpret the data that we provide, i.e. which scientific conclusions are supported by the data and which NOT. (</t>
    </r>
    <r>
      <rPr>
        <sz val="10"/>
        <color rgb="FF00B0F0"/>
        <rFont val="Arial"/>
        <family val="2"/>
      </rPr>
      <t>analysis</t>
    </r>
    <r>
      <rPr>
        <sz val="10"/>
        <rFont val="Arial"/>
        <family val="2"/>
        <charset val="1"/>
      </rPr>
      <t>)</t>
    </r>
  </si>
  <si>
    <r>
      <t>Teaching good practice for cell culture (</t>
    </r>
    <r>
      <rPr>
        <sz val="10"/>
        <color rgb="FF00B0F0"/>
        <rFont val="Arial"/>
        <family val="2"/>
      </rPr>
      <t>technique</t>
    </r>
    <r>
      <rPr>
        <sz val="10"/>
        <rFont val="Arial"/>
        <family val="2"/>
        <charset val="1"/>
      </rPr>
      <t>)</t>
    </r>
  </si>
  <si>
    <r>
      <t>Understand and interpret the QC at each experimental step (</t>
    </r>
    <r>
      <rPr>
        <sz val="10"/>
        <color rgb="FF00B0F0"/>
        <rFont val="Arial"/>
        <family val="2"/>
      </rPr>
      <t>quality</t>
    </r>
    <r>
      <rPr>
        <sz val="10"/>
        <rFont val="Arial"/>
        <family val="2"/>
        <charset val="1"/>
      </rPr>
      <t>)</t>
    </r>
  </si>
  <si>
    <r>
      <t xml:space="preserve">Users should know the basic </t>
    </r>
    <r>
      <rPr>
        <sz val="10"/>
        <rFont val="Arial"/>
        <family val="2"/>
      </rPr>
      <t>principles</t>
    </r>
    <r>
      <rPr>
        <sz val="10"/>
        <color rgb="FFFF0000"/>
        <rFont val="Arial"/>
        <family val="2"/>
      </rPr>
      <t xml:space="preserve"> (</t>
    </r>
    <r>
      <rPr>
        <sz val="10"/>
        <color rgb="FF00B0F0"/>
        <rFont val="Arial"/>
        <family val="2"/>
      </rPr>
      <t>theoretical</t>
    </r>
    <r>
      <rPr>
        <sz val="10"/>
        <color rgb="FFFF0000"/>
        <rFont val="Arial"/>
        <family val="2"/>
      </rPr>
      <t>)</t>
    </r>
    <r>
      <rPr>
        <sz val="10"/>
        <rFont val="Arial"/>
        <family val="2"/>
        <charset val="1"/>
      </rPr>
      <t xml:space="preserve"> of the technique and learn how results look like, </t>
    </r>
    <r>
      <rPr>
        <sz val="10"/>
        <rFont val="Arial"/>
        <family val="2"/>
      </rPr>
      <t>how to deal with them</t>
    </r>
    <r>
      <rPr>
        <sz val="10"/>
        <rFont val="Arial"/>
        <family val="2"/>
        <charset val="1"/>
      </rPr>
      <t xml:space="preserve"> (</t>
    </r>
    <r>
      <rPr>
        <sz val="10"/>
        <color rgb="FF00B0F0"/>
        <rFont val="Arial"/>
        <family val="2"/>
      </rPr>
      <t>analysis</t>
    </r>
    <r>
      <rPr>
        <sz val="10"/>
        <rFont val="Arial"/>
        <family val="2"/>
        <charset val="1"/>
      </rPr>
      <t xml:space="preserve">), which </t>
    </r>
    <r>
      <rPr>
        <sz val="10"/>
        <color rgb="FFFF0000"/>
        <rFont val="Arial"/>
        <family val="2"/>
      </rPr>
      <t>software</t>
    </r>
    <r>
      <rPr>
        <sz val="10"/>
        <rFont val="Arial"/>
        <family val="2"/>
        <charset val="1"/>
      </rPr>
      <t xml:space="preserve"> packs are available for that and how to work with them.</t>
    </r>
  </si>
  <si>
    <r>
      <t>how the instrument(s) actually operate (important for troubleshooting) (</t>
    </r>
    <r>
      <rPr>
        <sz val="10"/>
        <color rgb="FF00B0F0"/>
        <rFont val="Arial"/>
        <family val="2"/>
      </rPr>
      <t>equipment</t>
    </r>
    <r>
      <rPr>
        <sz val="10"/>
        <rFont val="Arial"/>
        <family val="2"/>
      </rPr>
      <t>)</t>
    </r>
  </si>
  <si>
    <r>
      <t xml:space="preserve">to make clear that animals are no Eppendorf tubes, make people understand what the principle of the </t>
    </r>
    <r>
      <rPr>
        <sz val="10"/>
        <rFont val="Arial"/>
        <family val="2"/>
      </rPr>
      <t>techniques</t>
    </r>
    <r>
      <rPr>
        <sz val="10"/>
        <rFont val="Arial"/>
        <family val="2"/>
        <charset val="1"/>
      </rPr>
      <t xml:space="preserve"> (</t>
    </r>
    <r>
      <rPr>
        <sz val="10"/>
        <color rgb="FF00B0F0"/>
        <rFont val="Arial"/>
        <family val="2"/>
      </rPr>
      <t>theoretical</t>
    </r>
    <r>
      <rPr>
        <sz val="10"/>
        <rFont val="Arial"/>
        <family val="2"/>
        <charset val="1"/>
      </rPr>
      <t>) is and how they have mate their founders and take care of them</t>
    </r>
  </si>
  <si>
    <r>
      <t xml:space="preserve">That the users really </t>
    </r>
    <r>
      <rPr>
        <sz val="10"/>
        <rFont val="Arial"/>
        <family val="2"/>
      </rPr>
      <t>understand</t>
    </r>
    <r>
      <rPr>
        <sz val="10"/>
        <rFont val="Arial"/>
        <family val="2"/>
        <charset val="1"/>
      </rPr>
      <t xml:space="preserve"> the </t>
    </r>
    <r>
      <rPr>
        <sz val="10"/>
        <rFont val="Arial"/>
        <family val="2"/>
      </rPr>
      <t>tech-nique</t>
    </r>
    <r>
      <rPr>
        <sz val="10"/>
        <rFont val="Arial"/>
        <family val="2"/>
        <charset val="1"/>
      </rPr>
      <t xml:space="preserve"> and thus know what they are doing and why.(</t>
    </r>
    <r>
      <rPr>
        <sz val="10"/>
        <color rgb="FF00B0F0"/>
        <rFont val="Arial"/>
        <family val="2"/>
      </rPr>
      <t>theoretical</t>
    </r>
    <r>
      <rPr>
        <sz val="10"/>
        <rFont val="Arial"/>
        <family val="2"/>
        <charset val="1"/>
      </rPr>
      <t>)</t>
    </r>
  </si>
  <si>
    <r>
      <t xml:space="preserve">That they </t>
    </r>
    <r>
      <rPr>
        <sz val="10"/>
        <color theme="1"/>
        <rFont val="Arial"/>
        <family val="2"/>
      </rPr>
      <t>understand</t>
    </r>
    <r>
      <rPr>
        <sz val="10"/>
        <rFont val="Arial"/>
        <family val="2"/>
        <charset val="1"/>
      </rPr>
      <t xml:space="preserve"> the principles and the pitfalls. (</t>
    </r>
    <r>
      <rPr>
        <sz val="10"/>
        <color rgb="FF00B0F0"/>
        <rFont val="Arial"/>
        <family val="2"/>
      </rPr>
      <t>theoretical</t>
    </r>
    <r>
      <rPr>
        <sz val="10"/>
        <rFont val="Arial"/>
        <family val="2"/>
        <charset val="1"/>
      </rPr>
      <t xml:space="preserve">, </t>
    </r>
    <r>
      <rPr>
        <sz val="10"/>
        <color rgb="FF00B0F0"/>
        <rFont val="Arial"/>
        <family val="2"/>
      </rPr>
      <t>limitation</t>
    </r>
    <r>
      <rPr>
        <sz val="10"/>
        <rFont val="Arial"/>
        <family val="2"/>
        <charset val="1"/>
      </rPr>
      <t>)</t>
    </r>
  </si>
  <si>
    <r>
      <rPr>
        <sz val="10"/>
        <color rgb="FFFF0000"/>
        <rFont val="Arial"/>
        <family val="2"/>
      </rPr>
      <t>Sample</t>
    </r>
    <r>
      <rPr>
        <sz val="10"/>
        <rFont val="Arial"/>
        <family val="2"/>
        <charset val="1"/>
      </rPr>
      <t xml:space="preserve"> preparation, data </t>
    </r>
    <r>
      <rPr>
        <sz val="10"/>
        <color rgb="FFFF0000"/>
        <rFont val="Arial"/>
        <family val="2"/>
      </rPr>
      <t>analysis</t>
    </r>
    <r>
      <rPr>
        <sz val="10"/>
        <rFont val="Arial"/>
        <family val="2"/>
        <charset val="1"/>
      </rPr>
      <t xml:space="preserve">, </t>
    </r>
    <r>
      <rPr>
        <sz val="10"/>
        <color theme="1"/>
        <rFont val="Arial"/>
        <family val="2"/>
      </rPr>
      <t>statistics</t>
    </r>
  </si>
  <si>
    <r>
      <t xml:space="preserve">Discussion about the project's </t>
    </r>
    <r>
      <rPr>
        <sz val="10"/>
        <color theme="1"/>
        <rFont val="Arial"/>
        <family val="2"/>
      </rPr>
      <t>strategy</t>
    </r>
    <r>
      <rPr>
        <sz val="10"/>
        <rFont val="Arial"/>
        <family val="2"/>
        <charset val="1"/>
      </rPr>
      <t xml:space="preserve"> (</t>
    </r>
    <r>
      <rPr>
        <sz val="10"/>
        <color rgb="FF00B0F0"/>
        <rFont val="Arial"/>
        <family val="2"/>
      </rPr>
      <t>design</t>
    </r>
    <r>
      <rPr>
        <sz val="10"/>
        <rFont val="Arial"/>
        <family val="2"/>
        <charset val="1"/>
      </rPr>
      <t xml:space="preserve">) / </t>
    </r>
    <r>
      <rPr>
        <sz val="10"/>
        <color theme="1"/>
        <rFont val="Arial"/>
        <family val="2"/>
      </rPr>
      <t>general knowledge</t>
    </r>
    <r>
      <rPr>
        <sz val="10"/>
        <rFont val="Arial"/>
        <family val="2"/>
        <charset val="1"/>
      </rPr>
      <t xml:space="preserve"> on what to expect from the state-of-the-art genomics &amp; bioinformatics methodologies (</t>
    </r>
    <r>
      <rPr>
        <sz val="10"/>
        <color rgb="FF00B0F0"/>
        <rFont val="Arial"/>
        <family val="2"/>
      </rPr>
      <t>theoretical</t>
    </r>
    <r>
      <rPr>
        <sz val="10"/>
        <rFont val="Arial"/>
        <family val="2"/>
        <charset val="1"/>
      </rPr>
      <t>)</t>
    </r>
  </si>
  <si>
    <r>
      <t xml:space="preserve">Image understanding : </t>
    </r>
    <r>
      <rPr>
        <sz val="10"/>
        <color theme="1"/>
        <rFont val="Arial"/>
        <family val="2"/>
      </rPr>
      <t>notions</t>
    </r>
    <r>
      <rPr>
        <sz val="10"/>
        <rFont val="Arial"/>
        <family val="2"/>
        <charset val="1"/>
      </rPr>
      <t xml:space="preserve"> as bit depth, dynamic, resolution are quite difficult to teach to biologists.(</t>
    </r>
    <r>
      <rPr>
        <sz val="10"/>
        <color rgb="FF00B0F0"/>
        <rFont val="Arial"/>
        <family val="2"/>
      </rPr>
      <t>theoretical</t>
    </r>
    <r>
      <rPr>
        <sz val="10"/>
        <rFont val="Arial"/>
        <family val="2"/>
        <charset val="1"/>
      </rPr>
      <t xml:space="preserve">)
</t>
    </r>
    <r>
      <rPr>
        <sz val="10"/>
        <color theme="1"/>
        <rFont val="Arial"/>
        <family val="2"/>
      </rPr>
      <t>Microscope use</t>
    </r>
    <r>
      <rPr>
        <sz val="10"/>
        <rFont val="Arial"/>
        <family val="2"/>
        <charset val="1"/>
      </rPr>
      <t xml:space="preserve"> : try not to break lens.
High end microscopy technics  (FLIM, 2P, STED, PALM/STORM) are quite difficult to handle, we have to spend lot of time explaining details. (</t>
    </r>
    <r>
      <rPr>
        <sz val="10"/>
        <color rgb="FF00B0F0"/>
        <rFont val="Arial"/>
        <family val="2"/>
      </rPr>
      <t>equipment</t>
    </r>
    <r>
      <rPr>
        <sz val="10"/>
        <rFont val="Arial"/>
        <family val="2"/>
        <charset val="1"/>
      </rPr>
      <t>)
Concretely, if I feel the user I train is not capable, we (the facility) are in charge of the acquisitions.</t>
    </r>
  </si>
  <si>
    <r>
      <t>Operating the</t>
    </r>
    <r>
      <rPr>
        <sz val="10"/>
        <color theme="1"/>
        <rFont val="Arial"/>
        <family val="2"/>
      </rPr>
      <t xml:space="preserve"> systems</t>
    </r>
    <r>
      <rPr>
        <sz val="10"/>
        <rFont val="Arial"/>
        <family val="2"/>
        <charset val="1"/>
      </rPr>
      <t xml:space="preserve"> without damaging them. In second place would be the goal to </t>
    </r>
    <r>
      <rPr>
        <sz val="10"/>
        <color theme="1"/>
        <rFont val="Arial"/>
        <family val="2"/>
      </rPr>
      <t>get the most out of the individual experiments.</t>
    </r>
    <r>
      <rPr>
        <sz val="10"/>
        <rFont val="Arial"/>
        <family val="2"/>
        <charset val="1"/>
      </rPr>
      <t xml:space="preserve"> (</t>
    </r>
    <r>
      <rPr>
        <sz val="10"/>
        <color rgb="FF00B0F0"/>
        <rFont val="Arial"/>
        <family val="2"/>
      </rPr>
      <t>equipment, analysis</t>
    </r>
    <r>
      <rPr>
        <sz val="10"/>
        <rFont val="Arial"/>
        <family val="2"/>
        <charset val="1"/>
      </rPr>
      <t>)</t>
    </r>
  </si>
  <si>
    <r>
      <t>* Understanding both the</t>
    </r>
    <r>
      <rPr>
        <sz val="10"/>
        <color theme="1"/>
        <rFont val="Arial"/>
        <family val="2"/>
      </rPr>
      <t xml:space="preserve"> operational</t>
    </r>
    <r>
      <rPr>
        <sz val="10"/>
        <rFont val="Arial"/>
        <family val="2"/>
        <charset val="1"/>
      </rPr>
      <t xml:space="preserve"> aspects of an </t>
    </r>
    <r>
      <rPr>
        <sz val="10"/>
        <color theme="1"/>
        <rFont val="Arial"/>
        <family val="2"/>
      </rPr>
      <t>instrument and the underlying physical principles</t>
    </r>
    <r>
      <rPr>
        <sz val="10"/>
        <rFont val="Arial"/>
        <family val="2"/>
        <charset val="1"/>
      </rPr>
      <t xml:space="preserve"> (</t>
    </r>
    <r>
      <rPr>
        <sz val="10"/>
        <color rgb="FF00B0F0"/>
        <rFont val="Arial"/>
        <family val="2"/>
      </rPr>
      <t>equipment, theoretical</t>
    </r>
    <r>
      <rPr>
        <sz val="10"/>
        <rFont val="Arial"/>
        <family val="2"/>
        <charset val="1"/>
      </rPr>
      <t xml:space="preserve">)
* Understanding how to set-up a sound experimental </t>
    </r>
    <r>
      <rPr>
        <sz val="10"/>
        <color theme="1"/>
        <rFont val="Arial"/>
        <family val="2"/>
      </rPr>
      <t>strategy</t>
    </r>
    <r>
      <rPr>
        <sz val="10"/>
        <rFont val="Arial"/>
        <family val="2"/>
        <charset val="1"/>
      </rPr>
      <t xml:space="preserve"> (</t>
    </r>
    <r>
      <rPr>
        <sz val="10"/>
        <color rgb="FF00B0F0"/>
        <rFont val="Arial"/>
        <family val="2"/>
      </rPr>
      <t>design</t>
    </r>
    <r>
      <rPr>
        <sz val="10"/>
        <rFont val="Arial"/>
        <family val="2"/>
        <charset val="1"/>
      </rPr>
      <t xml:space="preserve">)
* Understanding how to </t>
    </r>
    <r>
      <rPr>
        <sz val="10"/>
        <color theme="1"/>
        <rFont val="Arial"/>
        <family val="2"/>
      </rPr>
      <t>analyse</t>
    </r>
    <r>
      <rPr>
        <sz val="10"/>
        <rFont val="Arial"/>
        <family val="2"/>
        <charset val="1"/>
      </rPr>
      <t xml:space="preserve"> correctly the data (</t>
    </r>
    <r>
      <rPr>
        <sz val="10"/>
        <color rgb="FF00B0F0"/>
        <rFont val="Arial"/>
        <family val="2"/>
      </rPr>
      <t>analysis</t>
    </r>
    <r>
      <rPr>
        <sz val="10"/>
        <rFont val="Arial"/>
        <family val="2"/>
        <charset val="1"/>
      </rPr>
      <t>)</t>
    </r>
  </si>
  <si>
    <r>
      <rPr>
        <sz val="10"/>
        <color theme="1"/>
        <rFont val="Arial"/>
        <family val="2"/>
      </rPr>
      <t>instrument</t>
    </r>
    <r>
      <rPr>
        <sz val="10"/>
        <rFont val="Arial"/>
        <family val="2"/>
        <charset val="1"/>
      </rPr>
      <t xml:space="preserve"> usage (</t>
    </r>
    <r>
      <rPr>
        <sz val="10"/>
        <color rgb="FF00B0F0"/>
        <rFont val="Arial"/>
        <family val="2"/>
      </rPr>
      <t>equipment</t>
    </r>
    <r>
      <rPr>
        <sz val="10"/>
        <rFont val="Arial"/>
        <family val="2"/>
        <charset val="1"/>
      </rPr>
      <t xml:space="preserve">)
</t>
    </r>
    <r>
      <rPr>
        <sz val="10"/>
        <color theme="1"/>
        <rFont val="Arial"/>
        <family val="2"/>
      </rPr>
      <t>background</t>
    </r>
    <r>
      <rPr>
        <sz val="10"/>
        <rFont val="Arial"/>
        <family val="2"/>
        <charset val="1"/>
      </rPr>
      <t xml:space="preserve"> information on imaging (</t>
    </r>
    <r>
      <rPr>
        <sz val="10"/>
        <color rgb="FF00B0F0"/>
        <rFont val="Arial"/>
        <family val="2"/>
      </rPr>
      <t>theoretical</t>
    </r>
    <r>
      <rPr>
        <sz val="10"/>
        <rFont val="Arial"/>
        <family val="2"/>
        <charset val="1"/>
      </rPr>
      <t>)</t>
    </r>
  </si>
  <si>
    <r>
      <t xml:space="preserve">comprehensive training from </t>
    </r>
    <r>
      <rPr>
        <sz val="10"/>
        <color theme="1"/>
        <rFont val="Arial"/>
        <family val="2"/>
      </rPr>
      <t>planning</t>
    </r>
    <r>
      <rPr>
        <sz val="10"/>
        <rFont val="Arial"/>
        <family val="2"/>
        <charset val="1"/>
      </rPr>
      <t xml:space="preserve"> to data </t>
    </r>
    <r>
      <rPr>
        <sz val="10"/>
        <color rgb="FFFF0000"/>
        <rFont val="Arial"/>
        <family val="2"/>
      </rPr>
      <t>analysis</t>
    </r>
    <r>
      <rPr>
        <sz val="10"/>
        <rFont val="Arial"/>
        <family val="2"/>
        <charset val="1"/>
      </rPr>
      <t xml:space="preserve"> hands on and theory (</t>
    </r>
    <r>
      <rPr>
        <sz val="10"/>
        <color rgb="FF00B0F0"/>
        <rFont val="Arial"/>
        <family val="2"/>
      </rPr>
      <t>design, theoretical, technique</t>
    </r>
    <r>
      <rPr>
        <sz val="10"/>
        <rFont val="Arial"/>
        <family val="2"/>
        <charset val="1"/>
      </rPr>
      <t>)</t>
    </r>
  </si>
  <si>
    <r>
      <t>accurate training by our staff
giving SOP (written  or in electronic form) (</t>
    </r>
    <r>
      <rPr>
        <sz val="10"/>
        <color rgb="FF00B0F0"/>
        <rFont val="Arial"/>
        <family val="2"/>
      </rPr>
      <t>technique</t>
    </r>
    <r>
      <rPr>
        <sz val="10"/>
        <rFont val="Arial"/>
        <family val="2"/>
        <charset val="1"/>
      </rPr>
      <t xml:space="preserve">)
to be always </t>
    </r>
    <r>
      <rPr>
        <sz val="10"/>
        <color theme="1"/>
        <rFont val="Arial"/>
        <family val="2"/>
      </rPr>
      <t>reachable</t>
    </r>
    <r>
      <rPr>
        <sz val="10"/>
        <rFont val="Arial"/>
        <family val="2"/>
        <charset val="1"/>
      </rPr>
      <t xml:space="preserve"> even after termination of training in case users have further questions or troubleshooting</t>
    </r>
  </si>
  <si>
    <r>
      <t xml:space="preserve">Correct </t>
    </r>
    <r>
      <rPr>
        <sz val="10"/>
        <color theme="1"/>
        <rFont val="Arial"/>
        <family val="2"/>
      </rPr>
      <t xml:space="preserve">set up </t>
    </r>
    <r>
      <rPr>
        <sz val="10"/>
        <rFont val="Arial"/>
        <family val="2"/>
        <charset val="1"/>
      </rPr>
      <t>for the available hardware</t>
    </r>
  </si>
  <si>
    <r>
      <t>knowledge transfer (</t>
    </r>
    <r>
      <rPr>
        <sz val="10"/>
        <color rgb="FF00B0F0"/>
        <rFont val="Arial"/>
        <family val="2"/>
      </rPr>
      <t>theoretical</t>
    </r>
    <r>
      <rPr>
        <sz val="10"/>
        <rFont val="Arial"/>
        <family val="2"/>
        <charset val="1"/>
      </rPr>
      <t xml:space="preserve">), </t>
    </r>
    <r>
      <rPr>
        <sz val="10"/>
        <color rgb="FFFF0000"/>
        <rFont val="Arial"/>
        <family val="2"/>
      </rPr>
      <t>safety</t>
    </r>
  </si>
  <si>
    <r>
      <t>Make sure the user follows the guidelines of the facility. (</t>
    </r>
    <r>
      <rPr>
        <sz val="10"/>
        <color rgb="FF00B0F0"/>
        <rFont val="Arial"/>
        <family val="2"/>
      </rPr>
      <t>rules</t>
    </r>
    <r>
      <rPr>
        <sz val="10"/>
        <rFont val="Arial"/>
        <family val="2"/>
        <charset val="1"/>
      </rPr>
      <t>)</t>
    </r>
  </si>
  <si>
    <r>
      <t>Make people (u-sers, mostly molecular biologists and biochemists) aware of the possibilities of this state-of-the-art technology (i.e. proteomics). (</t>
    </r>
    <r>
      <rPr>
        <sz val="10"/>
        <color rgb="FF00B0F0"/>
        <rFont val="Arial"/>
        <family val="2"/>
      </rPr>
      <t>theoretical</t>
    </r>
    <r>
      <rPr>
        <sz val="10"/>
        <rFont val="Arial"/>
        <family val="2"/>
        <charset val="1"/>
      </rPr>
      <t>)</t>
    </r>
  </si>
  <si>
    <r>
      <t xml:space="preserve">Verifying that the users possess sufficient skills in handling the animals and understanding the protocols for their experiment, also emphasizing the work culture and good practice in all situations, especially in case of uncertainties - where and when to seek for help </t>
    </r>
    <r>
      <rPr>
        <sz val="10"/>
        <color rgb="FF00B0F0"/>
        <rFont val="Arial"/>
        <family val="2"/>
      </rPr>
      <t>(theoretical, technique, quality</t>
    </r>
    <r>
      <rPr>
        <sz val="10"/>
        <rFont val="Arial"/>
        <family val="2"/>
        <charset val="1"/>
      </rPr>
      <t>)</t>
    </r>
  </si>
  <si>
    <r>
      <t xml:space="preserve"> - How to use the </t>
    </r>
    <r>
      <rPr>
        <sz val="10"/>
        <rFont val="Arial"/>
        <family val="2"/>
      </rPr>
      <t>instrument</t>
    </r>
    <r>
      <rPr>
        <sz val="10"/>
        <rFont val="Arial"/>
        <family val="2"/>
        <charset val="1"/>
      </rPr>
      <t>; also, so users do not cause damage (</t>
    </r>
    <r>
      <rPr>
        <sz val="10"/>
        <color rgb="FF00B0F0"/>
        <rFont val="Arial"/>
        <family val="2"/>
      </rPr>
      <t>equipment</t>
    </r>
    <r>
      <rPr>
        <sz val="10"/>
        <rFont val="Arial"/>
        <family val="2"/>
        <charset val="1"/>
      </rPr>
      <t xml:space="preserve">)
 - How to set up an experiment, incl. what </t>
    </r>
    <r>
      <rPr>
        <sz val="10"/>
        <color rgb="FFFF0000"/>
        <rFont val="Arial"/>
        <family val="2"/>
      </rPr>
      <t>controls</t>
    </r>
    <r>
      <rPr>
        <sz val="10"/>
        <rFont val="Arial"/>
        <family val="2"/>
        <charset val="1"/>
      </rPr>
      <t xml:space="preserve"> are needed </t>
    </r>
    <r>
      <rPr>
        <sz val="10"/>
        <color rgb="FF00B0F0"/>
        <rFont val="Arial"/>
        <family val="2"/>
      </rPr>
      <t>(design)</t>
    </r>
    <r>
      <rPr>
        <sz val="10"/>
        <rFont val="Arial"/>
        <family val="2"/>
        <charset val="1"/>
      </rPr>
      <t xml:space="preserve">
 - Data </t>
    </r>
    <r>
      <rPr>
        <sz val="10"/>
        <color rgb="FFFF0000"/>
        <rFont val="Arial"/>
        <family val="2"/>
      </rPr>
      <t>analysis</t>
    </r>
  </si>
  <si>
    <r>
      <t xml:space="preserve">That users know their experiment and what they want to analyse and therefore choosing the right </t>
    </r>
    <r>
      <rPr>
        <sz val="10"/>
        <color rgb="FFFF0000"/>
        <rFont val="Arial"/>
        <family val="2"/>
      </rPr>
      <t>controls</t>
    </r>
    <r>
      <rPr>
        <sz val="10"/>
        <rFont val="Arial"/>
        <family val="2"/>
        <charset val="1"/>
      </rPr>
      <t>, colors and protocols. In the practical training I want that the user understands what he/she does and why, e.g. choosing the right voltages, understanding compensation. (</t>
    </r>
    <r>
      <rPr>
        <sz val="10"/>
        <color rgb="FF00B0F0"/>
        <rFont val="Arial"/>
        <family val="2"/>
      </rPr>
      <t>theoretical, technique</t>
    </r>
    <r>
      <rPr>
        <sz val="10"/>
        <rFont val="Arial"/>
        <family val="2"/>
        <charset val="1"/>
      </rPr>
      <t>)</t>
    </r>
  </si>
  <si>
    <r>
      <t xml:space="preserve">All users should get a </t>
    </r>
    <r>
      <rPr>
        <sz val="10"/>
        <rFont val="Arial"/>
        <family val="2"/>
      </rPr>
      <t xml:space="preserve">basic understanding </t>
    </r>
    <r>
      <rPr>
        <sz val="10"/>
        <rFont val="Arial"/>
        <family val="2"/>
        <charset val="1"/>
      </rPr>
      <t>of the technology (</t>
    </r>
    <r>
      <rPr>
        <sz val="10"/>
        <color rgb="FF00B0F0"/>
        <rFont val="Arial"/>
        <family val="2"/>
      </rPr>
      <t>theoretical</t>
    </r>
    <r>
      <rPr>
        <sz val="10"/>
        <rFont val="Arial"/>
        <family val="2"/>
        <charset val="1"/>
      </rPr>
      <t xml:space="preserve">). To make sure the user feels comfortable with the technology/the </t>
    </r>
    <r>
      <rPr>
        <sz val="10"/>
        <rFont val="Arial"/>
        <family val="2"/>
      </rPr>
      <t>instrument</t>
    </r>
    <r>
      <rPr>
        <sz val="10"/>
        <color rgb="FFFF0000"/>
        <rFont val="Arial"/>
        <family val="2"/>
      </rPr>
      <t xml:space="preserve"> (</t>
    </r>
    <r>
      <rPr>
        <sz val="10"/>
        <color rgb="FF00B0F0"/>
        <rFont val="Arial"/>
        <family val="2"/>
      </rPr>
      <t>equipment</t>
    </r>
    <r>
      <rPr>
        <sz val="10"/>
        <color rgb="FFFF0000"/>
        <rFont val="Arial"/>
        <family val="2"/>
      </rPr>
      <t>)</t>
    </r>
    <r>
      <rPr>
        <sz val="10"/>
        <rFont val="Arial"/>
        <family val="2"/>
        <charset val="1"/>
      </rPr>
      <t xml:space="preserve">. To make sure the user is able to use the QM procedures correctly and understands them and will notice, if the instrument is not in a state to measure sam-ples. We want to support the users in producing reproducible, good </t>
    </r>
    <r>
      <rPr>
        <sz val="10"/>
        <color rgb="FFFF0000"/>
        <rFont val="Arial"/>
        <family val="2"/>
      </rPr>
      <t>quality</t>
    </r>
    <r>
      <rPr>
        <sz val="10"/>
        <rFont val="Arial"/>
        <family val="2"/>
        <charset val="1"/>
      </rPr>
      <t xml:space="preserve"> data.</t>
    </r>
  </si>
  <si>
    <r>
      <rPr>
        <sz val="10"/>
        <color rgb="FFFF0000"/>
        <rFont val="Arial"/>
        <family val="2"/>
      </rPr>
      <t>Safety</t>
    </r>
    <r>
      <rPr>
        <sz val="10"/>
        <rFont val="Arial"/>
        <family val="2"/>
        <charset val="1"/>
      </rPr>
      <t xml:space="preserve"> relating to sam-ples, </t>
    </r>
    <r>
      <rPr>
        <sz val="10"/>
        <color rgb="FFFF0000"/>
        <rFont val="Arial"/>
        <family val="2"/>
      </rPr>
      <t>software</t>
    </r>
    <r>
      <rPr>
        <sz val="10"/>
        <rFont val="Arial"/>
        <family val="2"/>
        <charset val="1"/>
      </rPr>
      <t xml:space="preserve"> instruction</t>
    </r>
  </si>
  <si>
    <r>
      <t>One to one training with sam-ples provided by the user to establish the best way to acquire the data. (</t>
    </r>
    <r>
      <rPr>
        <sz val="10"/>
        <color rgb="FF00B0F0"/>
        <rFont val="Arial"/>
        <family val="2"/>
      </rPr>
      <t>equipment, software</t>
    </r>
    <r>
      <rPr>
        <sz val="10"/>
        <rFont val="Arial"/>
        <family val="2"/>
        <charset val="1"/>
      </rPr>
      <t>)</t>
    </r>
  </si>
  <si>
    <r>
      <t xml:space="preserve">1) </t>
    </r>
    <r>
      <rPr>
        <sz val="10"/>
        <color rgb="FFFF0000"/>
        <rFont val="Arial"/>
        <family val="2"/>
      </rPr>
      <t>Safety</t>
    </r>
    <r>
      <rPr>
        <sz val="10"/>
        <rFont val="Arial"/>
        <family val="2"/>
        <charset val="1"/>
      </rPr>
      <t xml:space="preserve"> of users is the first thing in my training (laser and fluorescence light! ergonomics, toxic dyes etc.) 
2) Proper use of </t>
    </r>
    <r>
      <rPr>
        <sz val="10"/>
        <color rgb="FFFF0000"/>
        <rFont val="Arial"/>
        <family val="2"/>
      </rPr>
      <t>equipment</t>
    </r>
    <r>
      <rPr>
        <sz val="10"/>
        <rFont val="Arial"/>
        <family val="2"/>
        <charset val="1"/>
      </rPr>
      <t xml:space="preserve"> (proper cooling for lasers before switching off, immersion oil should not be excess, hitting the sam-ple with expensive oil objective etc.)</t>
    </r>
  </si>
  <si>
    <r>
      <t xml:space="preserve">we do provide </t>
    </r>
    <r>
      <rPr>
        <sz val="10"/>
        <color rgb="FFFF0000"/>
        <rFont val="Arial"/>
        <family val="2"/>
      </rPr>
      <t>sample</t>
    </r>
    <r>
      <rPr>
        <sz val="10"/>
        <rFont val="Arial"/>
        <family val="2"/>
        <charset val="1"/>
      </rPr>
      <t xml:space="preserve"> preparation training to ensure sam-ples deliver results and are free of contamination</t>
    </r>
  </si>
  <si>
    <r>
      <rPr>
        <sz val="10"/>
        <color rgb="FFFF0000"/>
        <rFont val="Arial"/>
        <family val="2"/>
      </rPr>
      <t>Safety</t>
    </r>
    <r>
      <rPr>
        <sz val="10"/>
        <rFont val="Arial"/>
        <family val="2"/>
        <charset val="1"/>
      </rPr>
      <t xml:space="preserve"> first - no harm to instrument, sam-ple or user</t>
    </r>
  </si>
  <si>
    <r>
      <t xml:space="preserve">Explaining benefits and </t>
    </r>
    <r>
      <rPr>
        <sz val="10"/>
        <color rgb="FFFF0000"/>
        <rFont val="Arial"/>
        <family val="2"/>
      </rPr>
      <t>limitations</t>
    </r>
    <r>
      <rPr>
        <sz val="10"/>
        <rFont val="Arial"/>
        <family val="2"/>
        <charset val="1"/>
      </rPr>
      <t xml:space="preserve"> of the tech-nique (</t>
    </r>
    <r>
      <rPr>
        <sz val="10"/>
        <color rgb="FF00B0F0"/>
        <rFont val="Arial"/>
        <family val="2"/>
      </rPr>
      <t>theoretical</t>
    </r>
    <r>
      <rPr>
        <sz val="10"/>
        <rFont val="Arial"/>
        <family val="2"/>
        <charset val="1"/>
      </rPr>
      <t>)</t>
    </r>
  </si>
  <si>
    <r>
      <rPr>
        <sz val="10"/>
        <color rgb="FFFF0000"/>
        <rFont val="Arial"/>
        <family val="2"/>
      </rPr>
      <t>Sample</t>
    </r>
    <r>
      <rPr>
        <sz val="10"/>
        <rFont val="Arial"/>
        <family val="2"/>
        <charset val="1"/>
      </rPr>
      <t xml:space="preserve"> preparation tech-nique prior to sample submission.</t>
    </r>
  </si>
  <si>
    <r>
      <t xml:space="preserve">highest </t>
    </r>
    <r>
      <rPr>
        <sz val="10"/>
        <color rgb="FFFF0000"/>
        <rFont val="Arial"/>
        <family val="2"/>
      </rPr>
      <t>Quality</t>
    </r>
    <r>
      <rPr>
        <sz val="10"/>
        <rFont val="Arial"/>
        <family val="2"/>
        <charset val="1"/>
      </rPr>
      <t xml:space="preserve"> of processing tech-niques</t>
    </r>
  </si>
  <si>
    <r>
      <t>ensuring the user is aware of multiple, often new, tech-niques (</t>
    </r>
    <r>
      <rPr>
        <sz val="10"/>
        <color rgb="FF00B0F0"/>
        <rFont val="Arial"/>
        <family val="2"/>
      </rPr>
      <t>theoretical</t>
    </r>
    <r>
      <rPr>
        <sz val="10"/>
        <rFont val="Arial"/>
        <family val="2"/>
        <charset val="1"/>
      </rPr>
      <t xml:space="preserve">). Understanding batch effects and good </t>
    </r>
    <r>
      <rPr>
        <sz val="10"/>
        <color rgb="FFFF0000"/>
        <rFont val="Arial"/>
        <family val="2"/>
      </rPr>
      <t>design</t>
    </r>
    <r>
      <rPr>
        <sz val="10"/>
        <rFont val="Arial"/>
        <family val="2"/>
        <charset val="1"/>
      </rPr>
      <t xml:space="preserve"> of randomisation, including biological and technical replicates. (</t>
    </r>
    <r>
      <rPr>
        <sz val="10"/>
        <color rgb="FF00B0F0"/>
        <rFont val="Arial"/>
        <family val="2"/>
      </rPr>
      <t>quality</t>
    </r>
    <r>
      <rPr>
        <sz val="10"/>
        <rFont val="Arial"/>
        <family val="2"/>
        <charset val="1"/>
      </rPr>
      <t>)</t>
    </r>
  </si>
  <si>
    <r>
      <t xml:space="preserve">good qua-lity of the </t>
    </r>
    <r>
      <rPr>
        <sz val="10"/>
        <color rgb="FFFF0000"/>
        <rFont val="Arial"/>
        <family val="2"/>
      </rPr>
      <t>sample</t>
    </r>
    <r>
      <rPr>
        <sz val="10"/>
        <rFont val="Arial"/>
        <family val="2"/>
        <charset val="1"/>
      </rPr>
      <t>, understanding the principles (</t>
    </r>
    <r>
      <rPr>
        <sz val="10"/>
        <color rgb="FF00B0F0"/>
        <rFont val="Arial"/>
        <family val="2"/>
      </rPr>
      <t>theoretical</t>
    </r>
    <r>
      <rPr>
        <sz val="10"/>
        <rFont val="Arial"/>
        <family val="2"/>
        <charset val="1"/>
      </rPr>
      <t xml:space="preserve">), precision, </t>
    </r>
    <r>
      <rPr>
        <sz val="10"/>
        <color rgb="FFFF0000"/>
        <rFont val="Arial"/>
        <family val="2"/>
      </rPr>
      <t>safety</t>
    </r>
  </si>
  <si>
    <r>
      <t xml:space="preserve">Training is only provide on a </t>
    </r>
    <r>
      <rPr>
        <sz val="10"/>
        <color rgb="FFFF0000"/>
        <rFont val="Arial"/>
        <family val="2"/>
      </rPr>
      <t>theoretical</t>
    </r>
    <r>
      <rPr>
        <sz val="10"/>
        <rFont val="Arial"/>
        <family val="2"/>
        <charset val="1"/>
      </rPr>
      <t xml:space="preserve"> basis, so that the users can understand the potential and also </t>
    </r>
    <r>
      <rPr>
        <sz val="10"/>
        <color rgb="FFFF0000"/>
        <rFont val="Arial"/>
        <family val="2"/>
      </rPr>
      <t>limitations</t>
    </r>
    <r>
      <rPr>
        <sz val="10"/>
        <rFont val="Arial"/>
        <family val="2"/>
        <charset val="1"/>
      </rPr>
      <t xml:space="preserve"> of the </t>
    </r>
    <r>
      <rPr>
        <sz val="10"/>
        <color rgb="FFFF0000"/>
        <rFont val="Arial"/>
        <family val="2"/>
      </rPr>
      <t>techniques</t>
    </r>
    <r>
      <rPr>
        <sz val="10"/>
        <rFont val="Arial"/>
        <family val="2"/>
        <charset val="1"/>
      </rPr>
      <t xml:space="preserve"> we use.
According to our experience, "user prepared </t>
    </r>
    <r>
      <rPr>
        <sz val="10"/>
        <color rgb="FFFF0000"/>
        <rFont val="Arial"/>
        <family val="2"/>
      </rPr>
      <t>samples</t>
    </r>
    <r>
      <rPr>
        <sz val="10"/>
        <rFont val="Arial"/>
        <family val="2"/>
        <charset val="1"/>
      </rPr>
      <t>" are often insufficient in qua-lity
All sam-ple prep and instrumental analy-sis is performed by expert technical staff and scientific core facility personnel.
We also provide detailed guidance how to evaluate and interpret the results.</t>
    </r>
  </si>
  <si>
    <r>
      <t>Make them understand the possibilities/</t>
    </r>
    <r>
      <rPr>
        <sz val="10"/>
        <color rgb="FFFF0000"/>
        <rFont val="Arial"/>
        <family val="2"/>
      </rPr>
      <t>limitations</t>
    </r>
    <r>
      <rPr>
        <sz val="10"/>
        <rFont val="Arial"/>
        <family val="2"/>
        <charset val="1"/>
      </rPr>
      <t xml:space="preserve"> and the nature of the data generated (</t>
    </r>
    <r>
      <rPr>
        <sz val="10"/>
        <color rgb="FF00B0F0"/>
        <rFont val="Arial"/>
        <family val="2"/>
      </rPr>
      <t>theoretical</t>
    </r>
    <r>
      <rPr>
        <sz val="10"/>
        <rFont val="Arial"/>
        <family val="2"/>
        <charset val="1"/>
      </rPr>
      <t>)</t>
    </r>
  </si>
  <si>
    <r>
      <t>(</t>
    </r>
    <r>
      <rPr>
        <sz val="10"/>
        <color rgb="FF00B0F0"/>
        <rFont val="Arial"/>
        <family val="2"/>
      </rPr>
      <t>technique</t>
    </r>
    <r>
      <rPr>
        <sz val="10"/>
        <rFont val="Arial"/>
        <family val="2"/>
        <charset val="1"/>
      </rPr>
      <t>)</t>
    </r>
  </si>
  <si>
    <r>
      <t xml:space="preserve">understanding the user's specific need to perform the experiment well.
Giving the user the information they need to use </t>
    </r>
    <r>
      <rPr>
        <sz val="10"/>
        <color rgb="FFFF0000"/>
        <rFont val="Arial"/>
        <family val="2"/>
      </rPr>
      <t>equipment</t>
    </r>
    <r>
      <rPr>
        <sz val="10"/>
        <rFont val="Arial"/>
        <family val="2"/>
        <charset val="1"/>
      </rPr>
      <t xml:space="preserve"> save and well.
Signing the user of an as </t>
    </r>
    <r>
      <rPr>
        <sz val="10"/>
        <color rgb="FFFF0000"/>
        <rFont val="Arial"/>
        <family val="2"/>
      </rPr>
      <t>independent</t>
    </r>
    <r>
      <rPr>
        <sz val="10"/>
        <rFont val="Arial"/>
        <family val="2"/>
        <charset val="1"/>
      </rPr>
      <t xml:space="preserve"> user so we know that the equip-ment will not be damaged and the data produced is scientifically sound. (</t>
    </r>
    <r>
      <rPr>
        <sz val="10"/>
        <color rgb="FF00B0F0"/>
        <rFont val="Arial"/>
        <family val="2"/>
      </rPr>
      <t>theoretical</t>
    </r>
    <r>
      <rPr>
        <sz val="10"/>
        <rFont val="Arial"/>
        <family val="2"/>
        <charset val="1"/>
      </rPr>
      <t xml:space="preserve">, </t>
    </r>
    <r>
      <rPr>
        <sz val="10"/>
        <color rgb="FF00B0F0"/>
        <rFont val="Arial"/>
        <family val="2"/>
      </rPr>
      <t>quality</t>
    </r>
    <r>
      <rPr>
        <sz val="10"/>
        <rFont val="Arial"/>
        <family val="2"/>
        <charset val="1"/>
      </rPr>
      <t>)</t>
    </r>
  </si>
  <si>
    <r>
      <t>(</t>
    </r>
    <r>
      <rPr>
        <sz val="10"/>
        <color rgb="FF00B0F0"/>
        <rFont val="Arial"/>
        <family val="2"/>
      </rPr>
      <t>theoretical, analysis</t>
    </r>
    <r>
      <rPr>
        <sz val="10"/>
        <rFont val="Arial"/>
        <family val="2"/>
        <charset val="1"/>
      </rPr>
      <t>)</t>
    </r>
  </si>
  <si>
    <r>
      <t xml:space="preserve">proper handling of </t>
    </r>
    <r>
      <rPr>
        <sz val="10"/>
        <color rgb="FFFF0000"/>
        <rFont val="Arial"/>
        <family val="2"/>
      </rPr>
      <t>samples</t>
    </r>
    <r>
      <rPr>
        <sz val="10"/>
        <rFont val="Arial"/>
        <family val="2"/>
        <charset val="1"/>
      </rPr>
      <t>,
read-out, (</t>
    </r>
    <r>
      <rPr>
        <sz val="10"/>
        <color rgb="FF00B0F0"/>
        <rFont val="Arial"/>
        <family val="2"/>
      </rPr>
      <t>technique</t>
    </r>
    <r>
      <rPr>
        <sz val="10"/>
        <rFont val="Arial"/>
        <family val="2"/>
        <charset val="1"/>
      </rPr>
      <t xml:space="preserve">)
</t>
    </r>
    <r>
      <rPr>
        <sz val="10"/>
        <color rgb="FFFF0000"/>
        <rFont val="Arial"/>
        <family val="2"/>
      </rPr>
      <t>analysis</t>
    </r>
  </si>
  <si>
    <r>
      <t xml:space="preserve"> - Fundamental </t>
    </r>
    <r>
      <rPr>
        <sz val="10"/>
        <color theme="1"/>
        <rFont val="Arial"/>
        <family val="2"/>
      </rPr>
      <t>knowledge</t>
    </r>
    <r>
      <rPr>
        <sz val="10"/>
        <rFont val="Arial"/>
        <family val="2"/>
        <charset val="1"/>
      </rPr>
      <t xml:space="preserve"> including principles of math behind the technologies we teach (</t>
    </r>
    <r>
      <rPr>
        <sz val="10"/>
        <color rgb="FF00B0F0"/>
        <rFont val="Arial"/>
        <family val="2"/>
      </rPr>
      <t>theoretical</t>
    </r>
    <r>
      <rPr>
        <sz val="10"/>
        <rFont val="Arial"/>
        <family val="2"/>
        <charset val="1"/>
      </rPr>
      <t>)
 - Maria Montessori concept: we teach them how to do it themselves. They should not get dependent on the scientists in the facility but become a scientist in a facility. The student I teach today, could become my employer tomorrow :-) (</t>
    </r>
    <r>
      <rPr>
        <sz val="10"/>
        <color rgb="FF00B0F0"/>
        <rFont val="Arial"/>
        <family val="2"/>
      </rPr>
      <t>sample, software, analysis</t>
    </r>
    <r>
      <rPr>
        <sz val="10"/>
        <rFont val="Arial"/>
        <family val="2"/>
        <charset val="1"/>
      </rPr>
      <t xml:space="preserve">, </t>
    </r>
    <r>
      <rPr>
        <sz val="10"/>
        <color rgb="FF00B0F0"/>
        <rFont val="Arial"/>
        <family val="2"/>
      </rPr>
      <t>independence</t>
    </r>
    <r>
      <rPr>
        <sz val="10"/>
        <rFont val="Arial"/>
        <family val="2"/>
        <charset val="1"/>
      </rPr>
      <t>)</t>
    </r>
  </si>
  <si>
    <r>
      <t xml:space="preserve">For working in lab - </t>
    </r>
    <r>
      <rPr>
        <sz val="10"/>
        <color rgb="FFFF0000"/>
        <rFont val="Arial"/>
        <family val="2"/>
      </rPr>
      <t>safety</t>
    </r>
    <r>
      <rPr>
        <sz val="10"/>
        <rFont val="Arial"/>
        <family val="2"/>
        <charset val="1"/>
      </rPr>
      <t xml:space="preserve"> (of measured participants, of technicians/researchers, of equipment = to avoid some damage) (</t>
    </r>
    <r>
      <rPr>
        <sz val="10"/>
        <color rgb="FF00B0F0"/>
        <rFont val="Arial"/>
        <family val="2"/>
      </rPr>
      <t>equipment, theoretical, design, analysis</t>
    </r>
    <r>
      <rPr>
        <sz val="10"/>
        <rFont val="Arial"/>
        <family val="2"/>
        <charset val="1"/>
      </rPr>
      <t>)</t>
    </r>
  </si>
  <si>
    <r>
      <t>give the users the background (</t>
    </r>
    <r>
      <rPr>
        <sz val="10"/>
        <color rgb="FF00B0F0"/>
        <rFont val="Arial"/>
        <family val="2"/>
      </rPr>
      <t>theoretical</t>
    </r>
    <r>
      <rPr>
        <sz val="10"/>
        <rFont val="Arial"/>
        <family val="2"/>
        <charset val="1"/>
      </rPr>
      <t>) to understand how to proceed with the animals generated in our facility and in addition the caretakers are trained</t>
    </r>
  </si>
  <si>
    <r>
      <t xml:space="preserve">Ideally </t>
    </r>
    <r>
      <rPr>
        <sz val="10"/>
        <rFont val="Arial"/>
        <family val="2"/>
      </rPr>
      <t xml:space="preserve">yes. </t>
    </r>
    <r>
      <rPr>
        <sz val="10"/>
        <color rgb="FFFF0000"/>
        <rFont val="Arial"/>
        <family val="2"/>
      </rPr>
      <t>If this were the case we would generally be more involved in the data analysis of all/most experiments.</t>
    </r>
    <r>
      <rPr>
        <sz val="10"/>
        <rFont val="Arial"/>
        <family val="2"/>
      </rPr>
      <t xml:space="preserve"> At the moment we only do this for a few, "difficult" experiments. However, this is rather unrealistic because I lack staff.</t>
    </r>
  </si>
  <si>
    <t>no, but important</t>
  </si>
  <si>
    <t>no, unimportant</t>
  </si>
  <si>
    <t>Is there a quality control mechanism in place to check whether the data was analysed and interpreted correctly? If no, would it be important to have one?</t>
  </si>
  <si>
    <r>
      <t xml:space="preserve">That is important - </t>
    </r>
    <r>
      <rPr>
        <sz val="10"/>
        <color rgb="FFFF0000"/>
        <rFont val="Arial"/>
        <family val="2"/>
      </rPr>
      <t>facility staff (field specialists) should be involved</t>
    </r>
    <r>
      <rPr>
        <sz val="10"/>
        <rFont val="Arial"/>
        <family val="2"/>
        <charset val="1"/>
      </rPr>
      <t xml:space="preserve"> </t>
    </r>
    <r>
      <rPr>
        <sz val="10"/>
        <color rgb="FFFF0000"/>
        <rFont val="Arial"/>
        <family val="2"/>
      </rPr>
      <t xml:space="preserve">before data is sent to be published. </t>
    </r>
  </si>
  <si>
    <r>
      <t>There is almost</t>
    </r>
    <r>
      <rPr>
        <sz val="10"/>
        <rFont val="Arial"/>
        <family val="2"/>
      </rPr>
      <t xml:space="preserve"> no way to assess</t>
    </r>
    <r>
      <rPr>
        <sz val="10"/>
        <rFont val="Arial"/>
        <family val="2"/>
        <charset val="1"/>
      </rPr>
      <t xml:space="preserve"> if the data was analysed correctly.  A totally  independent analysis would be the best approach. Costs too much time for complicated studies though.</t>
    </r>
  </si>
  <si>
    <r>
      <t>would be</t>
    </r>
    <r>
      <rPr>
        <sz val="10"/>
        <rFont val="Arial"/>
        <family val="2"/>
      </rPr>
      <t xml:space="preserve"> very important</t>
    </r>
    <r>
      <rPr>
        <sz val="10"/>
        <rFont val="Arial"/>
        <family val="2"/>
        <charset val="1"/>
      </rPr>
      <t xml:space="preserve"> </t>
    </r>
  </si>
  <si>
    <r>
      <rPr>
        <sz val="10"/>
        <color rgb="FFFF0000"/>
        <rFont val="Arial"/>
        <family val="2"/>
      </rPr>
      <t>That would be nice to have, but it would require users to annotate their samples. One cannot do or check the statistical analysis without knowing which samples belong to one group of replicates. Our users are sometimes not willing to share this information.</t>
    </r>
    <r>
      <rPr>
        <sz val="10"/>
        <rFont val="Arial"/>
        <family val="2"/>
        <charset val="1"/>
      </rPr>
      <t xml:space="preserve"> Moreover experimental designs can be very different, so that it's </t>
    </r>
    <r>
      <rPr>
        <sz val="10"/>
        <rFont val="Arial"/>
        <family val="2"/>
      </rPr>
      <t>difficult</t>
    </r>
    <r>
      <rPr>
        <sz val="10"/>
        <rFont val="Arial"/>
        <family val="2"/>
        <charset val="1"/>
      </rPr>
      <t xml:space="preserve"> to assess the validity of the statistical analysis without knowing the details of the experiment. In consequence</t>
    </r>
    <r>
      <rPr>
        <sz val="10"/>
        <color rgb="FFFF0000"/>
        <rFont val="Arial"/>
        <family val="2"/>
      </rPr>
      <t xml:space="preserve"> I don't know how such a quality check could be implemented</t>
    </r>
    <r>
      <rPr>
        <sz val="10"/>
        <rFont val="Arial"/>
        <family val="2"/>
        <charset val="1"/>
      </rPr>
      <t xml:space="preserve"> </t>
    </r>
  </si>
  <si>
    <t xml:space="preserve">I would like to see the analysis of the data before it goes out (just it never happens) </t>
  </si>
  <si>
    <t xml:space="preserve">The user is personally responsible for data quality, we help with interpretation if asked  </t>
  </si>
  <si>
    <r>
      <t>Yes</t>
    </r>
    <r>
      <rPr>
        <sz val="10"/>
        <rFont val="Arial"/>
        <family val="2"/>
        <charset val="1"/>
      </rPr>
      <t xml:space="preserve"> this is important aspect of research, yet in our role we strongly feel that</t>
    </r>
    <r>
      <rPr>
        <sz val="10"/>
        <color rgb="FFFF0000"/>
        <rFont val="Arial"/>
        <family val="2"/>
      </rPr>
      <t xml:space="preserve"> responsibility for data analysis and interpretation must be in hands of researchers, especially in the hands of research group leaders who are responsible for final research outcome.</t>
    </r>
    <r>
      <rPr>
        <sz val="10"/>
        <rFont val="Arial"/>
        <family val="2"/>
        <charset val="1"/>
      </rPr>
      <t xml:space="preserve"> Given the amount of staff of our LMF, we neither have a capacity nor we have position to judge if the data was analyzes and interpreted correctly. Ultimately quality control is in the hands of the scientific community - should researchers publish reproducible data and other research can reproduce their results then it proves the quality of the published research.</t>
    </r>
  </si>
  <si>
    <t>The user is responsible. We would not have personell for all users.</t>
  </si>
  <si>
    <r>
      <t>It is a</t>
    </r>
    <r>
      <rPr>
        <sz val="10"/>
        <color rgb="FFFF0000"/>
        <rFont val="Arial"/>
        <family val="2"/>
      </rPr>
      <t xml:space="preserve"> failing of large facilities </t>
    </r>
    <r>
      <rPr>
        <sz val="10"/>
        <rFont val="Arial"/>
        <family val="2"/>
        <charset val="1"/>
      </rPr>
      <t>that it is very hard to keep on top of this unless  dedicated staff is set aside for it.</t>
    </r>
  </si>
  <si>
    <t>We have our own QC if we are to analyze the data. We do not take responsibility for projects where the user is to analyze the data. We always QC the raw data provided.</t>
  </si>
  <si>
    <r>
      <t xml:space="preserve">Electronic lab book </t>
    </r>
    <r>
      <rPr>
        <sz val="10"/>
        <color rgb="FF00B0F0"/>
        <rFont val="Arial"/>
        <family val="2"/>
      </rPr>
      <t>(ELN)</t>
    </r>
  </si>
  <si>
    <r>
      <t xml:space="preserve">We (try to) refer to figures in the materials &amp; methods sections that we provide. Those materials and methods section then provide the </t>
    </r>
    <r>
      <rPr>
        <sz val="10"/>
        <color theme="1"/>
        <rFont val="Arial"/>
        <family val="2"/>
      </rPr>
      <t>link and identifiers to the</t>
    </r>
    <r>
      <rPr>
        <sz val="10"/>
        <color rgb="FFFF0000"/>
        <rFont val="Arial"/>
        <family val="2"/>
      </rPr>
      <t xml:space="preserve"> public repository</t>
    </r>
    <r>
      <rPr>
        <sz val="10"/>
        <rFont val="Arial"/>
        <family val="2"/>
        <charset val="1"/>
      </rPr>
      <t xml:space="preserve"> where the raw data is stored.</t>
    </r>
  </si>
  <si>
    <t>E L N</t>
  </si>
  <si>
    <r>
      <t xml:space="preserve">Dedicated central </t>
    </r>
    <r>
      <rPr>
        <sz val="10"/>
        <color rgb="FFFF0000"/>
        <rFont val="Arial"/>
        <family val="2"/>
      </rPr>
      <t>archive</t>
    </r>
  </si>
  <si>
    <r>
      <t xml:space="preserve">All publications and phd thesis are checked by an external company (Resis) in regard of image or statistic manipulations or plagiarism. Therefore for all figures the raw data must be provided. The raw data are specially </t>
    </r>
    <r>
      <rPr>
        <sz val="10"/>
        <color rgb="FFFF0000"/>
        <rFont val="Arial"/>
        <family val="2"/>
      </rPr>
      <t>stored</t>
    </r>
    <r>
      <rPr>
        <sz val="10"/>
        <rFont val="Arial"/>
        <family val="2"/>
        <charset val="1"/>
      </rPr>
      <t xml:space="preserve"> on a server by the institute and also the user/author is storing raw data.</t>
    </r>
  </si>
  <si>
    <r>
      <t xml:space="preserve">acknowledgement to the core facility, data are sent to a </t>
    </r>
    <r>
      <rPr>
        <sz val="10"/>
        <color rgb="FFFF0000"/>
        <rFont val="Arial"/>
        <family val="2"/>
      </rPr>
      <t>public repository</t>
    </r>
  </si>
  <si>
    <r>
      <rPr>
        <sz val="10"/>
        <color rgb="FFFF0000"/>
        <rFont val="Arial"/>
        <family val="2"/>
      </rPr>
      <t>electronic lab journals</t>
    </r>
    <r>
      <rPr>
        <sz val="10"/>
        <rFont val="Arial"/>
        <family val="2"/>
        <charset val="1"/>
      </rPr>
      <t xml:space="preserve"> (</t>
    </r>
    <r>
      <rPr>
        <sz val="10"/>
        <color rgb="FF00B0F0"/>
        <rFont val="Arial"/>
        <family val="2"/>
      </rPr>
      <t>ELN</t>
    </r>
    <r>
      <rPr>
        <sz val="10"/>
        <rFont val="Arial"/>
        <family val="2"/>
        <charset val="1"/>
      </rPr>
      <t>)</t>
    </r>
  </si>
  <si>
    <r>
      <rPr>
        <sz val="10"/>
        <color rgb="FFFF0000"/>
        <rFont val="Arial"/>
        <family val="2"/>
      </rPr>
      <t xml:space="preserve">bar code </t>
    </r>
    <r>
      <rPr>
        <sz val="10"/>
        <rFont val="Arial"/>
        <family val="2"/>
        <charset val="1"/>
      </rPr>
      <t>system for the produced proteins</t>
    </r>
  </si>
  <si>
    <r>
      <t xml:space="preserve">raw data are kept on the </t>
    </r>
    <r>
      <rPr>
        <sz val="10"/>
        <color rgb="FFFF0000"/>
        <rFont val="Arial"/>
        <family val="2"/>
      </rPr>
      <t>server</t>
    </r>
    <r>
      <rPr>
        <sz val="10"/>
        <rFont val="Arial"/>
        <family val="2"/>
        <charset val="1"/>
      </rPr>
      <t xml:space="preserve"> backup. Which image has been chosen for the publication and how has the raw file been modified is the responsibility of the user to keep this information.</t>
    </r>
  </si>
  <si>
    <r>
      <t xml:space="preserve">downloading from </t>
    </r>
    <r>
      <rPr>
        <sz val="10"/>
        <color rgb="FFFF0000"/>
        <rFont val="Arial"/>
        <family val="2"/>
      </rPr>
      <t>public repositories</t>
    </r>
    <r>
      <rPr>
        <sz val="10"/>
        <rFont val="Arial"/>
        <family val="2"/>
        <charset val="1"/>
      </rPr>
      <t xml:space="preserve"> like PRIDE</t>
    </r>
  </si>
  <si>
    <r>
      <t xml:space="preserve">Yes, if the raw data has been deposited in </t>
    </r>
    <r>
      <rPr>
        <sz val="10"/>
        <color rgb="FFFF0000"/>
        <rFont val="Arial"/>
        <family val="2"/>
      </rPr>
      <t>public repositories</t>
    </r>
    <r>
      <rPr>
        <sz val="10"/>
        <rFont val="Arial"/>
        <family val="2"/>
        <charset val="1"/>
      </rPr>
      <t xml:space="preserve"> such as EGA, ENA, GEO, ...</t>
    </r>
  </si>
  <si>
    <r>
      <t xml:space="preserve">on an internal </t>
    </r>
    <r>
      <rPr>
        <sz val="10"/>
        <color rgb="FFFF0000"/>
        <rFont val="Arial"/>
        <family val="2"/>
      </rPr>
      <t>server</t>
    </r>
    <r>
      <rPr>
        <sz val="10"/>
        <rFont val="Arial"/>
        <family val="2"/>
        <charset val="1"/>
      </rPr>
      <t xml:space="preserve"> of the university</t>
    </r>
  </si>
  <si>
    <r>
      <t xml:space="preserve">all customer samples have a </t>
    </r>
    <r>
      <rPr>
        <sz val="10"/>
        <color rgb="FFFF0000"/>
        <rFont val="Arial"/>
        <family val="2"/>
      </rPr>
      <t>unique number</t>
    </r>
    <r>
      <rPr>
        <sz val="10"/>
        <rFont val="Arial"/>
        <family val="2"/>
        <charset val="1"/>
      </rPr>
      <t xml:space="preserve"> which follows them through the whole process. A user has access to this number and from this raw data should be traceable</t>
    </r>
  </si>
  <si>
    <r>
      <rPr>
        <sz val="10"/>
        <color rgb="FFFF0000"/>
        <rFont val="Arial"/>
        <family val="2"/>
      </rPr>
      <t>OMERO</t>
    </r>
    <r>
      <rPr>
        <sz val="10"/>
        <rFont val="Arial"/>
        <family val="2"/>
        <charset val="1"/>
      </rPr>
      <t xml:space="preserve"> database system</t>
    </r>
  </si>
  <si>
    <r>
      <t xml:space="preserve">It is policy of most metabolomics journals to deposit published raw data into </t>
    </r>
    <r>
      <rPr>
        <sz val="10"/>
        <color rgb="FFFF0000"/>
        <rFont val="Arial"/>
        <family val="2"/>
      </rPr>
      <t>public repositories</t>
    </r>
    <r>
      <rPr>
        <sz val="10"/>
        <rFont val="Arial"/>
        <family val="2"/>
        <charset val="1"/>
      </rPr>
      <t xml:space="preserve"> (e.g. MetaboLights)</t>
    </r>
  </si>
  <si>
    <r>
      <t>Raw data is held in a "</t>
    </r>
    <r>
      <rPr>
        <sz val="10"/>
        <color rgb="FFFF0000"/>
        <rFont val="Arial"/>
        <family val="2"/>
      </rPr>
      <t xml:space="preserve">group share" folder </t>
    </r>
    <r>
      <rPr>
        <sz val="10"/>
        <rFont val="Arial"/>
        <family val="2"/>
        <charset val="1"/>
      </rPr>
      <t>by the research group who publishes. This is centrally backed up by IT.  It is randomly checked by our own ethical publishing committee who subjects a certain number of our institute's publications each year to an internal audit, where such data trails are also checked.</t>
    </r>
  </si>
  <si>
    <r>
      <t xml:space="preserve">Flow </t>
    </r>
    <r>
      <rPr>
        <sz val="10"/>
        <color rgb="FFFF0000"/>
        <rFont val="Arial"/>
        <family val="2"/>
      </rPr>
      <t>Repository</t>
    </r>
  </si>
  <si>
    <r>
      <t xml:space="preserve">raw data are uploaded to a </t>
    </r>
    <r>
      <rPr>
        <sz val="10"/>
        <color rgb="FFFF0000"/>
        <rFont val="Arial"/>
        <family val="2"/>
      </rPr>
      <t>public repository</t>
    </r>
    <r>
      <rPr>
        <sz val="10"/>
        <rFont val="Arial"/>
        <family val="2"/>
        <charset val="1"/>
      </rPr>
      <t xml:space="preserve"> (typically: Proteomexchange) upon publication with a complete experimental record.</t>
    </r>
  </si>
  <si>
    <r>
      <t xml:space="preserve">Cytometry A </t>
    </r>
    <r>
      <rPr>
        <sz val="10"/>
        <color rgb="FFFF0000"/>
        <rFont val="Arial"/>
        <family val="2"/>
      </rPr>
      <t>Repository</t>
    </r>
  </si>
  <si>
    <r>
      <t xml:space="preserve">Technically yes but not without input from the researcher. Each sample we sequence has a </t>
    </r>
    <r>
      <rPr>
        <sz val="10"/>
        <color rgb="FFFF0000"/>
        <rFont val="Arial"/>
        <family val="2"/>
      </rPr>
      <t>unique ID</t>
    </r>
    <r>
      <rPr>
        <sz val="10"/>
        <rFont val="Arial"/>
        <family val="2"/>
        <charset val="1"/>
      </rPr>
      <t>. Assuming the person who created the figure can be identified, it is highly likely we can match the figure to the raw data.</t>
    </r>
  </si>
  <si>
    <r>
      <t xml:space="preserve">Data is uploaded, which is standard for sequencings, to common </t>
    </r>
    <r>
      <rPr>
        <sz val="10"/>
        <color rgb="FFFF0000"/>
        <rFont val="Arial"/>
        <family val="2"/>
      </rPr>
      <t>databases</t>
    </r>
    <r>
      <rPr>
        <sz val="10"/>
        <rFont val="Arial"/>
        <family val="2"/>
        <charset val="1"/>
      </rPr>
      <t>.</t>
    </r>
  </si>
  <si>
    <r>
      <t xml:space="preserve">Not entirely sure what you mean. But each project receives a </t>
    </r>
    <r>
      <rPr>
        <sz val="10"/>
        <color rgb="FFFF0000"/>
        <rFont val="Arial"/>
        <family val="2"/>
      </rPr>
      <t>unique number</t>
    </r>
    <r>
      <rPr>
        <sz val="10"/>
        <rFont val="Arial"/>
        <family val="2"/>
        <charset val="1"/>
      </rPr>
      <t xml:space="preserve"> (e.g. ACE_0444). Each sample that we analyze receives also a unique file name (ACE_0444_xx01; where xx are the initials of the customer supplying the samples). All project related data are stored in one Folder.</t>
    </r>
  </si>
  <si>
    <r>
      <t xml:space="preserve">On every paper that includes data generated at the core facility we are co-authors and provide the raw data in a </t>
    </r>
    <r>
      <rPr>
        <sz val="10"/>
        <color rgb="FFFF0000"/>
        <rFont val="Arial"/>
        <family val="2"/>
      </rPr>
      <t>public repository.</t>
    </r>
  </si>
  <si>
    <r>
      <t xml:space="preserve">maybe </t>
    </r>
    <r>
      <rPr>
        <sz val="10"/>
        <color rgb="FFFF0000"/>
        <rFont val="Arial"/>
        <family val="2"/>
      </rPr>
      <t>e labbook</t>
    </r>
    <r>
      <rPr>
        <sz val="10"/>
        <rFont val="Arial"/>
        <family val="2"/>
        <charset val="1"/>
      </rPr>
      <t xml:space="preserve"> where all members can join the project</t>
    </r>
  </si>
  <si>
    <r>
      <t>professional</t>
    </r>
    <r>
      <rPr>
        <sz val="10"/>
        <color rgb="FFFF0000"/>
        <rFont val="Arial"/>
        <family val="2"/>
      </rPr>
      <t xml:space="preserve"> meta-data </t>
    </r>
    <r>
      <rPr>
        <sz val="10"/>
        <rFont val="Arial"/>
        <family val="2"/>
        <charset val="1"/>
      </rPr>
      <t>collection (as pre-requisite for sample submission)</t>
    </r>
  </si>
  <si>
    <r>
      <t xml:space="preserve">documentation; </t>
    </r>
    <r>
      <rPr>
        <sz val="10"/>
        <color rgb="FFFF0000"/>
        <rFont val="Arial"/>
        <family val="2"/>
      </rPr>
      <t xml:space="preserve">electronic lab book </t>
    </r>
    <r>
      <rPr>
        <sz val="10"/>
        <rFont val="Arial"/>
        <family val="2"/>
        <charset val="1"/>
      </rPr>
      <t>to be implemented that will improve the situation</t>
    </r>
  </si>
  <si>
    <r>
      <rPr>
        <sz val="10"/>
        <color rgb="FFFF0000"/>
        <rFont val="Arial"/>
        <family val="2"/>
      </rPr>
      <t>Electronic Lab-book</t>
    </r>
    <r>
      <rPr>
        <sz val="10"/>
        <rFont val="Arial"/>
        <family val="2"/>
        <charset val="1"/>
      </rPr>
      <t>, and force the scientist to publish date at the same time as he is publishing the paper...</t>
    </r>
  </si>
  <si>
    <r>
      <t xml:space="preserve">I do not know. We tested LIMS systems  that can capture entire workflows but filling the whole information in the </t>
    </r>
    <r>
      <rPr>
        <sz val="10"/>
        <color rgb="FFFF0000"/>
        <rFont val="Arial"/>
        <family val="2"/>
      </rPr>
      <t xml:space="preserve">LIMS  takes an enormous amount of time </t>
    </r>
    <r>
      <rPr>
        <sz val="10"/>
        <rFont val="Arial"/>
        <family val="2"/>
        <charset val="1"/>
      </rPr>
      <t>and in practice one has to limit this to the essential.</t>
    </r>
  </si>
  <si>
    <r>
      <rPr>
        <sz val="10"/>
        <rFont val="Arial"/>
        <family val="2"/>
      </rPr>
      <t>Due to the large number of people we get coming through the lab,</t>
    </r>
    <r>
      <rPr>
        <sz val="10"/>
        <color rgb="FFFF0000"/>
        <rFont val="Arial"/>
        <family val="2"/>
        <charset val="1"/>
      </rPr>
      <t xml:space="preserve"> we leave all documentation to the users (we have a disclaimer that all users sign to say they understand documentation is their responsibility). </t>
    </r>
    <r>
      <rPr>
        <sz val="10"/>
        <rFont val="Arial"/>
        <family val="2"/>
      </rPr>
      <t>We have recently adopted a core lab management system, which I am hoping to use to improve the level of documentation.</t>
    </r>
  </si>
  <si>
    <r>
      <t xml:space="preserve">standardized </t>
    </r>
    <r>
      <rPr>
        <sz val="10"/>
        <color rgb="FFFF0000"/>
        <rFont val="Arial"/>
        <family val="2"/>
      </rPr>
      <t>metadata</t>
    </r>
    <r>
      <rPr>
        <sz val="10"/>
        <rFont val="Arial"/>
        <family val="2"/>
        <charset val="1"/>
      </rPr>
      <t xml:space="preserve"> with every dataset to describe experimental procedure</t>
    </r>
  </si>
  <si>
    <r>
      <t xml:space="preserve">Shared </t>
    </r>
    <r>
      <rPr>
        <sz val="10"/>
        <color rgb="FFFF0000"/>
        <rFont val="Arial"/>
        <family val="2"/>
      </rPr>
      <t>ELN</t>
    </r>
    <r>
      <rPr>
        <sz val="10"/>
        <rFont val="Arial"/>
        <family val="2"/>
        <charset val="1"/>
      </rPr>
      <t xml:space="preserve"> would help.  User openess and seeing a </t>
    </r>
    <r>
      <rPr>
        <sz val="10"/>
        <color rgb="FFFF0000"/>
        <rFont val="Arial"/>
        <family val="2"/>
      </rPr>
      <t>collaboration with a facility</t>
    </r>
    <r>
      <rPr>
        <sz val="10"/>
        <rFont val="Arial"/>
        <family val="2"/>
        <charset val="1"/>
      </rPr>
      <t xml:space="preserve"> as a collaboration rather than a service is also important</t>
    </r>
  </si>
  <si>
    <r>
      <rPr>
        <sz val="10"/>
        <color rgb="FFFF0000"/>
        <rFont val="Arial"/>
        <family val="2"/>
      </rPr>
      <t>electronic lab books</t>
    </r>
    <r>
      <rPr>
        <sz val="10"/>
        <rFont val="Arial"/>
        <family val="2"/>
        <charset val="1"/>
      </rPr>
      <t xml:space="preserve"> as standards within the organisation
electronic tools (bar codes and reader, etc) to allow seamless documentation about material</t>
    </r>
  </si>
  <si>
    <r>
      <rPr>
        <sz val="10"/>
        <color rgb="FFFF0000"/>
        <rFont val="Arial"/>
        <family val="2"/>
      </rPr>
      <t>Metadata</t>
    </r>
    <r>
      <rPr>
        <sz val="10"/>
        <rFont val="Arial"/>
        <family val="2"/>
        <charset val="1"/>
      </rPr>
      <t xml:space="preserve"> is critical and poorly managed at the moment. </t>
    </r>
    <r>
      <rPr>
        <sz val="10"/>
        <color rgb="FFFF0000"/>
        <rFont val="Arial"/>
        <family val="2"/>
      </rPr>
      <t>Ideally electronic lab notebooks should be used and connected to a central metadata database that is also linked with data storage.</t>
    </r>
  </si>
  <si>
    <t xml:space="preserve">Absolutely. It is in our terms and conditions to be acknowledged in papers (mandatory), however, very often users spontaneously offer co-authorship (not mandatory). Especially in the latter case we feel responsible for the data provided and make sure everything is correct. </t>
  </si>
  <si>
    <t xml:space="preserve">Not necessarily. We define this during initial project discussion. If standard methods are used 'as is' then there is no further input needed, so no scientific contribution. If experiments are more complex, scientific contribution of the core facility is discussed up-front. </t>
  </si>
  <si>
    <t xml:space="preserve">It is often essential and it happens in most cases (though not in all). </t>
  </si>
  <si>
    <t xml:space="preserve">The data we produce belong to our customers/users who are entirely responsible for their dissemination. Involving us (i.e. the core facility) in the publication may improve the quality of the data provided the independency of the core facility is ensured. </t>
  </si>
  <si>
    <r>
      <t xml:space="preserve">Yes, because they are the field experts and </t>
    </r>
    <r>
      <rPr>
        <sz val="10"/>
        <color rgb="FFFF0000"/>
        <rFont val="Arial"/>
        <family val="2"/>
      </rPr>
      <t>can view the data unbiased</t>
    </r>
    <r>
      <rPr>
        <sz val="10"/>
        <rFont val="Arial"/>
        <family val="2"/>
      </rPr>
      <t>.  Would reduce the amount of unreproducible data in print.</t>
    </r>
  </si>
  <si>
    <r>
      <t xml:space="preserve">Users should share their interpretation with core facility earlier, not only 2 days before submission of the manuscript. </t>
    </r>
    <r>
      <rPr>
        <sz val="10"/>
        <color rgb="FFFF0000"/>
        <rFont val="Arial"/>
        <family val="2"/>
      </rPr>
      <t>Sometimes users mis- or over-interpret their data and might even have done follow up experiments based on incorrect data interpretation.</t>
    </r>
    <r>
      <rPr>
        <sz val="10"/>
        <rFont val="Arial"/>
        <family val="2"/>
      </rPr>
      <t xml:space="preserve"> Because of timelines users can become quite resistant to concerns about the validity of their interpretation, if their controls are sufficient... </t>
    </r>
  </si>
  <si>
    <r>
      <t>definitely; we are doing complex high-parameter Cytometry,</t>
    </r>
    <r>
      <rPr>
        <sz val="10"/>
        <color rgb="FFFF0000"/>
        <rFont val="Arial"/>
        <family val="2"/>
      </rPr>
      <t xml:space="preserve"> the users often lack the knowledge to use the correct controls or ways of display, without being aware that they are not following best-practice </t>
    </r>
  </si>
  <si>
    <r>
      <t>Generally they do involve us here. It is important so we can check that interpretation is correct, for example so that artefacts of preparation are not misinterpreted in their results, but also to use our knowledge and experience so we can work together to make a publication of high quality -</t>
    </r>
    <r>
      <rPr>
        <sz val="10"/>
        <color rgb="FFFF0000"/>
        <rFont val="Arial"/>
        <family val="2"/>
      </rPr>
      <t xml:space="preserve"> we are scientists too!</t>
    </r>
  </si>
  <si>
    <r>
      <t xml:space="preserve">There will be less mistakes in interpretation of results and more robust analysis of data. </t>
    </r>
    <r>
      <rPr>
        <sz val="10"/>
        <color rgb="FFFF0000"/>
        <rFont val="Arial"/>
        <family val="2"/>
      </rPr>
      <t>Even new data may come to surface if an expert eye is looking at the data and took part in the whole process.</t>
    </r>
  </si>
  <si>
    <t>Sometimes the users have no idea on the nature of the proteomics data. In this way they might write non relevant information into the publication or they might miss important points. The same might be true for the proper presentation of data. The core facility deals on a daily basis with these type of data and I think they could properly write the Material and methods and also are able to give the required details regarding data presentation. If the core facility would write or review the data presented in manuscripts the scientific community could have access to more reliable and straightforward data and statements.</t>
  </si>
  <si>
    <r>
      <t xml:space="preserve">The core facility knows best not only how to </t>
    </r>
    <r>
      <rPr>
        <sz val="10"/>
        <color rgb="FFFF0000"/>
        <rFont val="Arial"/>
        <family val="2"/>
      </rPr>
      <t>analyze</t>
    </r>
    <r>
      <rPr>
        <sz val="10"/>
        <rFont val="Arial"/>
        <family val="2"/>
        <charset val="1"/>
      </rPr>
      <t xml:space="preserve"> data but also how to *</t>
    </r>
    <r>
      <rPr>
        <sz val="10"/>
        <color rgb="FFFF0000"/>
        <rFont val="Arial"/>
        <family val="2"/>
      </rPr>
      <t>interpret</t>
    </r>
    <r>
      <rPr>
        <sz val="10"/>
        <rFont val="Arial"/>
        <family val="2"/>
        <charset val="1"/>
      </rPr>
      <t xml:space="preserve">* them, which is essential. Obviously, the core facility also knows best </t>
    </r>
    <r>
      <rPr>
        <sz val="10"/>
        <color rgb="FFFF0000"/>
        <rFont val="Arial"/>
        <family val="2"/>
      </rPr>
      <t>how</t>
    </r>
    <r>
      <rPr>
        <sz val="10"/>
        <rFont val="Arial"/>
        <family val="2"/>
        <charset val="1"/>
      </rPr>
      <t xml:space="preserve"> data were </t>
    </r>
    <r>
      <rPr>
        <sz val="10"/>
        <color rgb="FFFF0000"/>
        <rFont val="Arial"/>
        <family val="2"/>
      </rPr>
      <t>generated</t>
    </r>
    <r>
      <rPr>
        <sz val="10"/>
        <rFont val="Arial"/>
        <family val="2"/>
        <charset val="1"/>
      </rPr>
      <t>.</t>
    </r>
  </si>
  <si>
    <r>
      <t xml:space="preserve">The core facility is the expert in data production and analysis and know perfectly how the data have been produce. </t>
    </r>
    <r>
      <rPr>
        <sz val="10"/>
        <color rgb="FFFF0000"/>
        <rFont val="Arial"/>
        <family val="2"/>
      </rPr>
      <t>We need very often to correct the information written by our users</t>
    </r>
  </si>
  <si>
    <r>
      <rPr>
        <sz val="10"/>
        <color theme="1" tint="4.9989318521683403E-2"/>
        <rFont val="Arial"/>
        <family val="2"/>
      </rPr>
      <t xml:space="preserve">Many researchers come in, use the equipment and leave without the core facility oversight. We don't always know if there are issues with quality. </t>
    </r>
    <r>
      <rPr>
        <sz val="10"/>
        <color rgb="FFFF0000"/>
        <rFont val="Arial"/>
        <family val="2"/>
        <charset val="1"/>
      </rPr>
      <t>Figures and publications happen without us being involved all of the time with poor quality data.</t>
    </r>
  </si>
  <si>
    <r>
      <t xml:space="preserve">We have a carefully curated </t>
    </r>
    <r>
      <rPr>
        <sz val="10"/>
        <color rgb="FFFF0000"/>
        <rFont val="Arial"/>
        <family val="2"/>
      </rPr>
      <t>'hand over' package</t>
    </r>
    <r>
      <rPr>
        <sz val="10"/>
        <rFont val="Arial"/>
        <family val="2"/>
        <charset val="1"/>
      </rPr>
      <t xml:space="preserve"> which signals the end of our project. It includes an excerpt for a methods section and publication quality figures.</t>
    </r>
  </si>
  <si>
    <r>
      <t xml:space="preserve">Describing and explaining the measurement and analyses steps in detail. </t>
    </r>
    <r>
      <rPr>
        <sz val="10"/>
        <color rgb="FFFF0000"/>
        <rFont val="Arial"/>
        <family val="2"/>
      </rPr>
      <t>Describing the influence of acquired data on the overall quality of the data.</t>
    </r>
  </si>
  <si>
    <r>
      <rPr>
        <sz val="10"/>
        <color rgb="FFFF0000"/>
        <rFont val="Arial"/>
        <family val="2"/>
      </rPr>
      <t>Publish guidelines</t>
    </r>
    <r>
      <rPr>
        <sz val="10"/>
        <rFont val="Arial"/>
        <family val="2"/>
        <charset val="1"/>
      </rPr>
      <t xml:space="preserve"> - part of the introduction of users to the core facility and systems.</t>
    </r>
  </si>
  <si>
    <r>
      <t>explicitly</t>
    </r>
    <r>
      <rPr>
        <sz val="10"/>
        <color rgb="FFFF0000"/>
        <rFont val="Arial"/>
        <family val="2"/>
      </rPr>
      <t xml:space="preserve"> motivate them </t>
    </r>
    <r>
      <rPr>
        <sz val="10"/>
        <rFont val="Arial"/>
        <family val="2"/>
        <charset val="1"/>
      </rPr>
      <t>to use the service</t>
    </r>
  </si>
  <si>
    <r>
      <t xml:space="preserve">Try to give </t>
    </r>
    <r>
      <rPr>
        <sz val="10"/>
        <color rgb="FFFF0000"/>
        <rFont val="Arial"/>
        <family val="2"/>
      </rPr>
      <t>workshops</t>
    </r>
    <r>
      <rPr>
        <sz val="10"/>
        <rFont val="Arial"/>
        <family val="2"/>
        <charset val="1"/>
      </rPr>
      <t xml:space="preserve"> with updated information. 
</t>
    </r>
    <r>
      <rPr>
        <sz val="10"/>
        <color rgb="FFFF0000"/>
        <rFont val="Arial"/>
        <family val="2"/>
      </rPr>
      <t>It is sometimes difficult - usually more because of group leaders than because of students - to get people to accept new or improved ways of doing certain types of experiments.</t>
    </r>
    <r>
      <rPr>
        <sz val="10"/>
        <rFont val="Arial"/>
        <family val="2"/>
        <charset val="1"/>
      </rPr>
      <t xml:space="preserve"> Often people do things a certain way, simply because this is how they originally learned it.</t>
    </r>
  </si>
  <si>
    <r>
      <t xml:space="preserve">At the beginning of our project </t>
    </r>
    <r>
      <rPr>
        <sz val="10"/>
        <color rgb="FFFF0000"/>
        <rFont val="Arial"/>
        <family val="2"/>
      </rPr>
      <t>we have a signed user-form where we request to be involved in interpretation and publication of the data ....</t>
    </r>
    <r>
      <rPr>
        <sz val="10"/>
        <rFont val="Arial"/>
        <family val="2"/>
        <charset val="1"/>
      </rPr>
      <t xml:space="preserve">
</t>
    </r>
    <r>
      <rPr>
        <sz val="10"/>
        <color rgb="FFFF0000"/>
        <rFont val="Arial"/>
        <family val="2"/>
      </rPr>
      <t>'If you want to communicate the data further- on your next lab seminar, in a talk or publication - please include us in the interpretation: we will help you with the illustration, legends, statistics and material and methods as good as we can. In return we appreciate to be acknowledged for our contribution to your results'</t>
    </r>
  </si>
  <si>
    <r>
      <t xml:space="preserve">we </t>
    </r>
    <r>
      <rPr>
        <sz val="10"/>
        <color rgb="FFFF0000"/>
        <rFont val="Arial"/>
        <family val="2"/>
      </rPr>
      <t>emphasise</t>
    </r>
    <r>
      <rPr>
        <sz val="10"/>
        <rFont val="Arial"/>
        <family val="2"/>
        <charset val="1"/>
      </rPr>
      <t xml:space="preserve"> the importance of good science and correct reporting. we also provide </t>
    </r>
    <r>
      <rPr>
        <sz val="10"/>
        <color rgb="FFFF0000"/>
        <rFont val="Arial"/>
        <family val="2"/>
      </rPr>
      <t xml:space="preserve">active support </t>
    </r>
    <r>
      <rPr>
        <sz val="10"/>
        <rFont val="Arial"/>
        <family val="2"/>
        <charset val="1"/>
      </rPr>
      <t>in writing grants, which makes them come to us when there are publications.</t>
    </r>
  </si>
  <si>
    <r>
      <t xml:space="preserve">As our sample preparation protocols are quite complex and as we have many individually planned experimental designs </t>
    </r>
    <r>
      <rPr>
        <sz val="10"/>
        <color rgb="FFFF0000"/>
        <rFont val="Arial"/>
        <family val="2"/>
      </rPr>
      <t>usually people are thankful to receive this information to guarantee the best possible results.</t>
    </r>
  </si>
  <si>
    <r>
      <t>refer them to it (</t>
    </r>
    <r>
      <rPr>
        <sz val="10"/>
        <color rgb="FFFF0000"/>
        <rFont val="Arial"/>
        <family val="2"/>
      </rPr>
      <t>politely, and with tact!</t>
    </r>
    <r>
      <rPr>
        <sz val="10"/>
        <rFont val="Arial"/>
        <family val="2"/>
        <charset val="1"/>
      </rPr>
      <t>) when they ask obvious questions that I've already answered in a report...</t>
    </r>
  </si>
  <si>
    <r>
      <rPr>
        <sz val="10"/>
        <color rgb="FFFF0000"/>
        <rFont val="Arial"/>
        <family val="2"/>
      </rPr>
      <t>Threaten</t>
    </r>
    <r>
      <rPr>
        <sz val="10"/>
        <rFont val="Arial"/>
        <family val="2"/>
        <charset val="1"/>
      </rPr>
      <t xml:space="preserve"> to withdraw names from the paper and support if they don't.</t>
    </r>
  </si>
  <si>
    <r>
      <t xml:space="preserve">Periodical </t>
    </r>
    <r>
      <rPr>
        <sz val="10"/>
        <color rgb="FFFF0000"/>
        <rFont val="Arial"/>
        <family val="2"/>
      </rPr>
      <t>reminders</t>
    </r>
    <r>
      <rPr>
        <sz val="10"/>
        <rFont val="Arial"/>
        <family val="2"/>
        <charset val="1"/>
      </rPr>
      <t xml:space="preserve"> to notify about publications in preparation</t>
    </r>
  </si>
  <si>
    <r>
      <t xml:space="preserve">In terms of publication, experimental design, data analysis or interpretation, we don't do anything special to encourage our end-user to take our advice or follow our guidance. They are free. However, </t>
    </r>
    <r>
      <rPr>
        <sz val="10"/>
        <color rgb="FFFF0000"/>
        <rFont val="Arial"/>
        <family val="2"/>
      </rPr>
      <t>we do not support publications reporting data we disagree with.</t>
    </r>
  </si>
  <si>
    <r>
      <t>We are</t>
    </r>
    <r>
      <rPr>
        <sz val="10"/>
        <color rgb="FFFF0000"/>
        <rFont val="Arial"/>
        <family val="2"/>
      </rPr>
      <t xml:space="preserve"> involved in all steps</t>
    </r>
    <r>
      <rPr>
        <sz val="10"/>
        <rFont val="Arial"/>
        <family val="2"/>
        <charset val="1"/>
      </rPr>
      <t xml:space="preserve"> of the sample processing, experimental design and data analysis. Therefore we have enough time to </t>
    </r>
    <r>
      <rPr>
        <sz val="10"/>
        <color rgb="FFFF0000"/>
        <rFont val="Arial"/>
        <family val="2"/>
      </rPr>
      <t xml:space="preserve">built a trust </t>
    </r>
    <r>
      <rPr>
        <sz val="10"/>
        <rFont val="Arial"/>
        <family val="2"/>
        <charset val="1"/>
      </rPr>
      <t>between CF and user.</t>
    </r>
  </si>
  <si>
    <r>
      <t xml:space="preserve">Talk to them, offer help and support in discussing their findings, try to get involved and </t>
    </r>
    <r>
      <rPr>
        <sz val="10"/>
        <color rgb="FFFF0000"/>
        <rFont val="Arial"/>
        <family val="2"/>
      </rPr>
      <t>show interest such as attending their seminars and listening about their applications/samples when teaching them,</t>
    </r>
    <r>
      <rPr>
        <sz val="10"/>
        <rFont val="Arial"/>
        <family val="2"/>
        <charset val="1"/>
      </rPr>
      <t xml:space="preserve"> make suggestions for improvements on experimental design etc.</t>
    </r>
  </si>
  <si>
    <r>
      <t xml:space="preserve">We provide </t>
    </r>
    <r>
      <rPr>
        <sz val="10"/>
        <color rgb="FFFF0000"/>
        <rFont val="Arial"/>
        <family val="2"/>
      </rPr>
      <t>relevant and detailed information</t>
    </r>
    <r>
      <rPr>
        <sz val="10"/>
        <rFont val="Arial"/>
        <family val="2"/>
        <charset val="1"/>
      </rPr>
      <t xml:space="preserve"> regarding the procedures.</t>
    </r>
  </si>
  <si>
    <r>
      <rPr>
        <sz val="10"/>
        <color rgb="FFFF0000"/>
        <rFont val="Arial"/>
        <family val="2"/>
      </rPr>
      <t>We provide it for free</t>
    </r>
    <r>
      <rPr>
        <sz val="10"/>
        <rFont val="Arial"/>
        <family val="2"/>
        <charset val="1"/>
      </rPr>
      <t>, explain the procedures...</t>
    </r>
  </si>
  <si>
    <r>
      <t xml:space="preserve">We work in </t>
    </r>
    <r>
      <rPr>
        <sz val="10"/>
        <color rgb="FFFF0000"/>
        <rFont val="Arial"/>
        <family val="2"/>
      </rPr>
      <t>collaboration with the users</t>
    </r>
    <r>
      <rPr>
        <sz val="10"/>
        <rFont val="Arial"/>
        <family val="2"/>
        <charset val="1"/>
      </rPr>
      <t>, therefore both facility and researcher are engaged in the experiments. Therefore it is clear since the beginning that we are doing our best to get good quality data for the project</t>
    </r>
  </si>
  <si>
    <r>
      <t xml:space="preserve">Sustainable and continuous communication with research groups, </t>
    </r>
    <r>
      <rPr>
        <sz val="10"/>
        <color rgb="FFFF0000"/>
        <rFont val="Arial"/>
        <family val="2"/>
      </rPr>
      <t>building the trust in expertise</t>
    </r>
    <r>
      <rPr>
        <sz val="10"/>
        <rFont val="Arial"/>
        <family val="2"/>
        <charset val="1"/>
      </rPr>
      <t xml:space="preserve"> provided by core facility</t>
    </r>
  </si>
  <si>
    <r>
      <t xml:space="preserve">Yes. Many students, especially early on in their careers </t>
    </r>
    <r>
      <rPr>
        <sz val="10"/>
        <color rgb="FFFF0000"/>
        <rFont val="Arial"/>
        <family val="2"/>
      </rPr>
      <t>do not (yet) realize how important good documentation is..</t>
    </r>
    <r>
      <rPr>
        <sz val="10"/>
        <color theme="1"/>
        <rFont val="Arial"/>
        <family val="2"/>
      </rPr>
      <t>..</t>
    </r>
  </si>
  <si>
    <t xml:space="preserve">Would be helpful, because in that case it would be more easy to collect data for method part of a publication </t>
  </si>
  <si>
    <r>
      <t xml:space="preserve">We have users from different institutes, we do not have the authority to impose it, nor the manpower to enforce it. In the end the PI/ last author is responsible for it.  </t>
    </r>
    <r>
      <rPr>
        <sz val="10"/>
        <color rgb="FFFF0000"/>
        <rFont val="Arial"/>
        <family val="2"/>
      </rPr>
      <t>We can provide guidance, but it would be silly to take responsibility for it, because it is mostly out of our hands.</t>
    </r>
  </si>
  <si>
    <r>
      <t xml:space="preserve">In theory that would be nice to have, but I think in my current situation </t>
    </r>
    <r>
      <rPr>
        <sz val="10"/>
        <color rgb="FFFF0000"/>
        <rFont val="Arial"/>
        <family val="2"/>
      </rPr>
      <t>it would be a waste of time to implement such a plan because nobody would care about it.</t>
    </r>
    <r>
      <rPr>
        <sz val="10"/>
        <rFont val="Arial"/>
        <family val="2"/>
      </rPr>
      <t xml:space="preserve"> Users are the owners of their data and are responsible for what they do with it. Including data management.</t>
    </r>
  </si>
  <si>
    <r>
      <t xml:space="preserve">Yes. </t>
    </r>
    <r>
      <rPr>
        <sz val="10"/>
        <color rgb="FFFF0000"/>
        <rFont val="Arial"/>
        <family val="2"/>
      </rPr>
      <t>More automated  and standardized procedures are more failsafe.</t>
    </r>
  </si>
  <si>
    <r>
      <t>There isn't one for our core facility but it would be good to think about having one</t>
    </r>
    <r>
      <rPr>
        <sz val="10"/>
        <color rgb="FFFF0000"/>
        <rFont val="Arial"/>
        <family val="2"/>
      </rPr>
      <t xml:space="preserve"> to make it clear to users where their responsibilities lie versus those of the core. </t>
    </r>
  </si>
  <si>
    <r>
      <t xml:space="preserve">Can not be standardized for all experiments. </t>
    </r>
    <r>
      <rPr>
        <sz val="10"/>
        <color rgb="FFFF0000"/>
        <rFont val="Arial"/>
        <family val="2"/>
      </rPr>
      <t>Too bureaucratic.</t>
    </r>
  </si>
  <si>
    <r>
      <t xml:space="preserve">This would make it less chaotic and would result in </t>
    </r>
    <r>
      <rPr>
        <sz val="10"/>
        <color rgb="FFFF0000"/>
        <rFont val="Arial"/>
        <family val="2"/>
      </rPr>
      <t>savings both of time and less loss of resources</t>
    </r>
    <r>
      <rPr>
        <sz val="10"/>
        <rFont val="Arial"/>
        <family val="2"/>
      </rPr>
      <t xml:space="preserve"> (older results).</t>
    </r>
  </si>
  <si>
    <r>
      <t xml:space="preserve">It would be helpful for the organization and  traceability of data.
</t>
    </r>
    <r>
      <rPr>
        <sz val="10"/>
        <color rgb="FFFF0000"/>
        <rFont val="Arial"/>
        <family val="2"/>
      </rPr>
      <t>The core facility tried to implement a data management plan, but this was not accepted by the user.</t>
    </r>
    <r>
      <rPr>
        <sz val="10"/>
        <rFont val="Arial"/>
        <family val="2"/>
      </rPr>
      <t xml:space="preserve">
The data belong to the user and the user has the responsible for the data.</t>
    </r>
  </si>
  <si>
    <r>
      <t xml:space="preserve">Too many individual experiments in entirely different scientific areas. </t>
    </r>
    <r>
      <rPr>
        <sz val="10"/>
        <color rgb="FFFF0000"/>
        <rFont val="Arial"/>
        <family val="2"/>
      </rPr>
      <t>This topic is too complex to provide routine plans for.</t>
    </r>
  </si>
  <si>
    <r>
      <t xml:space="preserve">Perhaps. Our data is efficiently stored and accessible, however a data management plan would support future equipment grants and could standardise, integrate management, </t>
    </r>
    <r>
      <rPr>
        <sz val="10"/>
        <color rgb="FFFF0000"/>
        <rFont val="Arial"/>
        <family val="2"/>
      </rPr>
      <t>processing and analysis between different facilities.</t>
    </r>
  </si>
  <si>
    <r>
      <t xml:space="preserve">I believe there already is a plan at institutional level. It's just possible (but unlikely) someone has read it. </t>
    </r>
    <r>
      <rPr>
        <sz val="10"/>
        <color rgb="FFFF0000"/>
        <rFont val="Arial"/>
        <family val="2"/>
      </rPr>
      <t>If I produce a plan, it will just be</t>
    </r>
    <r>
      <rPr>
        <sz val="10"/>
        <rFont val="Arial"/>
        <family val="2"/>
      </rPr>
      <t xml:space="preserve"> </t>
    </r>
    <r>
      <rPr>
        <sz val="10"/>
        <color rgb="FFFF0000"/>
        <rFont val="Arial"/>
        <family val="2"/>
      </rPr>
      <t>another formal document that will be ignored...</t>
    </r>
  </si>
  <si>
    <t>Development quote manager, development L I M S, robotics</t>
  </si>
  <si>
    <r>
      <t xml:space="preserve">to facilitate </t>
    </r>
    <r>
      <rPr>
        <sz val="10"/>
        <color rgb="FFFF0000"/>
        <rFont val="Arial"/>
        <family val="2"/>
      </rPr>
      <t>communication, collaboration with the users. Standardisation</t>
    </r>
  </si>
  <si>
    <t>home made LIMS</t>
  </si>
  <si>
    <t xml:space="preserve">PPMS. </t>
  </si>
  <si>
    <t>Request Tracker, and the user interface of our LIMS (Clarity)</t>
  </si>
  <si>
    <t>Open IRIS, ELN</t>
  </si>
  <si>
    <r>
      <t xml:space="preserve">Zendesk, </t>
    </r>
    <r>
      <rPr>
        <sz val="10"/>
        <color rgb="FF00B0F0"/>
        <rFont val="Arial"/>
        <family val="2"/>
      </rPr>
      <t>LIMS</t>
    </r>
  </si>
  <si>
    <r>
      <t xml:space="preserve">agendo, Slack, </t>
    </r>
    <r>
      <rPr>
        <sz val="10"/>
        <color rgb="FF00B0F0"/>
        <rFont val="Arial"/>
        <family val="2"/>
      </rPr>
      <t>LIMS</t>
    </r>
  </si>
  <si>
    <r>
      <t xml:space="preserve">Slack, </t>
    </r>
    <r>
      <rPr>
        <sz val="10"/>
        <color rgb="FF00B0F0"/>
        <rFont val="Arial"/>
        <family val="2"/>
      </rPr>
      <t>LIMS</t>
    </r>
  </si>
  <si>
    <r>
      <t xml:space="preserve">This would improve the </t>
    </r>
    <r>
      <rPr>
        <sz val="10"/>
        <color rgb="FFFF0000"/>
        <rFont val="Arial"/>
        <family val="2"/>
      </rPr>
      <t xml:space="preserve">general management </t>
    </r>
    <r>
      <rPr>
        <sz val="10"/>
        <rFont val="Arial"/>
        <family val="2"/>
      </rPr>
      <t>of our facility</t>
    </r>
  </si>
  <si>
    <t>knowledge, technical</t>
  </si>
  <si>
    <t>software, SOP, quality</t>
  </si>
  <si>
    <t>technical</t>
  </si>
  <si>
    <t>audit</t>
  </si>
  <si>
    <t>knowledge</t>
  </si>
  <si>
    <t>knowledge, SOP</t>
  </si>
  <si>
    <t>knowledge, technical, software</t>
  </si>
  <si>
    <t>quality, SOP</t>
  </si>
  <si>
    <t>machine sign in, eLab books (ELN), quality control templates and SOPs</t>
  </si>
  <si>
    <t>audit, technical</t>
  </si>
  <si>
    <t>funding, audit</t>
  </si>
  <si>
    <t>SOP, documentation</t>
  </si>
  <si>
    <t xml:space="preserve">technical, knowledge, </t>
  </si>
  <si>
    <t>quality, SOP, technical</t>
  </si>
  <si>
    <t xml:space="preserve">quality </t>
  </si>
  <si>
    <t>technical, quality, SOP, knowledge</t>
  </si>
  <si>
    <t>software,</t>
  </si>
  <si>
    <t>quality, knowledge</t>
  </si>
  <si>
    <t>software, repository</t>
  </si>
  <si>
    <t>software, audit</t>
  </si>
  <si>
    <t>technical, knowledge, documentation</t>
  </si>
  <si>
    <t>transfer of knowledge</t>
  </si>
  <si>
    <t>audit, ISO</t>
  </si>
  <si>
    <t>quality controls</t>
  </si>
  <si>
    <t>training, advice to user</t>
  </si>
  <si>
    <t>highlight of interesting data/quotes</t>
  </si>
  <si>
    <t>data analysis, design</t>
  </si>
  <si>
    <t xml:space="preserve"> staff</t>
  </si>
  <si>
    <t>SOP, automation, training user, data analysis</t>
  </si>
  <si>
    <t xml:space="preserve">project management, data management, equipment </t>
  </si>
  <si>
    <t>training, advising users</t>
  </si>
  <si>
    <t>important factors</t>
  </si>
  <si>
    <t>Achieving research data quality</t>
  </si>
  <si>
    <t>factors to improve</t>
  </si>
  <si>
    <r>
      <t>Zendesk (</t>
    </r>
    <r>
      <rPr>
        <sz val="10"/>
        <color rgb="FF00B0F0"/>
        <rFont val="Arial"/>
        <family val="2"/>
      </rPr>
      <t>other</t>
    </r>
    <r>
      <rPr>
        <sz val="10"/>
        <rFont val="Arial"/>
        <family val="2"/>
        <charset val="1"/>
      </rPr>
      <t>)</t>
    </r>
  </si>
  <si>
    <t>github (other)</t>
  </si>
  <si>
    <r>
      <t>Parkour (</t>
    </r>
    <r>
      <rPr>
        <sz val="10"/>
        <color rgb="FF00B0F0"/>
        <rFont val="Arial"/>
        <family val="2"/>
      </rPr>
      <t>LIMS</t>
    </r>
    <r>
      <rPr>
        <sz val="10"/>
        <rFont val="Arial"/>
        <family val="2"/>
        <charset val="1"/>
      </rPr>
      <t>)</t>
    </r>
  </si>
  <si>
    <r>
      <t>YouTrack software with home-made website built on top of it (</t>
    </r>
    <r>
      <rPr>
        <sz val="10"/>
        <color rgb="FF00B0F0"/>
        <rFont val="Arial"/>
        <family val="2"/>
      </rPr>
      <t>other</t>
    </r>
    <r>
      <rPr>
        <sz val="10"/>
        <rFont val="Arial"/>
        <family val="2"/>
        <charset val="1"/>
      </rPr>
      <t>)</t>
    </r>
  </si>
  <si>
    <r>
      <t>PyRAT (</t>
    </r>
    <r>
      <rPr>
        <sz val="10"/>
        <color rgb="FF00B0F0"/>
        <rFont val="Arial"/>
        <family val="2"/>
      </rPr>
      <t>other</t>
    </r>
    <r>
      <rPr>
        <sz val="10"/>
        <rFont val="Arial"/>
        <family val="2"/>
        <charset val="1"/>
      </rPr>
      <t>)</t>
    </r>
  </si>
  <si>
    <r>
      <t>MS-SharePoint (</t>
    </r>
    <r>
      <rPr>
        <sz val="10"/>
        <color rgb="FF00B0F0"/>
        <rFont val="Arial"/>
        <family val="2"/>
      </rPr>
      <t>other</t>
    </r>
    <r>
      <rPr>
        <sz val="10"/>
        <rFont val="Arial"/>
        <family val="2"/>
        <charset val="1"/>
      </rPr>
      <t>)</t>
    </r>
  </si>
  <si>
    <r>
      <t>OTRS, Zammad (</t>
    </r>
    <r>
      <rPr>
        <sz val="10"/>
        <color rgb="FF00B0F0"/>
        <rFont val="Arial"/>
        <family val="2"/>
      </rPr>
      <t>other</t>
    </r>
    <r>
      <rPr>
        <sz val="10"/>
        <rFont val="Arial"/>
        <family val="2"/>
        <charset val="1"/>
      </rPr>
      <t>)</t>
    </r>
  </si>
  <si>
    <r>
      <t>OCF Scheduler Ver. 2.03 (</t>
    </r>
    <r>
      <rPr>
        <sz val="10"/>
        <color rgb="FF00B0F0"/>
        <rFont val="Arial"/>
        <family val="2"/>
      </rPr>
      <t>other</t>
    </r>
    <r>
      <rPr>
        <sz val="10"/>
        <rFont val="Arial"/>
        <family val="2"/>
        <charset val="1"/>
      </rPr>
      <t>)</t>
    </r>
  </si>
  <si>
    <r>
      <t>in-house (</t>
    </r>
    <r>
      <rPr>
        <sz val="10"/>
        <color rgb="FF00B0F0"/>
        <rFont val="Arial"/>
        <family val="2"/>
      </rPr>
      <t>other</t>
    </r>
    <r>
      <rPr>
        <sz val="10"/>
        <rFont val="Arial"/>
        <family val="2"/>
        <charset val="1"/>
      </rPr>
      <t>)</t>
    </r>
  </si>
  <si>
    <r>
      <t>Clustermarket (</t>
    </r>
    <r>
      <rPr>
        <sz val="10"/>
        <color rgb="FF00B0F0"/>
        <rFont val="Arial"/>
        <family val="2"/>
      </rPr>
      <t>other</t>
    </r>
    <r>
      <rPr>
        <sz val="10"/>
        <rFont val="Arial"/>
        <family val="2"/>
        <charset val="1"/>
      </rPr>
      <t>)</t>
    </r>
  </si>
  <si>
    <r>
      <t>Booked-scheduler (</t>
    </r>
    <r>
      <rPr>
        <sz val="10"/>
        <color rgb="FF00B0F0"/>
        <rFont val="Arial"/>
        <family val="2"/>
      </rPr>
      <t>other</t>
    </r>
    <r>
      <rPr>
        <sz val="10"/>
        <rFont val="Arial"/>
        <family val="2"/>
        <charset val="1"/>
      </rPr>
      <t>)</t>
    </r>
  </si>
  <si>
    <t xml:space="preserve">Slack What'sApp </t>
  </si>
  <si>
    <r>
      <t>Qualtrics (</t>
    </r>
    <r>
      <rPr>
        <sz val="10"/>
        <color rgb="FF00B0F0"/>
        <rFont val="Arial"/>
        <family val="2"/>
      </rPr>
      <t>other</t>
    </r>
    <r>
      <rPr>
        <sz val="10"/>
        <rFont val="Arial"/>
        <family val="2"/>
        <charset val="1"/>
      </rPr>
      <t>)</t>
    </r>
  </si>
  <si>
    <r>
      <t xml:space="preserve"> Microsoft Teams; we are currently trialing ServiceNow, (</t>
    </r>
    <r>
      <rPr>
        <sz val="10"/>
        <color rgb="FF00B0F0"/>
        <rFont val="Arial"/>
        <family val="2"/>
      </rPr>
      <t>other</t>
    </r>
    <r>
      <rPr>
        <sz val="10"/>
        <rFont val="Arial"/>
        <family val="2"/>
        <charset val="1"/>
      </rPr>
      <t>)</t>
    </r>
  </si>
  <si>
    <r>
      <t>own software for ordering of services allows us to use chat and discussion forum (</t>
    </r>
    <r>
      <rPr>
        <sz val="10"/>
        <color rgb="FF00B0F0"/>
        <rFont val="Arial"/>
        <family val="2"/>
      </rPr>
      <t>other</t>
    </r>
    <r>
      <rPr>
        <sz val="10"/>
        <rFont val="Arial"/>
        <family val="2"/>
        <charset val="1"/>
      </rPr>
      <t>)</t>
    </r>
  </si>
  <si>
    <r>
      <t>supportsystems.com (</t>
    </r>
    <r>
      <rPr>
        <sz val="10"/>
        <color rgb="FF00B0F0"/>
        <rFont val="Arial"/>
        <family val="2"/>
      </rPr>
      <t>other</t>
    </r>
    <r>
      <rPr>
        <sz val="10"/>
        <rFont val="Arial"/>
        <family val="2"/>
        <charset val="1"/>
      </rPr>
      <t>)</t>
    </r>
  </si>
  <si>
    <r>
      <t>proprietary system for booking of instrumental time (</t>
    </r>
    <r>
      <rPr>
        <sz val="10"/>
        <color rgb="FF00B0F0"/>
        <rFont val="Arial"/>
        <family val="2"/>
      </rPr>
      <t>other</t>
    </r>
    <r>
      <rPr>
        <sz val="10"/>
        <rFont val="Arial"/>
        <family val="2"/>
        <charset val="1"/>
      </rPr>
      <t>)</t>
    </r>
  </si>
  <si>
    <r>
      <t>our own ordering system (</t>
    </r>
    <r>
      <rPr>
        <sz val="10"/>
        <color rgb="FF00B0F0"/>
        <rFont val="Arial"/>
        <family val="2"/>
      </rPr>
      <t>other</t>
    </r>
    <r>
      <rPr>
        <sz val="10"/>
        <rFont val="Arial"/>
        <family val="2"/>
        <charset val="1"/>
      </rPr>
      <t>)</t>
    </r>
  </si>
  <si>
    <r>
      <t>RedMine (</t>
    </r>
    <r>
      <rPr>
        <sz val="10"/>
        <color rgb="FF00B0F0"/>
        <rFont val="Arial"/>
        <family val="2"/>
      </rPr>
      <t>other</t>
    </r>
    <r>
      <rPr>
        <sz val="10"/>
        <rFont val="Arial"/>
        <family val="2"/>
        <charset val="1"/>
      </rPr>
      <t>)</t>
    </r>
  </si>
  <si>
    <r>
      <t>Skype, Polybox (</t>
    </r>
    <r>
      <rPr>
        <sz val="10"/>
        <color rgb="FF00B0F0"/>
        <rFont val="Arial"/>
        <family val="2"/>
      </rPr>
      <t>other</t>
    </r>
    <r>
      <rPr>
        <sz val="10"/>
        <rFont val="Arial"/>
        <family val="2"/>
        <charset val="1"/>
      </rPr>
      <t>)</t>
    </r>
  </si>
  <si>
    <r>
      <t>in house developed (</t>
    </r>
    <r>
      <rPr>
        <sz val="10"/>
        <color rgb="FF00B0F0"/>
        <rFont val="Arial"/>
        <family val="2"/>
      </rPr>
      <t>other</t>
    </r>
    <r>
      <rPr>
        <sz val="10"/>
        <rFont val="Arial"/>
        <family val="2"/>
        <charset val="1"/>
      </rPr>
      <t>)</t>
    </r>
  </si>
  <si>
    <r>
      <t>Custom built system (</t>
    </r>
    <r>
      <rPr>
        <sz val="10"/>
        <color rgb="FF00B0F0"/>
        <rFont val="Arial"/>
        <family val="2"/>
      </rPr>
      <t>other</t>
    </r>
    <r>
      <rPr>
        <sz val="10"/>
        <rFont val="Arial"/>
        <family val="2"/>
        <charset val="1"/>
      </rPr>
      <t>)</t>
    </r>
  </si>
  <si>
    <r>
      <t>Wetransfer (</t>
    </r>
    <r>
      <rPr>
        <sz val="10"/>
        <color rgb="FF00B0F0"/>
        <rFont val="Arial"/>
        <family val="2"/>
      </rPr>
      <t>other</t>
    </r>
    <r>
      <rPr>
        <sz val="10"/>
        <rFont val="Arial"/>
        <family val="2"/>
        <charset val="1"/>
      </rPr>
      <t>)</t>
    </r>
  </si>
  <si>
    <r>
      <t>SupportSystem tickets (</t>
    </r>
    <r>
      <rPr>
        <sz val="10"/>
        <color rgb="FF00B0F0"/>
        <rFont val="Arial"/>
        <family val="2"/>
      </rPr>
      <t>other</t>
    </r>
    <r>
      <rPr>
        <sz val="10"/>
        <rFont val="Arial"/>
        <family val="2"/>
        <charset val="1"/>
      </rPr>
      <t>)</t>
    </r>
  </si>
  <si>
    <r>
      <t>Service Now (</t>
    </r>
    <r>
      <rPr>
        <sz val="10"/>
        <color rgb="FF00B0F0"/>
        <rFont val="Arial"/>
        <family val="2"/>
      </rPr>
      <t>other</t>
    </r>
    <r>
      <rPr>
        <sz val="10"/>
        <rFont val="Arial"/>
        <family val="2"/>
        <charset val="1"/>
      </rPr>
      <t>)</t>
    </r>
  </si>
  <si>
    <r>
      <t>One way communication (CF &gt; user). Project tracking system (TraqBio). (</t>
    </r>
    <r>
      <rPr>
        <sz val="10"/>
        <color rgb="FF00B0F0"/>
        <rFont val="Arial"/>
        <family val="2"/>
      </rPr>
      <t>other</t>
    </r>
    <r>
      <rPr>
        <sz val="10"/>
        <rFont val="Arial"/>
        <family val="2"/>
        <charset val="1"/>
      </rPr>
      <t>)</t>
    </r>
  </si>
  <si>
    <t>mouse/rat</t>
  </si>
  <si>
    <t>(ELN)</t>
  </si>
  <si>
    <t>no, but would make sense</t>
  </si>
  <si>
    <t>Core Facility + Users</t>
  </si>
  <si>
    <t>Users, but CF also should</t>
  </si>
  <si>
    <t>Do you have a data management plan in place?</t>
  </si>
  <si>
    <t>No, but would be useful</t>
  </si>
  <si>
    <r>
      <t>Interaction and conversation with other leaders in the field. We also put a lot of effort into method development</t>
    </r>
    <r>
      <rPr>
        <sz val="10"/>
        <color rgb="FF00B0F0"/>
        <rFont val="Arial"/>
        <family val="2"/>
      </rPr>
      <t xml:space="preserve"> (LIMS)</t>
    </r>
  </si>
  <si>
    <t>train, advise, communicate with users</t>
  </si>
  <si>
    <t xml:space="preserve">samples, communication </t>
  </si>
  <si>
    <t xml:space="preserve"> experimental design,  samples , equipment , SOP, data analysis, user</t>
  </si>
  <si>
    <t>samples</t>
  </si>
  <si>
    <t xml:space="preserve">experimental design, samples ,communication, equipment </t>
  </si>
  <si>
    <t>experimental design, samples, SOP, equipment, data analysis</t>
  </si>
  <si>
    <t>samples, quality</t>
  </si>
  <si>
    <t>equipment, quality, samples, communication</t>
  </si>
  <si>
    <t>experimental design, samples, data analysis, communication</t>
  </si>
  <si>
    <t>samples, user</t>
  </si>
  <si>
    <t>samples, experimental design, data analysis, data management</t>
  </si>
  <si>
    <t>SOP, samples, data analysis, data management, reporting</t>
  </si>
  <si>
    <t>samples, experimental design</t>
  </si>
  <si>
    <t>quality, samples, equipment, data analysis</t>
  </si>
  <si>
    <t xml:space="preserve">samples, equipment, </t>
  </si>
  <si>
    <t>samples, experimental design, equipment, data analysis</t>
  </si>
  <si>
    <t>SOP, samples</t>
  </si>
  <si>
    <t>Core Facilities…</t>
  </si>
  <si>
    <t>communicate satisfactorily with users</t>
  </si>
  <si>
    <t>train users</t>
  </si>
  <si>
    <t>provide information on experimental design</t>
  </si>
  <si>
    <t>provide information on sample preparation</t>
  </si>
  <si>
    <t>provide written standard experimental protocols</t>
  </si>
  <si>
    <t>help troubleshoot</t>
  </si>
  <si>
    <t>provide guidance how to analyse raw data</t>
  </si>
  <si>
    <t>store raw data long term</t>
  </si>
  <si>
    <t>backup data</t>
  </si>
  <si>
    <t>keep documentation</t>
  </si>
  <si>
    <t>provide support for writing material and methods</t>
  </si>
  <si>
    <t>give guidance to increase data quality</t>
  </si>
  <si>
    <t>Flow cytometry</t>
  </si>
  <si>
    <t>If NOT using a communication platform, would it make sense to use one?  </t>
  </si>
  <si>
    <r>
      <t>If user/</t>
    </r>
    <r>
      <rPr>
        <b/>
        <sz val="10"/>
        <color rgb="FFFF0000"/>
        <rFont val="Arial"/>
        <family val="2"/>
      </rPr>
      <t>other</t>
    </r>
    <r>
      <rPr>
        <b/>
        <sz val="10"/>
        <rFont val="Arial"/>
        <family val="2"/>
      </rPr>
      <t xml:space="preserve">, do you think the core facility should also be responsible for </t>
    </r>
    <r>
      <rPr>
        <b/>
        <sz val="10"/>
        <color rgb="FFFF0000"/>
        <rFont val="Arial"/>
        <family val="2"/>
      </rPr>
      <t>storing</t>
    </r>
    <r>
      <rPr>
        <b/>
        <sz val="10"/>
        <rFont val="Arial"/>
        <family val="2"/>
      </rPr>
      <t xml:space="preserve"> the raw data?</t>
    </r>
  </si>
  <si>
    <t>quality control + good scientific practice</t>
  </si>
  <si>
    <t>pooled</t>
  </si>
  <si>
    <t>full-service</t>
  </si>
  <si>
    <t>self-service</t>
  </si>
  <si>
    <t>that it is individual for the questions the user wants to answer by doing microscopy</t>
  </si>
  <si>
    <t>The projects and questions behind are so different that one standard quality control does not make sense.</t>
  </si>
  <si>
    <t>The publication should include information about microscope settings.
I need publications for my evaluation (co-author, acknowledgement).</t>
  </si>
  <si>
    <t>good introduction, good support</t>
  </si>
  <si>
    <t>the need for a further incubation system, analysis  software update</t>
  </si>
  <si>
    <t>An additional microscope system</t>
  </si>
  <si>
    <r>
      <t xml:space="preserve">The publication should include information about microscope settings.
</t>
    </r>
    <r>
      <rPr>
        <sz val="10"/>
        <color rgb="FFFF0000"/>
        <rFont val="Arial"/>
        <family val="2"/>
      </rPr>
      <t>I need publications for my evaluation (co-author, acknowledgement).</t>
    </r>
  </si>
  <si>
    <t>equipment, data analysis</t>
  </si>
  <si>
    <t>The survey has 10 sections which are split on 10 different numbered sheet. Some sheet are futher split (a, b, c, bis).</t>
  </si>
  <si>
    <t>columns analysed manually</t>
  </si>
  <si>
    <t>hybrid-service</t>
  </si>
  <si>
    <t>Full-service</t>
  </si>
  <si>
    <t>Hybrid-service</t>
  </si>
  <si>
    <t>Self-service</t>
  </si>
  <si>
    <t>lack of staff</t>
  </si>
  <si>
    <t>management, IT, automation, documentation</t>
  </si>
  <si>
    <t>use of communication/management software</t>
  </si>
  <si>
    <t>2 different types</t>
  </si>
  <si>
    <t>better follow-up</t>
  </si>
  <si>
    <t>implementation, maintenance</t>
  </si>
  <si>
    <t>customisation</t>
  </si>
  <si>
    <t>SOP, controls, quality</t>
  </si>
  <si>
    <t xml:space="preserve">training, SOP, controls, quality </t>
  </si>
  <si>
    <t>CF management, IT infrastructure, software solutions</t>
  </si>
  <si>
    <t>good samples, controls, calibration</t>
  </si>
  <si>
    <t>management (facility, project, sample, data), IT infrastructure,  automation, documentation</t>
  </si>
  <si>
    <t>good training, good instruments</t>
  </si>
  <si>
    <t>Doing more research and development - this is the key to successful service activity because metabolomics is a rapidly evolving field.</t>
  </si>
  <si>
    <t>more staff to improve service standards and train new students in aseptic technique etc.</t>
  </si>
  <si>
    <t>Good experimental design: unfortunately not very much in our hands
Check samples, machines in good operating conditions: We are currently improving on the check samples 
More standardization of protocols for better comparability and less machine downtime: Works 80% of the time, but we also have to fulfil special requests
Sound statistical data analysis and interpretation: Would require awareness by users and willingness to use the support we offer.</t>
  </si>
  <si>
    <r>
      <t xml:space="preserve">Improved </t>
    </r>
    <r>
      <rPr>
        <sz val="10"/>
        <rFont val="Arial"/>
        <family val="2"/>
      </rPr>
      <t>staffing</t>
    </r>
    <r>
      <rPr>
        <sz val="10"/>
        <rFont val="Arial"/>
        <family val="2"/>
        <charset val="1"/>
      </rPr>
      <t xml:space="preserve"> - with the current staff we can keep facility operational 240users/4 staff members,  25 instrument/4 staff members - </t>
    </r>
    <r>
      <rPr>
        <sz val="10"/>
        <color rgb="FFFF0000"/>
        <rFont val="Arial"/>
        <family val="2"/>
      </rPr>
      <t>but we have not capacity to follow-up on any of these excellent ideas related to data management, data infrastructure which this survey is trying to monitor.</t>
    </r>
    <r>
      <rPr>
        <sz val="10"/>
        <rFont val="Arial"/>
        <family val="2"/>
        <charset val="1"/>
      </rPr>
      <t xml:space="preserve"> Also given the fast development in the field of imaging - another big need to is make sure that our hardware and software </t>
    </r>
    <r>
      <rPr>
        <sz val="10"/>
        <rFont val="Arial"/>
        <family val="2"/>
      </rPr>
      <t>infrastructure</t>
    </r>
    <r>
      <rPr>
        <sz val="10"/>
        <rFont val="Arial"/>
        <family val="2"/>
        <charset val="1"/>
      </rPr>
      <t xml:space="preserve"> is up-to date - state of the art. And yes, </t>
    </r>
    <r>
      <rPr>
        <sz val="10"/>
        <color rgb="FFFF0000"/>
        <rFont val="Arial"/>
        <family val="2"/>
      </rPr>
      <t>having centralized data management system with trackable data - mapped to the users and their project is another need which we see in front of us,</t>
    </r>
  </si>
  <si>
    <t>1) Good projects with sound biology 2) user commitment to sample preparation 3) in-depth discussion and defining all the steps to get to a optimal experimental design 4) up-to-date instrumentation exploited well</t>
  </si>
  <si>
    <t>Study preparation (i.e. defining how we will collect the data).
Study execution (i.e. collection of data).
Study reporting (i.e. analyzing and interpreting the data and archiving everything related to a given study).</t>
  </si>
  <si>
    <t>more personnel, better maintenance of equipment, improved infrastructure</t>
  </si>
  <si>
    <t>More staff for teaching and QC of instruments. More hardware to run data base like OMERO and teach users in its use</t>
  </si>
  <si>
    <t>Proper sample storage and sample preparation. QC of the analytical systems in use.</t>
  </si>
  <si>
    <t>data management for scientific data as well as for administrative / managerial tasks running the facility.</t>
  </si>
  <si>
    <t>Keep an eye out for new technology</t>
  </si>
  <si>
    <t>standardisation, parallelisation; reproducibility</t>
  </si>
  <si>
    <t>personnel resources, accessing funds as core facility for personnel/stuff future developments, funding for instrument maintenance and service contracts</t>
  </si>
  <si>
    <t>Good planning of experimental design and choosing the right protocol. 
High quality sample preparation. 
High quality imaging of samples. 
Qualified analysis of acquired images and good image analysis (if necessary with statistics). 
Discussion with "independent" researchers about the methods/results.</t>
  </si>
  <si>
    <t>user training, training of the personnel</t>
  </si>
  <si>
    <t>Highlighting the sample preparation quality. Good training/guidance of the users to acquire good quality results.</t>
  </si>
  <si>
    <t>To keep involved in the data evaluation after imaging (interpretation &amp; quantification of data)</t>
  </si>
  <si>
    <t>Investment into new cost-intensive machines that guarantee most modern analyses.</t>
  </si>
  <si>
    <t>- the steering committee needs to be extensively trained, years of suboptimal decisions created a very high employee exchange since not everyone tolerates the frustration coming from there. Unfortunately, all employees see their fellow colleagues in the sister facilities (microscopy, genomic center etc. ) being nicely treated by their steering comitees!</t>
  </si>
  <si>
    <t>detailed description of experimental processes</t>
  </si>
  <si>
    <t>Staff trained to appropriate level and have the ability to deliver quality training of users</t>
  </si>
  <si>
    <t>standardisation of experimental procedure
standardisation of sample preparation
randomization of samples
sample size calculation, biometric planning (statistic software)
experimenter blinding
data analysis to be controlled by a third p
availability of all raw and analyzed data
report writing</t>
  </si>
  <si>
    <t>Trustworthy, reliable, intelligent, diligent and skilled employees.</t>
  </si>
  <si>
    <t>combination of experienced technicians, standard procedures and training</t>
  </si>
  <si>
    <t>Expertise , equipment, enough staff</t>
  </si>
  <si>
    <t>- Experimental design. It should be tailored to the biological question and the statistical analysis to be performed. Basic, but critical and often overlooked.
- ISO9001 in place to manage technical problems</t>
  </si>
  <si>
    <t>Double storage systems, writtens sop's, a simple but effective qm system for measurements, a individualized basic training concept for new members depending on their project and/or working field</t>
  </si>
  <si>
    <t>Training / education of staff
Cutting edge equipment</t>
  </si>
  <si>
    <t>We need an adequate number of personnel 
 We also need the possibility to be upgraded by attending courses or conferences</t>
  </si>
  <si>
    <t>Data analysis (dedicated staff), data management (Omero server or similar)</t>
  </si>
  <si>
    <t>More professional project and data management system. Currently we perform all documentation, administration, experiment descriptions etc. manually in form of excel tables, powerpoint and word documents. This is highly vulnerable to human mistakes. A more professional and standardized software/setup would be really great.
Often we do have lots of administrative questions and issues regarding bills, grants, rights, etc. And very often nobody really knows how core facilities should operate and deal with such administrative challenges, i.e. there are no clear rules, nobody feels responsible or knows what to do. More administrative support for core facilities would be great</t>
  </si>
  <si>
    <t>A working and calibrated instrumentation as well as knowledgeable staff in imaging acquisition and analysis.</t>
  </si>
  <si>
    <t>proper training of researchers and provide an platform with expertise (website and personnel)</t>
  </si>
  <si>
    <t>deepened expertise
implementation of lacking technology
raising awareness of quantified data and the need to use matching technologies (not only confocal)</t>
  </si>
  <si>
    <t>well trained human staff</t>
  </si>
  <si>
    <t>We have SOP's standard documents as required under MHRA GLP regulations</t>
  </si>
  <si>
    <r>
      <rPr>
        <sz val="10"/>
        <color rgb="FFFF0000"/>
        <rFont val="Arial"/>
        <family val="2"/>
      </rPr>
      <t>Explain</t>
    </r>
    <r>
      <rPr>
        <sz val="10"/>
        <rFont val="Arial"/>
        <family val="2"/>
        <charset val="1"/>
      </rPr>
      <t xml:space="preserve"> </t>
    </r>
    <r>
      <rPr>
        <sz val="10"/>
        <color rgb="FFFF0000"/>
        <rFont val="Arial"/>
        <family val="2"/>
      </rPr>
      <t xml:space="preserve">the potential biological meaning of the data. </t>
    </r>
    <r>
      <rPr>
        <sz val="10"/>
        <rFont val="Arial"/>
        <family val="2"/>
        <charset val="1"/>
      </rPr>
      <t>Generation of new hypotheses.</t>
    </r>
  </si>
  <si>
    <t>High fluctuation of staff (in the facility and in the research groups=users).
IT infrastructure not up to date.
Keeping track on the latest developments.</t>
  </si>
  <si>
    <t>To some extent we have that and teach people in the beginning when they start working in the CF, but we do not control.</t>
  </si>
  <si>
    <t>Improved traceability, detection of errors, tracking of data.</t>
  </si>
  <si>
    <t>most of the people are not interested in Microscopy - they just want to acquire the data. I think that in future, the core facility has do provide everything- from sample preparation to acquisition and data analysis. For this the core facilities would need much more personal, which is always difficult in a university environment.</t>
  </si>
  <si>
    <r>
      <rPr>
        <sz val="10"/>
        <color rgb="FFFF0000"/>
        <rFont val="Arial"/>
        <family val="2"/>
      </rPr>
      <t>Developing</t>
    </r>
    <r>
      <rPr>
        <sz val="10"/>
        <rFont val="Arial"/>
        <family val="2"/>
        <charset val="1"/>
      </rPr>
      <t xml:space="preserve"> new technologies.</t>
    </r>
  </si>
  <si>
    <t>Lost of involvement government in research.</t>
  </si>
  <si>
    <t>Tell them about the traps and pitfalls.</t>
  </si>
  <si>
    <t>Personnel in bioinformatics.</t>
  </si>
  <si>
    <r>
      <t xml:space="preserve">They have to sign an </t>
    </r>
    <r>
      <rPr>
        <sz val="10"/>
        <color rgb="FFFF0000"/>
        <rFont val="Arial"/>
        <family val="2"/>
      </rPr>
      <t>Agreement form</t>
    </r>
    <r>
      <rPr>
        <sz val="10"/>
        <rFont val="Arial"/>
        <family val="2"/>
        <charset val="1"/>
      </rPr>
      <t>, they are backed up by the core facility operators, when using the facility but not thereafter anymore.
Differs slightly, when data are provided by the operator, here fully nalyzed data of that respective Experiments are provided., but no Evaluation of repeated experiments</t>
    </r>
  </si>
  <si>
    <t>Bureaucracy</t>
  </si>
  <si>
    <t>the core facility can only state that the user will get better results 
At the end it is the responsibility of the user (Freedom of research)</t>
  </si>
  <si>
    <t>Support with cost intensive image processing software.</t>
  </si>
  <si>
    <t>The Quick-and-Dirty approach does not work in analytical fields (in my opinion). Customers and institutions need to understand that consulting is required from the experimental design to the actual interpretation of data. Facilities that are operated as pure data production platforms are in a high risk to produce low quality data, but do the (in most cases) higher throughput, they put a lot of pressure on facilities that provide support on several levels of the experimental process.</t>
  </si>
  <si>
    <t>actually nothing unfortunately</t>
  </si>
  <si>
    <t>- the steering committee needs to be extensively trained, years of suboptimal decisions created a very high employee exchange since not everyone tolerates the frustration coming from there. Unfortunately, all employees see their fellow colleagues in the sister facilities (microscopy, genomic center etc. ) being nicely treated by their steering committees!</t>
  </si>
  <si>
    <t>data amount and management</t>
  </si>
  <si>
    <t>I train the users until proficiency, so I know they will follow my instructions.</t>
  </si>
  <si>
    <t>Lack of funding to purchase novel instrumentation</t>
  </si>
  <si>
    <t>not enough resource (staff and financial)</t>
  </si>
  <si>
    <t>The institute has one but not specific to our core facility</t>
  </si>
  <si>
    <t>sustainability, lack of resources (personal, investment)</t>
  </si>
  <si>
    <t>processing workflows for data analysis needs to be automatized</t>
  </si>
  <si>
    <t>Increased bureaucracy. eg. ever-greater reporting requirements sapping time away from real progress.
Low-budget commercial vendors.</t>
  </si>
  <si>
    <t>The platforms and methods are fastly changing, it is difficult to select the best technologies. Unfortunately in our country the warranty contracts are extremely expensive for the NGS instruments.</t>
  </si>
  <si>
    <t>To enrol more  experienced researchers.</t>
  </si>
  <si>
    <t>Allocation of space is difficult, and the amount of lab space with high rent is constantly reduced to earn cost savings.</t>
  </si>
  <si>
    <t>I hate word "challenges", we just need to work to our best to provide maximum information to our users about their samples to help them move on in their studies</t>
  </si>
  <si>
    <r>
      <t xml:space="preserve">we </t>
    </r>
    <r>
      <rPr>
        <sz val="10"/>
        <color rgb="FFFF0000"/>
        <rFont val="Arial"/>
        <family val="2"/>
      </rPr>
      <t>make the information as easily accessible as we reasonably can</t>
    </r>
    <r>
      <rPr>
        <sz val="10"/>
        <rFont val="Arial"/>
        <family val="2"/>
        <charset val="1"/>
      </rPr>
      <t>.</t>
    </r>
  </si>
  <si>
    <t>1- Staffing is not easy in the French academic sector.
2- We can't do much to improve the situation as each species pauses specific challenges in sample preparation (outside of the biomedical field). The research teams master and run the specific protocols and I can't imagine the core staff efficiently running so many and diverse protocols. Anyway, when samples come from very distant locations (Africa, South America...) we have to work with what we get as sampling campaigns are organized at best once a year. Outsourcing is not an option as most NGS companies refuse working with sub-optimal samples.</t>
  </si>
  <si>
    <t>Double storage systems, written sop's, a simple but effective qm system for measurements, a individualized basic training concept for new members depending on their project and/or working field</t>
  </si>
  <si>
    <t>Because of the low staff we fall back behind other research facilities therefore we need to improve funding and staff beside the routine daily work</t>
  </si>
  <si>
    <t>Face to face &amp; via email, depends on who they are and which research group they come from..</t>
  </si>
  <si>
    <t>- A professional lab management system needs to be highly flexible, because we do hardly have standardized workflows, but very diverse and project-specific workflows. At the same time it should be cheap too ;)
- More administrative support needs more (wo)man-power, which is very hard to achieve.</t>
  </si>
  <si>
    <t>join meetings,
organize workshops and topic focussed workshops
equipment demonstrations
invited speakers
trainings
facility website
including an TEACH &amp;TECH section in weekly facility update email</t>
  </si>
  <si>
    <t>time and patience
dynamics of userbase / research interest -&gt; some generalization in required</t>
  </si>
  <si>
    <t>LIMS for projects management
Our platform is certified ISO 9001as well as NFX50-900 (French norm dedicated to technological core facilities)</t>
  </si>
  <si>
    <t>For most universities, the concept of a research-driven facility is new. Thus, it is very challenging to implement administrative and organisational prerequisites for running such a facility within the structure of the university.</t>
  </si>
  <si>
    <t>increased data amounts, need for better analysis support to the user (more funding to offer this)</t>
  </si>
  <si>
    <t>Lack of prioritising research facilities investment and structures by faculty.</t>
  </si>
  <si>
    <t>internal database and European database</t>
  </si>
  <si>
    <t>Use my experience as a developmental biologist and my experience gained internationally from networking with colleagues in the field of transgenic technologies...</t>
  </si>
  <si>
    <t xml:space="preserve">Even after extensive training, users tend to forget the basics </t>
  </si>
  <si>
    <t>Yes, core users are normally not as familiar with the data produced as the core facility members are. Therefore, it is necessary and in most cases also wanted by the users to involve the core facility.</t>
  </si>
  <si>
    <t>Yes, because in addition of being head of the facility I am also a developmental biologist and collaborate on research projects whenever I get the possibility to do it.</t>
  </si>
  <si>
    <r>
      <t xml:space="preserve">Yes. Important for all aspects of paper and biological data interpretation/discussion of the results. </t>
    </r>
    <r>
      <rPr>
        <sz val="10"/>
        <color rgb="FFFF0000"/>
        <rFont val="Arial"/>
        <family val="2"/>
      </rPr>
      <t>In case the core facility data represent an important part of the biological findings in a paper the core facility member(s) have to be coauthors.</t>
    </r>
  </si>
  <si>
    <t>Yes -  facility can assure that material and methods section related to the technical aspect of the project is described correctly. Plus it is essential to include facility in acknowledgements  - and to specify which aspects of the research project were done with the support of the  facility - this is something what scientific journals and their editors should proactively ask for.</t>
  </si>
  <si>
    <t xml:space="preserve">people are highly encouraged to provide the manuscript, but they don't always do it. During lectures, we also emphasize importance of data quality (figure labelling, detailed M&amp;M section) with bad examples from published literature. </t>
  </si>
  <si>
    <t>for sure, very often complete nonsense is written or even worth done during the ongoing study. There is no real control mechanism established.
Even if we tried.</t>
  </si>
  <si>
    <t>Because the scientist at the Core facility have a deep understanding of the validity of the data and a very broad and deep overview on the topic derived from multiple projects/results they have contributed to</t>
  </si>
  <si>
    <t>Adherence to standardised reporting of methods and analysis procedures.</t>
  </si>
  <si>
    <t>Some users lack experience in using the machines and in interpreting data and therefore make fundamental mistakes.</t>
  </si>
  <si>
    <t>particularly high-impact publications strongly support our applications for new advanced equipment which benefits future quality of data.
We potentially have more expertise in interpreting some data than the group that acquired it, however we are rarely asked to contribute this.</t>
  </si>
  <si>
    <t>usually it's just me who knows about the experimental details</t>
  </si>
  <si>
    <t>Scientists at the core facility usually are more skilful in writing publications</t>
  </si>
  <si>
    <t>the experts on the analysis performed by the core facility are the staff of the core facility. Further state of the art publications are often known to the staff of the core facility.</t>
  </si>
  <si>
    <r>
      <t xml:space="preserve">We exclusively operate that way, i.e. for every new project we inform the user that </t>
    </r>
    <r>
      <rPr>
        <sz val="10"/>
        <color rgb="FFFF0000"/>
        <rFont val="Arial"/>
        <family val="2"/>
      </rPr>
      <t>if he/she publishes data that was acquired together with us we want to be co-authors on the respective publication and</t>
    </r>
    <r>
      <rPr>
        <sz val="10"/>
        <rFont val="Arial"/>
        <family val="2"/>
        <charset val="1"/>
      </rPr>
      <t xml:space="preserve"> </t>
    </r>
    <r>
      <rPr>
        <sz val="10"/>
        <color rgb="FFFF0000"/>
        <rFont val="Arial"/>
        <family val="2"/>
      </rPr>
      <t>we let the user sign this agreement.</t>
    </r>
  </si>
  <si>
    <t>Integrating difference competences allows to describe the model more thoroughly and to Interpret the results more completely</t>
  </si>
  <si>
    <r>
      <t xml:space="preserve">Yes and no - the researcher should be responsible (and knowing) about the data published. The Core should be able to offer the needed support. </t>
    </r>
    <r>
      <rPr>
        <sz val="10"/>
        <color rgb="FFFF0000"/>
        <rFont val="Arial"/>
        <family val="2"/>
      </rPr>
      <t>These tasks should be clearly defined and communicated.</t>
    </r>
  </si>
  <si>
    <t>hands on training in aseptic and cell culture techniques for all new PhD students</t>
  </si>
  <si>
    <t>Mostly yes but there are aspects we could certainly improve. Capturing complex workflows is difficult and time consuming.</t>
  </si>
  <si>
    <r>
      <t xml:space="preserve">Move to </t>
    </r>
    <r>
      <rPr>
        <sz val="10"/>
        <color rgb="FFFF0000"/>
        <rFont val="Arial"/>
        <family val="2"/>
      </rPr>
      <t>electronic Lab books</t>
    </r>
    <r>
      <rPr>
        <sz val="10"/>
        <rFont val="Arial"/>
        <family val="2"/>
        <charset val="1"/>
      </rPr>
      <t>; data centrally accessible to users and core staff where appropriate</t>
    </r>
  </si>
  <si>
    <t>I am taking care mainly on the quality of the acquisition by maintaining and training users. For analysis there is another facility that can be used with dedicated people.</t>
  </si>
  <si>
    <r>
      <t xml:space="preserve">the institutional server provides active storage that can be accessible only by investigators and </t>
    </r>
    <r>
      <rPr>
        <sz val="10"/>
        <color rgb="FFFF0000"/>
        <rFont val="Arial"/>
        <family val="2"/>
      </rPr>
      <t>archive storage</t>
    </r>
    <r>
      <rPr>
        <sz val="10"/>
        <rFont val="Arial"/>
        <family val="2"/>
        <charset val="1"/>
      </rPr>
      <t>. As such raw data can archived on a specific folder to a specific project to be retrieved in the future.</t>
    </r>
  </si>
  <si>
    <t>We perform the exploratory statistical analysis following the advice of our statistician and/or bioinformatician</t>
  </si>
  <si>
    <r>
      <t xml:space="preserve">Mainly based on </t>
    </r>
    <r>
      <rPr>
        <sz val="10"/>
        <color rgb="FFFF0000"/>
        <rFont val="Arial"/>
        <family val="2"/>
      </rPr>
      <t>QCs</t>
    </r>
    <r>
      <rPr>
        <sz val="10"/>
        <rFont val="Arial"/>
        <family val="2"/>
        <charset val="1"/>
      </rPr>
      <t xml:space="preserve">, as well as </t>
    </r>
    <r>
      <rPr>
        <sz val="10"/>
        <color rgb="FFFF0000"/>
        <rFont val="Arial"/>
        <family val="2"/>
      </rPr>
      <t>internal</t>
    </r>
    <r>
      <rPr>
        <sz val="10"/>
        <rFont val="Arial"/>
        <family val="2"/>
        <charset val="1"/>
      </rPr>
      <t xml:space="preserve"> </t>
    </r>
    <r>
      <rPr>
        <sz val="10"/>
        <color rgb="FFFF0000"/>
        <rFont val="Arial"/>
        <family val="2"/>
      </rPr>
      <t>standards</t>
    </r>
    <r>
      <rPr>
        <sz val="10"/>
        <rFont val="Arial"/>
        <family val="2"/>
        <charset val="1"/>
      </rPr>
      <t xml:space="preserve"> and </t>
    </r>
    <r>
      <rPr>
        <sz val="10"/>
        <color rgb="FFFF0000"/>
        <rFont val="Arial"/>
        <family val="2"/>
      </rPr>
      <t>calibration</t>
    </r>
    <r>
      <rPr>
        <sz val="10"/>
        <rFont val="Arial"/>
        <family val="2"/>
        <charset val="1"/>
      </rPr>
      <t xml:space="preserve"> curves for quantification methods (that in case go through the process of validation before application)</t>
    </r>
  </si>
  <si>
    <r>
      <rPr>
        <sz val="10"/>
        <color rgb="FFFF0000"/>
        <rFont val="Arial"/>
        <family val="2"/>
      </rPr>
      <t>Data management system</t>
    </r>
    <r>
      <rPr>
        <sz val="10"/>
        <rFont val="Arial"/>
        <family val="2"/>
        <charset val="1"/>
      </rPr>
      <t xml:space="preserve"> (database) on in-house server. The database stores the </t>
    </r>
    <r>
      <rPr>
        <sz val="10"/>
        <color rgb="FFFF0000"/>
        <rFont val="Arial"/>
        <family val="2"/>
      </rPr>
      <t>Sample IDs, the experiment and project they belong to</t>
    </r>
    <r>
      <rPr>
        <sz val="10"/>
        <rFont val="Arial"/>
        <family val="2"/>
        <charset val="1"/>
      </rPr>
      <t xml:space="preserve">. </t>
    </r>
    <r>
      <rPr>
        <sz val="10"/>
        <color rgb="FFFF0000"/>
        <rFont val="Arial"/>
        <family val="2"/>
      </rPr>
      <t>Metadata</t>
    </r>
    <r>
      <rPr>
        <sz val="10"/>
        <rFont val="Arial"/>
        <family val="2"/>
        <charset val="1"/>
      </rPr>
      <t xml:space="preserve"> are also stored (e.g. figures).</t>
    </r>
    <r>
      <rPr>
        <sz val="10"/>
        <rFont val="Arial"/>
        <family val="2"/>
      </rPr>
      <t xml:space="preserve"> (</t>
    </r>
    <r>
      <rPr>
        <sz val="10"/>
        <color rgb="FF00B0F0"/>
        <rFont val="Arial"/>
        <family val="2"/>
      </rPr>
      <t>LIMS</t>
    </r>
    <r>
      <rPr>
        <sz val="10"/>
        <rFont val="Arial"/>
        <family val="2"/>
      </rPr>
      <t>)</t>
    </r>
  </si>
  <si>
    <t>The core facility personnel, under the guidance of the core facility bio-IT responsible and core manager (me). Most setups are rather simple and the same tests can be used often (e.g. t-tests and ANOVA tests). For more complicated setups, the bio-IT responsible takes over and analyzes the data using more complicated tests.</t>
  </si>
  <si>
    <r>
      <t xml:space="preserve">We recommend deposing in </t>
    </r>
    <r>
      <rPr>
        <sz val="10"/>
        <color rgb="FFFF0000"/>
        <rFont val="Arial"/>
        <family val="2"/>
      </rPr>
      <t>Proteomexchange</t>
    </r>
    <r>
      <rPr>
        <sz val="10"/>
        <rFont val="Arial"/>
        <family val="2"/>
        <charset val="1"/>
      </rPr>
      <t xml:space="preserve"> all raw data for manuscripts submitted and we support the process. But we cannot be sure that our users actually do it.</t>
    </r>
  </si>
  <si>
    <r>
      <t xml:space="preserve">Concerning the data we produce, all steps are </t>
    </r>
    <r>
      <rPr>
        <sz val="10"/>
        <rFont val="Arial"/>
        <family val="2"/>
      </rPr>
      <t>verified</t>
    </r>
    <r>
      <rPr>
        <sz val="10"/>
        <rFont val="Arial"/>
        <family val="2"/>
        <charset val="1"/>
      </rPr>
      <t xml:space="preserve"> according to our</t>
    </r>
    <r>
      <rPr>
        <sz val="10"/>
        <color rgb="FFFF0000"/>
        <rFont val="Arial"/>
        <family val="2"/>
      </rPr>
      <t xml:space="preserve"> verification procedures</t>
    </r>
    <r>
      <rPr>
        <sz val="10"/>
        <rFont val="Arial"/>
        <family val="2"/>
        <charset val="1"/>
      </rPr>
      <t>: collection, primary analysis, statistical analysis, interpretation and reporting.</t>
    </r>
  </si>
  <si>
    <r>
      <t xml:space="preserve">The systems used for analysis are </t>
    </r>
    <r>
      <rPr>
        <sz val="10"/>
        <color rgb="FFFF0000"/>
        <rFont val="Arial"/>
        <family val="2"/>
      </rPr>
      <t>checked</t>
    </r>
    <r>
      <rPr>
        <sz val="10"/>
        <rFont val="Arial"/>
        <family val="2"/>
        <charset val="1"/>
      </rPr>
      <t xml:space="preserve"> before and after every batch of samples using </t>
    </r>
    <r>
      <rPr>
        <sz val="10"/>
        <color rgb="FFFF0000"/>
        <rFont val="Arial"/>
        <family val="2"/>
      </rPr>
      <t>standardized</t>
    </r>
    <r>
      <rPr>
        <sz val="10"/>
        <rFont val="Arial"/>
        <family val="2"/>
        <charset val="1"/>
      </rPr>
      <t xml:space="preserve"> sample, which is being purchased from a validated manufacturer.</t>
    </r>
  </si>
  <si>
    <t>In case of the core facility, the responsible staff is either educated in bioinformatics with enough knowledge in statistics or is educated on the job. Connection to mathematicians specializing in statistical analysis of scientific data is available.</t>
  </si>
  <si>
    <t>We at the moment check HPLC-MS and NMR data, before the customer get the ordered substances.</t>
  </si>
  <si>
    <r>
      <t xml:space="preserve">report of the </t>
    </r>
    <r>
      <rPr>
        <sz val="10"/>
        <color rgb="FFFF0000"/>
        <rFont val="Arial"/>
        <family val="2"/>
      </rPr>
      <t>statistical</t>
    </r>
    <r>
      <rPr>
        <sz val="10"/>
        <rFont val="Arial"/>
        <family val="2"/>
        <charset val="1"/>
      </rPr>
      <t xml:space="preserve"> assignment</t>
    </r>
  </si>
  <si>
    <t>We do not have the capacity/manpower to do statistical analysis for all of the many experiments which are carried out in the facility. Our focus is therefore out of necessity on the experimental and technical aspects.</t>
  </si>
  <si>
    <r>
      <t xml:space="preserve">We developed </t>
    </r>
    <r>
      <rPr>
        <sz val="10"/>
        <color rgb="FFFF0000"/>
        <rFont val="Arial"/>
        <family val="2"/>
      </rPr>
      <t>CID</t>
    </r>
    <r>
      <rPr>
        <sz val="10"/>
        <rFont val="Arial"/>
        <family val="2"/>
        <charset val="1"/>
      </rPr>
      <t xml:space="preserve"> https://imagerie.cochin.inserm.fr/sis4web/home3.php where we can provide a external link to data.
For example, at the end of this paper :  https://doi.org/10.1111/boc.201900055
"A stack with reduced number   of sections (1 out of 5) is   available online https://imagerie.cochin.inserm.fr/openData.php?id=4740776 for    visualization or download after registration with a valid email address to get a password."</t>
    </r>
  </si>
  <si>
    <t>mostly users do it themselves if not we hired a data analysis specialist (Biophysical studies and study on data analysis in Switzerland)</t>
  </si>
  <si>
    <t>the responsibility for the research data belongs to the research groups !</t>
  </si>
  <si>
    <t>Guidance is given to the user but then the statistical analysis is left to the user.</t>
  </si>
  <si>
    <t>It is the policy of our institute that all data generated through platforms is checked by the platform staff/head before publication (by poster, talk, or paper). This does rely on the honesty of the researcher though!</t>
  </si>
  <si>
    <t>We have a bioinformatic sub-core facility and we provide full data analysis service for fee.</t>
  </si>
  <si>
    <t>It depends on the specific project, collaboration mode and other aspects. Typically, final statistics and interpretation is done by users alone. Sometimes CF members are involved.</t>
  </si>
  <si>
    <t>we use depository PRIDE, the raw data are liked to the published study, not directly to individual pictures</t>
  </si>
  <si>
    <t>we perform some genomic / RNAseq analyses. We collaborate with the bioinformatics core facility for those analyses.</t>
  </si>
  <si>
    <t>core facility on a very basic level,, advanced statistics must come from the user</t>
  </si>
  <si>
    <r>
      <t xml:space="preserve">correct answer could be "no", but critical results are </t>
    </r>
    <r>
      <rPr>
        <sz val="10"/>
        <color rgb="FFFF0000"/>
        <rFont val="Arial"/>
        <family val="2"/>
      </rPr>
      <t>checked manually</t>
    </r>
  </si>
  <si>
    <t>Guidance only, training in collaboration with local university and external company</t>
  </si>
  <si>
    <r>
      <t xml:space="preserve">We always perform some superficial clustering and PCA analysis of every dataset to check that </t>
    </r>
    <r>
      <rPr>
        <sz val="10"/>
        <color rgb="FFFF0000"/>
        <rFont val="Arial"/>
        <family val="2"/>
      </rPr>
      <t>replicates</t>
    </r>
    <r>
      <rPr>
        <sz val="10"/>
        <rFont val="Arial"/>
        <family val="2"/>
        <charset val="1"/>
      </rPr>
      <t xml:space="preserve"> are clustering as expected (if replicates have been performed ;). We also check coefficient of variances between replicates. We run a </t>
    </r>
    <r>
      <rPr>
        <sz val="10"/>
        <color rgb="FFFF0000"/>
        <rFont val="Arial"/>
        <family val="2"/>
      </rPr>
      <t>QC sample</t>
    </r>
    <r>
      <rPr>
        <sz val="10"/>
        <rFont val="Arial"/>
        <family val="2"/>
        <charset val="1"/>
      </rPr>
      <t xml:space="preserve"> on our mass spectrometers at least every 24 samples and before and after every new project to ensure optimal performance of our mass spectrometers.
Further biology-driven QCs (do we see whats already known or expected from a given experiment) gets typically performed by the user, who is the biological expert....</t>
    </r>
  </si>
  <si>
    <t>yes and no: 
- we provide all support for correct sampling, whereas the interpretation can be also in need of expertise of the field. this responsibility lies with the PI.
- We do provide additional support for machine learning based routines, where we enforce an training.</t>
  </si>
  <si>
    <r>
      <t xml:space="preserve">this is under development with our library - </t>
    </r>
    <r>
      <rPr>
        <sz val="10"/>
        <color rgb="FFFF0000"/>
        <rFont val="Arial"/>
        <family val="2"/>
      </rPr>
      <t>data repository</t>
    </r>
    <r>
      <rPr>
        <sz val="10"/>
        <rFont val="Arial"/>
        <family val="2"/>
        <charset val="1"/>
      </rPr>
      <t xml:space="preserve"> for raw data and analysis scripts.
we do provide an github, which is underused as resource - but under further development</t>
    </r>
  </si>
  <si>
    <r>
      <t xml:space="preserve">checked against international cell line database, </t>
    </r>
    <r>
      <rPr>
        <sz val="10"/>
        <color rgb="FFFF0000"/>
        <rFont val="Arial"/>
        <family val="2"/>
      </rPr>
      <t xml:space="preserve">second person </t>
    </r>
    <r>
      <rPr>
        <sz val="10"/>
        <rFont val="Arial"/>
        <family val="2"/>
        <charset val="1"/>
      </rPr>
      <t>in the team will check the data</t>
    </r>
  </si>
  <si>
    <r>
      <t xml:space="preserve">All studies performed by us receive a </t>
    </r>
    <r>
      <rPr>
        <sz val="10"/>
        <color rgb="FFFF0000"/>
        <rFont val="Arial"/>
        <family val="2"/>
      </rPr>
      <t>unique identifier number</t>
    </r>
    <r>
      <rPr>
        <sz val="10"/>
        <rFont val="Arial"/>
        <family val="2"/>
        <charset val="1"/>
      </rPr>
      <t>.</t>
    </r>
  </si>
  <si>
    <t>Yes - we have to have trackable data in conjunction with electronic lab book ELN, our institute is now going into this direction , yet we are not fully there.</t>
  </si>
  <si>
    <t>Computer hard drives. Users are responsible for moving/saving their data.</t>
  </si>
  <si>
    <t>Users, CF should not</t>
  </si>
  <si>
    <r>
      <t xml:space="preserve">by user, mostly on </t>
    </r>
    <r>
      <rPr>
        <sz val="10"/>
        <color rgb="FFFF0000"/>
        <rFont val="Arial"/>
        <family val="2"/>
      </rPr>
      <t>external hard disks</t>
    </r>
  </si>
  <si>
    <r>
      <t xml:space="preserve">Via a data </t>
    </r>
    <r>
      <rPr>
        <sz val="10"/>
        <color rgb="FFFF0000"/>
        <rFont val="Arial"/>
        <family val="2"/>
      </rPr>
      <t>server</t>
    </r>
    <r>
      <rPr>
        <sz val="10"/>
        <rFont val="Arial"/>
        <family val="2"/>
        <charset val="1"/>
      </rPr>
      <t xml:space="preserve"> provided by the core facility.
flow cytometry analyser: done by the user
cell sorter, mass cytometer: done by the facility</t>
    </r>
  </si>
  <si>
    <r>
      <t xml:space="preserve">Either directly via the medma </t>
    </r>
    <r>
      <rPr>
        <sz val="10"/>
        <color rgb="FFFF0000"/>
        <rFont val="Arial"/>
        <family val="2"/>
      </rPr>
      <t>network</t>
    </r>
    <r>
      <rPr>
        <sz val="10"/>
        <rFont val="Arial"/>
        <family val="2"/>
        <charset val="1"/>
      </rPr>
      <t xml:space="preserve"> to the individual server or by transferring data to a </t>
    </r>
    <r>
      <rPr>
        <sz val="10"/>
        <color rgb="FFFF0000"/>
        <rFont val="Arial"/>
        <family val="2"/>
      </rPr>
      <t>hard drive</t>
    </r>
    <r>
      <rPr>
        <sz val="10"/>
        <rFont val="Arial"/>
        <family val="2"/>
        <charset val="1"/>
      </rPr>
      <t xml:space="preserve"> or sending data via download link</t>
    </r>
  </si>
  <si>
    <r>
      <rPr>
        <sz val="10"/>
        <color rgb="FFFF0000"/>
        <rFont val="Arial"/>
        <family val="2"/>
      </rPr>
      <t>e-mail</t>
    </r>
    <r>
      <rPr>
        <sz val="10"/>
        <rFont val="Arial"/>
        <family val="2"/>
        <charset val="1"/>
      </rPr>
      <t>, institute-</t>
    </r>
    <r>
      <rPr>
        <sz val="10"/>
        <color rgb="FFFF0000"/>
        <rFont val="Arial"/>
        <family val="2"/>
      </rPr>
      <t>own cloud</t>
    </r>
  </si>
  <si>
    <t>own Cloud</t>
  </si>
  <si>
    <t>generally the users, for sc mRNA the platform</t>
  </si>
  <si>
    <r>
      <rPr>
        <sz val="10"/>
        <color rgb="FFFF0000"/>
        <rFont val="Arial"/>
        <family val="2"/>
      </rPr>
      <t>USB</t>
    </r>
    <r>
      <rPr>
        <sz val="10"/>
        <rFont val="Arial"/>
        <family val="2"/>
        <charset val="1"/>
      </rPr>
      <t xml:space="preserve"> or other external devices. We also provide sometimes direct link to their home </t>
    </r>
    <r>
      <rPr>
        <sz val="10"/>
        <color rgb="FFFF0000"/>
        <rFont val="Arial"/>
        <family val="2"/>
      </rPr>
      <t>servers</t>
    </r>
    <r>
      <rPr>
        <sz val="10"/>
        <rFont val="Arial"/>
        <family val="2"/>
        <charset val="1"/>
      </rPr>
      <t xml:space="preserve"> or also possible via our own </t>
    </r>
    <r>
      <rPr>
        <sz val="10"/>
        <color rgb="FFFF0000"/>
        <rFont val="Arial"/>
        <family val="2"/>
      </rPr>
      <t>FTP</t>
    </r>
    <r>
      <rPr>
        <sz val="10"/>
        <rFont val="Arial"/>
        <family val="2"/>
        <charset val="1"/>
      </rPr>
      <t xml:space="preserve"> server.
We teach users to and how to take care of backups.</t>
    </r>
  </si>
  <si>
    <t>This is not central to any core facility, but central to a larger research infrastructure (core facilities are normally embedded within a larger RI).</t>
  </si>
  <si>
    <t>Images from facility fluorescent microscope</t>
  </si>
  <si>
    <t>NAS hosted by our facility, backuped nightly to a local, mirrored server system hosted by the clinic IT department for users that book our fully assisted services</t>
  </si>
  <si>
    <t>It should be an institutional decision but the end user should have ultimate ownership</t>
  </si>
  <si>
    <t>own cloud</t>
  </si>
  <si>
    <t>Internal  server</t>
  </si>
  <si>
    <t>Actually data are stored at the core facilities external drive, but we are moving towards public repository</t>
  </si>
  <si>
    <t>Own Cloud Server</t>
  </si>
  <si>
    <t>FTP server offered and preferred option</t>
  </si>
  <si>
    <t>to external users if requested</t>
  </si>
  <si>
    <t>we do not provide RAW data. Only processed data is transferred to the user. We use GigaMove or Email ... depends a bit on file size.</t>
  </si>
  <si>
    <t>images transferred via a drop off system</t>
  </si>
  <si>
    <t>PIs are responsible for their experiments and should also be responsible for their long term storage. Core facilities are responsible to acquire quality controlled data but are not responsible for their storage (yet).</t>
  </si>
  <si>
    <t>There should be no responsibilities on the Data storage from the facility prospective.</t>
  </si>
  <si>
    <t>any other connection to are strictly forbidden</t>
  </si>
  <si>
    <t>Face to face meetings during the project planning and execution.</t>
  </si>
  <si>
    <t>SOPs. 
Electronic guides on imaging optimized for each system (work in progress). 
Lunch seminars
Courses</t>
  </si>
  <si>
    <t>Training, guidance during planning, execution and Analysis
however some people do not want advice, better trust their  direct supervisors, PIs</t>
  </si>
  <si>
    <t>In from of detailed protocols or individual project-specific contact via mail with papers or protocols.</t>
  </si>
  <si>
    <t>We optimize the study protocol.</t>
  </si>
  <si>
    <t>personal recommendation on how to improve preparation and then checking the results together</t>
  </si>
  <si>
    <t>Recommendation during sample preprocessing</t>
  </si>
  <si>
    <t>QC service, assistance and counselling</t>
  </si>
  <si>
    <t>Protocols with different options to reach the best outcome</t>
  </si>
  <si>
    <t>Through discussion about experimental design and appropriate controls. Will also provide QC data for equipment if relevant but everything is on request, so they only get guidance if they ask for it.</t>
  </si>
  <si>
    <t>We plan together the experiments, starting from the correct number of animals and the correct number of groups to be included.</t>
  </si>
  <si>
    <t>personal assistance on demand / request
assess needs during initial instrument trainings
join in joined-group meetings
provide a platform during scientific institute retreats</t>
  </si>
  <si>
    <t>recommendations</t>
  </si>
  <si>
    <r>
      <t xml:space="preserve">We usually do the planning </t>
    </r>
    <r>
      <rPr>
        <sz val="10"/>
        <color rgb="FFC00000"/>
        <rFont val="Arial"/>
        <family val="2"/>
      </rPr>
      <t>ourselves</t>
    </r>
    <r>
      <rPr>
        <sz val="10"/>
        <rFont val="Arial"/>
        <family val="2"/>
        <charset val="1"/>
      </rPr>
      <t xml:space="preserve"> (full-service).</t>
    </r>
  </si>
  <si>
    <r>
      <t xml:space="preserve">Mandatory up-front project </t>
    </r>
    <r>
      <rPr>
        <sz val="10"/>
        <color rgb="FFC00000"/>
        <rFont val="Arial"/>
        <family val="2"/>
      </rPr>
      <t>discussions</t>
    </r>
    <r>
      <rPr>
        <sz val="10"/>
        <rFont val="Arial"/>
        <family val="2"/>
        <charset val="1"/>
      </rPr>
      <t xml:space="preserve"> for all new projects</t>
    </r>
  </si>
  <si>
    <r>
      <t xml:space="preserve">Every new users gets a </t>
    </r>
    <r>
      <rPr>
        <sz val="10"/>
        <color rgb="FFC00000"/>
        <rFont val="Arial"/>
        <family val="2"/>
      </rPr>
      <t>personal meeting</t>
    </r>
    <r>
      <rPr>
        <sz val="10"/>
        <rFont val="Arial"/>
        <family val="2"/>
        <charset val="1"/>
      </rPr>
      <t xml:space="preserve"> with us discussing the project and what we consider the right instrument and experimental design also some information about the proper statistics. If quantification is needed or wanted its a longer process. Also we do sometimes pilot experiments with the users.</t>
    </r>
  </si>
  <si>
    <t>We don't have open-access instrumentation.
Users need to have the general idea on how we proceed with the measurement but they don't need to know about the principle of instrument function. They simply need to understand the workflow (from sample preparation through data acquisition and to data processing and analysis).</t>
  </si>
  <si>
    <t>Handling the fish, injections and also using our microscopes</t>
  </si>
  <si>
    <t>Training is performed for some techniques. For other (UCA, PEAQ-DSC automat), only engineers are in charge of the measurements</t>
  </si>
  <si>
    <r>
      <t xml:space="preserve">There are two lines - training about </t>
    </r>
    <r>
      <rPr>
        <sz val="10"/>
        <color rgb="FFFF0000"/>
        <rFont val="Arial"/>
        <family val="2"/>
      </rPr>
      <t>usage of equipment</t>
    </r>
    <r>
      <rPr>
        <sz val="10"/>
        <rFont val="Arial"/>
        <family val="2"/>
        <charset val="1"/>
      </rPr>
      <t xml:space="preserve"> (it is relevant only for users working in lab and for this case is mandatory) and training about </t>
    </r>
    <r>
      <rPr>
        <sz val="10"/>
        <color rgb="FFFF0000"/>
        <rFont val="Arial"/>
        <family val="2"/>
      </rPr>
      <t>principles of methods, design of study, data analysis,</t>
    </r>
    <r>
      <rPr>
        <sz val="10"/>
        <rFont val="Arial"/>
        <family val="2"/>
        <charset val="1"/>
      </rPr>
      <t xml:space="preserve"> etc. - this is voluntary and based on some courses or workshops</t>
    </r>
  </si>
  <si>
    <t>By mail, by phone and through "in vivo" discussions. Discussions constitute the preferred way of communication in order to understand the biological question, make sure that the experiment has been designed properly and suggest the best approach and/or analysis type to produce the most useful data (to answer the question).</t>
  </si>
  <si>
    <t>It should be fully searchable, and exportable in standard format.</t>
  </si>
  <si>
    <t>Having a kind of a chat system along with project/sample administration. Each users' project would have a chat possibility with archiving properties so that every step can be traced and attributed to a tagged project.</t>
  </si>
  <si>
    <t>We have a large number of users and these users frequently fluctuate or change. I foresee a difficulty in being able to keep the platform up to date. I also see a difficulty in integrating it with our computer center here. We get very little IT support here.</t>
  </si>
  <si>
    <t>It is good overall but if we could reach even more users that would be great.</t>
  </si>
  <si>
    <t>Time consuming : we already have mails, twitter, reservation center, image database... too much software to handle.</t>
  </si>
  <si>
    <t>I would like to improve the communication with the PIs, users leave the facilities after 2-5 years. PIs influence the development of the facility 10-30 years!</t>
  </si>
  <si>
    <t>It would need to be something used by all cores. Something that seems quite difficult to achieve!</t>
  </si>
  <si>
    <t>web based chat for routine communication</t>
  </si>
  <si>
    <t>I'm sceptical, but open to suggestion. I prefer to use one channel of communication where possible, thereby everyone knows that essential info and communications go by that route. At the moment that channel is largely email, and I'd need a lot of convincing this can be improved.</t>
  </si>
  <si>
    <t>Often technical problems concerning the firewall settings in the hospital environment</t>
  </si>
  <si>
    <t>discussions (seminars) on wider background of research topics</t>
  </si>
  <si>
    <t>A (semi)professional management software / LIMS system would be awesome!</t>
  </si>
  <si>
    <t>We are hardly performing standardized operation procedures, i.e. every project run at the facility is pretty unique in its structural form. I think it will be difficult to setup a communication platform that can accommodate all the project-specific needs and support the highly diverse sample preparation, data acquisition and data analysis workflows....</t>
  </si>
  <si>
    <t>we use a booking system, website and email. the obstacle would be too many platforms.
one could consider to move communication from email and booking system into an ticket-tracker system however</t>
  </si>
  <si>
    <t>It could be, much it depends  on the organization of the entire structure where the core facility is embedded.
It would be preferable to use traceable and archivable communication systems.</t>
  </si>
  <si>
    <t>Greater faculty engagement with research facilities</t>
  </si>
  <si>
    <t>email
personally
phone
open Iris scheduler</t>
  </si>
  <si>
    <r>
      <t xml:space="preserve">I am just starting doing to set it up myself. I have been invited to an other group using Trello. It is </t>
    </r>
    <r>
      <rPr>
        <sz val="10"/>
        <color rgb="FFFF0000"/>
        <rFont val="Arial"/>
        <family val="2"/>
      </rPr>
      <t xml:space="preserve">very useful </t>
    </r>
    <r>
      <rPr>
        <sz val="10"/>
        <rFont val="Arial"/>
        <family val="2"/>
        <charset val="1"/>
      </rPr>
      <t xml:space="preserve">to organize workflows. In addition, we are using an electronical lab book which is shared within the group and users. </t>
    </r>
    <r>
      <rPr>
        <sz val="10"/>
        <color rgb="FFFF0000"/>
        <rFont val="Arial"/>
        <family val="2"/>
      </rPr>
      <t>The electronical lab book has improved the documentation and my people are better organized.</t>
    </r>
  </si>
  <si>
    <r>
      <t xml:space="preserve">Really </t>
    </r>
    <r>
      <rPr>
        <sz val="10"/>
        <color rgb="FFFF0000"/>
        <rFont val="Arial"/>
        <family val="2"/>
      </rPr>
      <t>great</t>
    </r>
    <r>
      <rPr>
        <sz val="10"/>
        <rFont val="Arial"/>
        <family val="2"/>
        <charset val="1"/>
      </rPr>
      <t>, is a very nice platform</t>
    </r>
  </si>
  <si>
    <r>
      <rPr>
        <sz val="10"/>
        <color rgb="FFFF0000"/>
        <rFont val="Arial"/>
        <family val="2"/>
      </rPr>
      <t>Phone calls, emails and face to face</t>
    </r>
    <r>
      <rPr>
        <sz val="10"/>
        <rFont val="Arial"/>
        <family val="2"/>
        <charset val="1"/>
      </rPr>
      <t xml:space="preserve"> communication always outperform management software, except in the criteria of making sure no one is forgotten.</t>
    </r>
  </si>
  <si>
    <t>There is a gap in your list of choices from 1 GB to 1 TB</t>
  </si>
  <si>
    <t>The amount of data produced depends on analyses performed. In cases when more imaging analyses is done, the amount of data surges.</t>
  </si>
  <si>
    <t>in vivo bioluminescence/ fluorescence in small animal</t>
  </si>
  <si>
    <t>variable,
users have to Transfer their data from analyzer immediately</t>
  </si>
  <si>
    <t>We provide the zebrafish for injections or different analyses. Therefore we dont produce that much data. Only Microscope images which warry from fluorescent pictures which are small too two photon imaging and light sheed which are bigger.</t>
  </si>
  <si>
    <t>software, programs</t>
  </si>
  <si>
    <t>no, would not make sense</t>
  </si>
  <si>
    <t>I do not know</t>
  </si>
  <si>
    <t>No, would not be useful</t>
  </si>
  <si>
    <t>more staff, funding</t>
  </si>
  <si>
    <t>technical aspects (instrumentation, robots, automation and improving techniques)</t>
  </si>
  <si>
    <t>quality, audit</t>
  </si>
  <si>
    <r>
      <t xml:space="preserve">Results of both survey were </t>
    </r>
    <r>
      <rPr>
        <b/>
        <sz val="10"/>
        <rFont val="Arial"/>
        <family val="2"/>
      </rPr>
      <t>combined</t>
    </r>
    <r>
      <rPr>
        <sz val="10"/>
        <rFont val="Arial"/>
        <family val="2"/>
        <charset val="1"/>
      </rPr>
      <t xml:space="preserve">. In 3 cases where it was not possible only the results of the 2nd survey were used.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</si>
</sst>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0"/>
      <name val="Arial"/>
      <family val="2"/>
      <charset val="1"/>
    </font>
    <font>
      <b/>
      <sz val="10"/>
      <name val="Arial"/>
      <family val="2"/>
    </font>
    <font>
      <sz val="10"/>
      <color rgb="FFFF0000"/>
      <name val="Arial"/>
      <family val="2"/>
      <charset val="1"/>
    </font>
    <font>
      <sz val="10"/>
      <color rgb="FF00B0F0"/>
      <name val="Arial"/>
      <family val="2"/>
      <charset val="1"/>
    </font>
    <font>
      <sz val="10"/>
      <name val="Arial"/>
      <family val="2"/>
    </font>
    <font>
      <sz val="8"/>
      <name val="Arial"/>
      <family val="2"/>
      <charset val="1"/>
    </font>
    <font>
      <sz val="10"/>
      <color rgb="FFFF0000"/>
      <name val="Arial"/>
      <family val="2"/>
    </font>
    <font>
      <sz val="10"/>
      <color rgb="FFC00000"/>
      <name val="Arial"/>
      <family val="2"/>
    </font>
    <font>
      <sz val="10"/>
      <color theme="4"/>
      <name val="Arial"/>
      <family val="2"/>
    </font>
    <font>
      <sz val="10"/>
      <color rgb="FF00B0F0"/>
      <name val="Arial"/>
      <family val="2"/>
    </font>
    <font>
      <b/>
      <sz val="10"/>
      <color rgb="FFFF0000"/>
      <name val="Arial"/>
      <family val="2"/>
    </font>
    <font>
      <u/>
      <sz val="10"/>
      <color theme="10"/>
      <name val="Arial"/>
      <family val="2"/>
      <charset val="1"/>
    </font>
    <font>
      <u/>
      <sz val="10"/>
      <color rgb="FFFF0000"/>
      <name val="Arial"/>
      <family val="2"/>
      <charset val="1"/>
    </font>
    <font>
      <sz val="10"/>
      <color theme="1"/>
      <name val="Arial"/>
      <family val="2"/>
    </font>
    <font>
      <sz val="10"/>
      <color theme="1" tint="4.9989318521683403E-2"/>
      <name val="Arial"/>
      <family val="2"/>
    </font>
    <font>
      <b/>
      <sz val="10"/>
      <color rgb="FF000000"/>
      <name val="Calibri"/>
      <family val="2"/>
    </font>
  </fonts>
  <fills count="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4" tint="0.79998168889431442"/>
        <bgColor indexed="64"/>
      </patternFill>
    </fill>
  </fills>
  <borders count="1">
    <border>
      <left/>
      <right/>
      <top/>
      <bottom/>
      <diagonal/>
    </border>
  </borders>
  <cellStyleXfs count="2">
    <xf numFmtId="0" fontId="0" fillId="0" borderId="0"/>
    <xf numFmtId="0" fontId="11" fillId="0" borderId="0" applyNumberFormat="0" applyFill="0" applyBorder="0" applyAlignment="0" applyProtection="0"/>
  </cellStyleXfs>
  <cellXfs count="79">
    <xf numFmtId="0" fontId="0" fillId="0" borderId="0" xfId="0" applyFont="1"/>
    <xf numFmtId="0" fontId="0" fillId="0" borderId="0" xfId="0" applyFont="1" applyAlignment="1">
      <alignment wrapText="1"/>
    </xf>
    <xf numFmtId="0" fontId="1" fillId="0" borderId="0" xfId="0" applyFont="1" applyAlignment="1">
      <alignment wrapText="1"/>
    </xf>
    <xf numFmtId="49" fontId="1" fillId="0" borderId="0" xfId="0" applyNumberFormat="1" applyFont="1" applyAlignment="1">
      <alignment horizontal="left" wrapText="1"/>
    </xf>
    <xf numFmtId="49" fontId="0" fillId="0" borderId="0" xfId="0" applyNumberFormat="1" applyFont="1" applyAlignment="1">
      <alignment horizontal="left"/>
    </xf>
    <xf numFmtId="0" fontId="0" fillId="0" borderId="0" xfId="0" applyFont="1" applyAlignment="1">
      <alignment horizontal="left"/>
    </xf>
    <xf numFmtId="0" fontId="3" fillId="0" borderId="0" xfId="0" applyFont="1"/>
    <xf numFmtId="0" fontId="4" fillId="0" borderId="0" xfId="0" applyFont="1" applyAlignment="1">
      <alignment wrapText="1"/>
    </xf>
    <xf numFmtId="0" fontId="1" fillId="2" borderId="0" xfId="0" applyFont="1" applyFill="1" applyAlignment="1">
      <alignment wrapText="1"/>
    </xf>
    <xf numFmtId="0" fontId="0" fillId="0" borderId="0" xfId="0"/>
    <xf numFmtId="0" fontId="0" fillId="2" borderId="0" xfId="0" applyFont="1" applyFill="1"/>
    <xf numFmtId="0" fontId="0" fillId="0" borderId="0" xfId="0" applyAlignment="1">
      <alignment wrapText="1"/>
    </xf>
    <xf numFmtId="0" fontId="0" fillId="0" borderId="0" xfId="0" applyFont="1" applyFill="1"/>
    <xf numFmtId="0" fontId="0" fillId="0" borderId="0" xfId="0" applyFill="1"/>
    <xf numFmtId="0" fontId="4" fillId="0" borderId="0" xfId="0" applyFont="1"/>
    <xf numFmtId="0" fontId="4" fillId="2" borderId="0" xfId="0" applyFont="1" applyFill="1" applyAlignment="1">
      <alignment wrapText="1"/>
    </xf>
    <xf numFmtId="49" fontId="0" fillId="0" borderId="0" xfId="0" applyNumberFormat="1" applyFont="1"/>
    <xf numFmtId="49" fontId="4" fillId="0" borderId="0" xfId="0" applyNumberFormat="1" applyFont="1" applyAlignment="1">
      <alignment wrapText="1"/>
    </xf>
    <xf numFmtId="0" fontId="0" fillId="0" borderId="0" xfId="0" applyFont="1" applyAlignment="1">
      <alignment horizontal="center"/>
    </xf>
    <xf numFmtId="0" fontId="6" fillId="0" borderId="0" xfId="0" applyFont="1" applyAlignment="1">
      <alignment wrapText="1"/>
    </xf>
    <xf numFmtId="0" fontId="7" fillId="0" borderId="0" xfId="0" applyFont="1" applyAlignment="1">
      <alignment wrapText="1"/>
    </xf>
    <xf numFmtId="0" fontId="9" fillId="0" borderId="0" xfId="0" applyFont="1" applyAlignment="1">
      <alignment wrapText="1"/>
    </xf>
    <xf numFmtId="0" fontId="1" fillId="3" borderId="0" xfId="0" applyFont="1" applyFill="1" applyAlignment="1">
      <alignment wrapText="1"/>
    </xf>
    <xf numFmtId="0" fontId="1" fillId="3" borderId="0" xfId="0" applyFont="1" applyFill="1" applyAlignment="1">
      <alignment horizontal="left" wrapText="1"/>
    </xf>
    <xf numFmtId="0" fontId="0" fillId="4" borderId="0" xfId="0" applyFill="1" applyAlignment="1">
      <alignment wrapText="1"/>
    </xf>
    <xf numFmtId="49" fontId="2" fillId="0" borderId="0" xfId="0" applyNumberFormat="1" applyFont="1"/>
    <xf numFmtId="49" fontId="3" fillId="0" borderId="0" xfId="0" applyNumberFormat="1" applyFont="1"/>
    <xf numFmtId="0" fontId="0" fillId="0" borderId="0" xfId="0" applyFont="1" applyFill="1" applyAlignment="1">
      <alignment wrapText="1"/>
    </xf>
    <xf numFmtId="0" fontId="0" fillId="0" borderId="0" xfId="0" applyFill="1" applyAlignment="1">
      <alignment wrapText="1"/>
    </xf>
    <xf numFmtId="0" fontId="0" fillId="3" borderId="0" xfId="0" applyFont="1" applyFill="1"/>
    <xf numFmtId="49" fontId="0" fillId="0" borderId="0" xfId="0" applyNumberFormat="1" applyFont="1" applyFill="1"/>
    <xf numFmtId="0" fontId="0" fillId="5" borderId="0" xfId="0" applyFont="1" applyFill="1"/>
    <xf numFmtId="0" fontId="0" fillId="5" borderId="0" xfId="0" applyFill="1"/>
    <xf numFmtId="0" fontId="0" fillId="5" borderId="0" xfId="0" applyFill="1" applyAlignment="1">
      <alignment wrapText="1"/>
    </xf>
    <xf numFmtId="0" fontId="0" fillId="5" borderId="0" xfId="0" applyFont="1" applyFill="1" applyAlignment="1">
      <alignment wrapText="1"/>
    </xf>
    <xf numFmtId="0" fontId="1" fillId="0" borderId="0" xfId="0" applyFont="1"/>
    <xf numFmtId="0" fontId="3" fillId="0" borderId="0" xfId="0" applyFont="1" applyFill="1"/>
    <xf numFmtId="0" fontId="1" fillId="0" borderId="0" xfId="0" applyFont="1" applyFill="1" applyAlignment="1">
      <alignment wrapText="1"/>
    </xf>
    <xf numFmtId="0" fontId="0" fillId="4" borderId="0" xfId="0" applyFont="1" applyFill="1"/>
    <xf numFmtId="0" fontId="3" fillId="0" borderId="0" xfId="0" applyFont="1" applyAlignment="1">
      <alignment wrapText="1"/>
    </xf>
    <xf numFmtId="49" fontId="3" fillId="0" borderId="0" xfId="0" applyNumberFormat="1" applyFont="1" applyAlignment="1">
      <alignment horizontal="left"/>
    </xf>
    <xf numFmtId="49" fontId="4" fillId="0" borderId="0" xfId="0" applyNumberFormat="1" applyFont="1" applyFill="1" applyAlignment="1">
      <alignment wrapText="1"/>
    </xf>
    <xf numFmtId="0" fontId="4" fillId="0" borderId="0" xfId="0" applyNumberFormat="1" applyFont="1" applyFill="1"/>
    <xf numFmtId="0" fontId="3" fillId="0" borderId="0" xfId="0" applyFont="1" applyFill="1" applyAlignment="1">
      <alignment wrapText="1"/>
    </xf>
    <xf numFmtId="0" fontId="9" fillId="0" borderId="0" xfId="0" applyFont="1" applyFill="1" applyAlignment="1">
      <alignment wrapText="1"/>
    </xf>
    <xf numFmtId="0" fontId="9" fillId="5" borderId="0" xfId="0" applyFont="1" applyFill="1" applyAlignment="1">
      <alignment wrapText="1"/>
    </xf>
    <xf numFmtId="0" fontId="3" fillId="5" borderId="0" xfId="0" applyFont="1" applyFill="1" applyAlignment="1">
      <alignment wrapText="1"/>
    </xf>
    <xf numFmtId="0" fontId="7" fillId="5" borderId="0" xfId="0" applyFont="1" applyFill="1" applyAlignment="1">
      <alignment wrapText="1"/>
    </xf>
    <xf numFmtId="0" fontId="3" fillId="5" borderId="0" xfId="0" applyFont="1" applyFill="1"/>
    <xf numFmtId="0" fontId="0" fillId="5" borderId="0" xfId="0" applyFont="1" applyFill="1" applyAlignment="1">
      <alignment horizontal="left"/>
    </xf>
    <xf numFmtId="49" fontId="0" fillId="5" borderId="0" xfId="0" applyNumberFormat="1" applyFont="1" applyFill="1" applyAlignment="1">
      <alignment horizontal="left"/>
    </xf>
    <xf numFmtId="49" fontId="3" fillId="5" borderId="0" xfId="0" applyNumberFormat="1" applyFont="1" applyFill="1" applyAlignment="1">
      <alignment horizontal="left"/>
    </xf>
    <xf numFmtId="0" fontId="4" fillId="5" borderId="0" xfId="0" applyFont="1" applyFill="1" applyAlignment="1">
      <alignment wrapText="1"/>
    </xf>
    <xf numFmtId="0" fontId="1" fillId="6" borderId="0" xfId="0" applyFont="1" applyFill="1" applyAlignment="1">
      <alignment wrapText="1"/>
    </xf>
    <xf numFmtId="0" fontId="4" fillId="0" borderId="0" xfId="0" applyFont="1" applyFill="1" applyAlignment="1">
      <alignment wrapText="1"/>
    </xf>
    <xf numFmtId="0" fontId="0" fillId="7" borderId="0" xfId="0" applyFill="1" applyAlignment="1">
      <alignment wrapText="1"/>
    </xf>
    <xf numFmtId="0" fontId="0" fillId="0" borderId="0" xfId="0" applyFont="1" applyAlignment="1">
      <alignment horizontal="left" wrapText="1"/>
    </xf>
    <xf numFmtId="49" fontId="1" fillId="0" borderId="0" xfId="0" applyNumberFormat="1" applyFont="1" applyFill="1" applyAlignment="1">
      <alignment wrapText="1"/>
    </xf>
    <xf numFmtId="0" fontId="0" fillId="4" borderId="0" xfId="0" applyFill="1"/>
    <xf numFmtId="1" fontId="0" fillId="0" borderId="0" xfId="0" applyNumberFormat="1" applyFill="1" applyAlignment="1">
      <alignment wrapText="1"/>
    </xf>
    <xf numFmtId="0" fontId="0" fillId="3" borderId="0" xfId="0" applyFill="1"/>
    <xf numFmtId="1" fontId="0" fillId="0" borderId="0" xfId="0" applyNumberFormat="1" applyFont="1" applyAlignment="1">
      <alignment wrapText="1"/>
    </xf>
    <xf numFmtId="1" fontId="0" fillId="0" borderId="0" xfId="0" applyNumberFormat="1" applyAlignment="1">
      <alignment horizontal="right" wrapText="1"/>
    </xf>
    <xf numFmtId="1" fontId="0" fillId="5" borderId="0" xfId="0" applyNumberFormat="1" applyFill="1" applyAlignment="1">
      <alignment horizontal="right" wrapText="1"/>
    </xf>
    <xf numFmtId="0" fontId="2" fillId="0" borderId="0" xfId="0" applyFont="1" applyAlignment="1">
      <alignment wrapText="1"/>
    </xf>
    <xf numFmtId="0" fontId="1" fillId="8" borderId="0" xfId="0" applyFont="1" applyFill="1" applyAlignment="1">
      <alignment wrapText="1"/>
    </xf>
    <xf numFmtId="0" fontId="12" fillId="0" borderId="0" xfId="1" applyFont="1" applyAlignment="1">
      <alignment wrapText="1"/>
    </xf>
    <xf numFmtId="49" fontId="0" fillId="0" borderId="0" xfId="0" applyNumberFormat="1" applyFont="1" applyAlignment="1">
      <alignment horizontal="left" wrapText="1"/>
    </xf>
    <xf numFmtId="0" fontId="0" fillId="0" borderId="0" xfId="0" applyFont="1" applyAlignment="1">
      <alignment horizontal="center" wrapText="1"/>
    </xf>
    <xf numFmtId="0" fontId="9" fillId="0" borderId="0" xfId="0" applyFont="1"/>
    <xf numFmtId="0" fontId="13" fillId="0" borderId="0" xfId="0" applyFont="1" applyAlignment="1">
      <alignment wrapText="1"/>
    </xf>
    <xf numFmtId="49" fontId="1" fillId="2" borderId="0" xfId="0" applyNumberFormat="1" applyFont="1" applyFill="1" applyAlignment="1">
      <alignment wrapText="1"/>
    </xf>
    <xf numFmtId="1" fontId="0" fillId="0" borderId="0" xfId="0" applyNumberFormat="1"/>
    <xf numFmtId="0" fontId="1" fillId="2" borderId="0" xfId="0" applyFont="1" applyFill="1"/>
    <xf numFmtId="2" fontId="0" fillId="0" borderId="0" xfId="0" applyNumberFormat="1"/>
    <xf numFmtId="1" fontId="0" fillId="0" borderId="0" xfId="0" applyNumberFormat="1" applyFill="1"/>
    <xf numFmtId="0" fontId="4" fillId="0" borderId="0" xfId="0" applyFont="1" applyFill="1"/>
    <xf numFmtId="0" fontId="0" fillId="6" borderId="0" xfId="0" applyFont="1" applyFill="1"/>
    <xf numFmtId="0" fontId="15" fillId="6" borderId="0" xfId="0" applyFont="1" applyFill="1" applyAlignment="1">
      <alignment horizontal="left" vertical="center" readingOrder="1"/>
    </xf>
  </cellXfs>
  <cellStyles count="2">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8CCEE"/>
      <color rgb="FFEE6677"/>
      <color rgb="FFAA3377"/>
      <color rgb="FF66CCEE"/>
      <color rgb="FFFF9933"/>
      <color rgb="FFBBBBBB"/>
      <color rgb="FFCCBB44"/>
      <color rgb="FF228833"/>
      <color rgb="FF4477AA"/>
      <color rgb="FFB5A5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00.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1.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2.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3.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4.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5.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6.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7.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8.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09.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0.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1.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2.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3.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4.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5.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6.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7.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8.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19.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0.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1.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2.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3.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4.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5.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6.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7.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8.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29.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0.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1.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2.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3.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4.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5.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6.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7.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8.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39.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0.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1.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2.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3.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4.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5.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6.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7.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8.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49.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0.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1.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2.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3.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4.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5.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6.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7.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8.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59.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0.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1.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2.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3.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4.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5.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6.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7.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8.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69.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0.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1.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2.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3.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4.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5.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6.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7.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8.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79.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0.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1.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2.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3.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4.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5.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6.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7.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8.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89.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0.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1.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2.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3.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4.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5.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6.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7.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8.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199.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00.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1.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2.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3.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4.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5.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6.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7.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8.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09.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0.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1.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2.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3.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1.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2.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3.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4.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5.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6.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0.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1.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2.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3.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4.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5.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6.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7.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8.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7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4.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5.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6.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7.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8.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89.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0.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1.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2.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3.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4.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5.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6.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7.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8.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99.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Core Facility specialization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cat>
            <c:strRef>
              <c:f>'1'!$M$2:$M$16</c:f>
              <c:strCache>
                <c:ptCount val="15"/>
                <c:pt idx="0">
                  <c:v>antibodies</c:v>
                </c:pt>
                <c:pt idx="1">
                  <c:v>bioinformatics</c:v>
                </c:pt>
                <c:pt idx="2">
                  <c:v>cell culture</c:v>
                </c:pt>
                <c:pt idx="3">
                  <c:v>crystallography</c:v>
                </c:pt>
                <c:pt idx="4">
                  <c:v>flow cytometry</c:v>
                </c:pt>
                <c:pt idx="5">
                  <c:v>genomics</c:v>
                </c:pt>
                <c:pt idx="6">
                  <c:v>histology</c:v>
                </c:pt>
                <c:pt idx="7">
                  <c:v>metabolomics</c:v>
                </c:pt>
                <c:pt idx="8">
                  <c:v>microscopy</c:v>
                </c:pt>
                <c:pt idx="9">
                  <c:v>mouse / rat</c:v>
                </c:pt>
                <c:pt idx="10">
                  <c:v>NMR</c:v>
                </c:pt>
                <c:pt idx="11">
                  <c:v>pluripotent stem cells</c:v>
                </c:pt>
                <c:pt idx="12">
                  <c:v>protein expression</c:v>
                </c:pt>
                <c:pt idx="13">
                  <c:v>proteomics</c:v>
                </c:pt>
                <c:pt idx="14">
                  <c:v>Other</c:v>
                </c:pt>
              </c:strCache>
            </c:strRef>
          </c:cat>
          <c:val>
            <c:numRef>
              <c:f>'1'!$N$2:$N$16</c:f>
              <c:numCache>
                <c:formatCode>General</c:formatCode>
                <c:ptCount val="15"/>
                <c:pt idx="0">
                  <c:v>1</c:v>
                </c:pt>
                <c:pt idx="1">
                  <c:v>6</c:v>
                </c:pt>
                <c:pt idx="2">
                  <c:v>5</c:v>
                </c:pt>
                <c:pt idx="3">
                  <c:v>2</c:v>
                </c:pt>
                <c:pt idx="4">
                  <c:v>50</c:v>
                </c:pt>
                <c:pt idx="5">
                  <c:v>33</c:v>
                </c:pt>
                <c:pt idx="6">
                  <c:v>11</c:v>
                </c:pt>
                <c:pt idx="7">
                  <c:v>8</c:v>
                </c:pt>
                <c:pt idx="8">
                  <c:v>63</c:v>
                </c:pt>
                <c:pt idx="9">
                  <c:v>16</c:v>
                </c:pt>
                <c:pt idx="10">
                  <c:v>4</c:v>
                </c:pt>
                <c:pt idx="11">
                  <c:v>3</c:v>
                </c:pt>
                <c:pt idx="12">
                  <c:v>8</c:v>
                </c:pt>
                <c:pt idx="13">
                  <c:v>35</c:v>
                </c:pt>
                <c:pt idx="14">
                  <c:v>31</c:v>
                </c:pt>
              </c:numCache>
            </c:numRef>
          </c:val>
          <c:extLst>
            <c:ext xmlns:c16="http://schemas.microsoft.com/office/drawing/2014/chart" uri="{C3380CC4-5D6E-409C-BE32-E72D297353CC}">
              <c16:uniqueId val="{00000000-7DB8-462A-9352-94A24697F5AF}"/>
            </c:ext>
          </c:extLst>
        </c:ser>
        <c:dLbls>
          <c:showLegendKey val="0"/>
          <c:showVal val="0"/>
          <c:showCatName val="0"/>
          <c:showSerName val="0"/>
          <c:showPercent val="0"/>
          <c:showBubbleSize val="0"/>
        </c:dLbls>
        <c:gapWidth val="130"/>
        <c:axId val="605415016"/>
        <c:axId val="605408784"/>
      </c:barChart>
      <c:catAx>
        <c:axId val="605415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05408784"/>
        <c:crosses val="autoZero"/>
        <c:auto val="1"/>
        <c:lblAlgn val="ctr"/>
        <c:lblOffset val="100"/>
        <c:noMultiLvlLbl val="0"/>
      </c:catAx>
      <c:valAx>
        <c:axId val="605408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05415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Core facility operating mode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6CCEE"/>
              </a:solidFill>
              <a:ln>
                <a:noFill/>
              </a:ln>
              <a:effectLst/>
            </c:spPr>
            <c:extLst>
              <c:ext xmlns:c16="http://schemas.microsoft.com/office/drawing/2014/chart" uri="{C3380CC4-5D6E-409C-BE32-E72D297353CC}">
                <c16:uniqueId val="{00000000-9DD7-44F2-AEE9-23F748D4A1DE}"/>
              </c:ext>
            </c:extLst>
          </c:dPt>
          <c:dPt>
            <c:idx val="1"/>
            <c:invertIfNegative val="0"/>
            <c:bubble3D val="0"/>
            <c:spPr>
              <a:solidFill>
                <a:srgbClr val="AA3377"/>
              </a:solidFill>
              <a:ln>
                <a:noFill/>
              </a:ln>
              <a:effectLst/>
            </c:spPr>
            <c:extLst>
              <c:ext xmlns:c16="http://schemas.microsoft.com/office/drawing/2014/chart" uri="{C3380CC4-5D6E-409C-BE32-E72D297353CC}">
                <c16:uniqueId val="{00000001-9DD7-44F2-AEE9-23F748D4A1DE}"/>
              </c:ext>
            </c:extLst>
          </c:dPt>
          <c:dPt>
            <c:idx val="2"/>
            <c:invertIfNegative val="0"/>
            <c:bubble3D val="0"/>
            <c:spPr>
              <a:solidFill>
                <a:srgbClr val="EE6677"/>
              </a:solidFill>
              <a:ln>
                <a:noFill/>
              </a:ln>
              <a:effectLst/>
            </c:spPr>
            <c:extLst>
              <c:ext xmlns:c16="http://schemas.microsoft.com/office/drawing/2014/chart" uri="{C3380CC4-5D6E-409C-BE32-E72D297353CC}">
                <c16:uniqueId val="{00000002-9DD7-44F2-AEE9-23F748D4A1DE}"/>
              </c:ext>
            </c:extLst>
          </c:dPt>
          <c:cat>
            <c:strRef>
              <c:f>'1'!$P$6:$P$8</c:f>
              <c:strCache>
                <c:ptCount val="3"/>
                <c:pt idx="0">
                  <c:v>full-service</c:v>
                </c:pt>
                <c:pt idx="1">
                  <c:v>hybrid-service</c:v>
                </c:pt>
                <c:pt idx="2">
                  <c:v>self-service</c:v>
                </c:pt>
              </c:strCache>
            </c:strRef>
          </c:cat>
          <c:val>
            <c:numRef>
              <c:f>'1'!$Q$6:$Q$8</c:f>
              <c:numCache>
                <c:formatCode>General</c:formatCode>
                <c:ptCount val="3"/>
                <c:pt idx="0">
                  <c:v>73</c:v>
                </c:pt>
                <c:pt idx="1">
                  <c:v>175</c:v>
                </c:pt>
                <c:pt idx="2">
                  <c:v>28</c:v>
                </c:pt>
              </c:numCache>
            </c:numRef>
          </c:val>
          <c:extLst>
            <c:ext xmlns:c16="http://schemas.microsoft.com/office/drawing/2014/chart" uri="{C3380CC4-5D6E-409C-BE32-E72D297353CC}">
              <c16:uniqueId val="{00000000-BD9D-4BD3-AC0A-28C8C20A3B10}"/>
            </c:ext>
          </c:extLst>
        </c:ser>
        <c:dLbls>
          <c:showLegendKey val="0"/>
          <c:showVal val="0"/>
          <c:showCatName val="0"/>
          <c:showSerName val="0"/>
          <c:showPercent val="0"/>
          <c:showBubbleSize val="0"/>
        </c:dLbls>
        <c:gapWidth val="130"/>
        <c:overlap val="-27"/>
        <c:axId val="477432720"/>
        <c:axId val="477424848"/>
      </c:barChart>
      <c:catAx>
        <c:axId val="47743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7424848"/>
        <c:crosses val="autoZero"/>
        <c:auto val="1"/>
        <c:lblAlgn val="ctr"/>
        <c:lblOffset val="100"/>
        <c:noMultiLvlLbl val="0"/>
      </c:catAx>
      <c:valAx>
        <c:axId val="477424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74327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are replicated (importance)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'6bis'!$J$8</c:f>
              <c:strCache>
                <c:ptCount val="1"/>
                <c:pt idx="0">
                  <c:v>strongly disagree</c:v>
                </c:pt>
              </c:strCache>
            </c:strRef>
          </c:tx>
          <c:spPr>
            <a:solidFill>
              <a:srgbClr val="FF0000"/>
            </a:solidFill>
            <a:ln>
              <a:noFill/>
            </a:ln>
            <a:effectLst/>
          </c:spPr>
          <c:invertIfNegative val="0"/>
          <c:cat>
            <c:strRef>
              <c:f>'6bis'!$AI$1:$AP$1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'6bis'!$AI$8:$AP$8</c:f>
              <c:numCache>
                <c:formatCode>General</c:formatCode>
                <c:ptCount val="8"/>
                <c:pt idx="0">
                  <c:v>6</c:v>
                </c:pt>
                <c:pt idx="1">
                  <c:v>6</c:v>
                </c:pt>
                <c:pt idx="2">
                  <c:v>1</c:v>
                </c:pt>
                <c:pt idx="3">
                  <c:v>1</c:v>
                </c:pt>
                <c:pt idx="4">
                  <c:v>11</c:v>
                </c:pt>
                <c:pt idx="5">
                  <c:v>3</c:v>
                </c:pt>
                <c:pt idx="6">
                  <c:v>0</c:v>
                </c:pt>
                <c:pt idx="7">
                  <c:v>7</c:v>
                </c:pt>
              </c:numCache>
            </c:numRef>
          </c:val>
          <c:extLst>
            <c:ext xmlns:c16="http://schemas.microsoft.com/office/drawing/2014/chart" uri="{C3380CC4-5D6E-409C-BE32-E72D297353CC}">
              <c16:uniqueId val="{00000000-B66D-4B67-973A-818B978CEA21}"/>
            </c:ext>
          </c:extLst>
        </c:ser>
        <c:ser>
          <c:idx val="1"/>
          <c:order val="1"/>
          <c:tx>
            <c:strRef>
              <c:f>'6bis'!$J$9</c:f>
              <c:strCache>
                <c:ptCount val="1"/>
                <c:pt idx="0">
                  <c:v>somewhat disagree</c:v>
                </c:pt>
              </c:strCache>
            </c:strRef>
          </c:tx>
          <c:spPr>
            <a:solidFill>
              <a:srgbClr val="FF9933"/>
            </a:solidFill>
            <a:ln>
              <a:noFill/>
            </a:ln>
            <a:effectLst/>
          </c:spPr>
          <c:invertIfNegative val="0"/>
          <c:cat>
            <c:strRef>
              <c:f>'6bis'!$AI$1:$AP$1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'6bis'!$AI$9:$AP$9</c:f>
              <c:numCache>
                <c:formatCode>General</c:formatCode>
                <c:ptCount val="8"/>
                <c:pt idx="0">
                  <c:v>1</c:v>
                </c:pt>
                <c:pt idx="1">
                  <c:v>2</c:v>
                </c:pt>
                <c:pt idx="2">
                  <c:v>2</c:v>
                </c:pt>
                <c:pt idx="3">
                  <c:v>0</c:v>
                </c:pt>
                <c:pt idx="4">
                  <c:v>4</c:v>
                </c:pt>
                <c:pt idx="5">
                  <c:v>2</c:v>
                </c:pt>
                <c:pt idx="6">
                  <c:v>0</c:v>
                </c:pt>
                <c:pt idx="7">
                  <c:v>0</c:v>
                </c:pt>
              </c:numCache>
            </c:numRef>
          </c:val>
          <c:extLst>
            <c:ext xmlns:c16="http://schemas.microsoft.com/office/drawing/2014/chart" uri="{C3380CC4-5D6E-409C-BE32-E72D297353CC}">
              <c16:uniqueId val="{00000001-B66D-4B67-973A-818B978CEA21}"/>
            </c:ext>
          </c:extLst>
        </c:ser>
        <c:ser>
          <c:idx val="2"/>
          <c:order val="2"/>
          <c:tx>
            <c:strRef>
              <c:f>'6bis'!$J$10</c:f>
              <c:strCache>
                <c:ptCount val="1"/>
                <c:pt idx="0">
                  <c:v>neither</c:v>
                </c:pt>
              </c:strCache>
            </c:strRef>
          </c:tx>
          <c:spPr>
            <a:solidFill>
              <a:srgbClr val="FFC000"/>
            </a:solidFill>
            <a:ln>
              <a:noFill/>
            </a:ln>
            <a:effectLst/>
          </c:spPr>
          <c:invertIfNegative val="0"/>
          <c:cat>
            <c:strRef>
              <c:f>'6bis'!$AI$1:$AP$1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'6bis'!$AI$10:$AP$10</c:f>
              <c:numCache>
                <c:formatCode>General</c:formatCode>
                <c:ptCount val="8"/>
                <c:pt idx="0">
                  <c:v>3</c:v>
                </c:pt>
                <c:pt idx="1">
                  <c:v>2</c:v>
                </c:pt>
                <c:pt idx="2">
                  <c:v>1</c:v>
                </c:pt>
                <c:pt idx="3">
                  <c:v>1</c:v>
                </c:pt>
                <c:pt idx="4">
                  <c:v>7</c:v>
                </c:pt>
                <c:pt idx="5">
                  <c:v>0</c:v>
                </c:pt>
                <c:pt idx="6">
                  <c:v>3</c:v>
                </c:pt>
                <c:pt idx="7">
                  <c:v>1</c:v>
                </c:pt>
              </c:numCache>
            </c:numRef>
          </c:val>
          <c:extLst>
            <c:ext xmlns:c16="http://schemas.microsoft.com/office/drawing/2014/chart" uri="{C3380CC4-5D6E-409C-BE32-E72D297353CC}">
              <c16:uniqueId val="{00000002-B66D-4B67-973A-818B978CEA21}"/>
            </c:ext>
          </c:extLst>
        </c:ser>
        <c:ser>
          <c:idx val="3"/>
          <c:order val="3"/>
          <c:tx>
            <c:strRef>
              <c:f>'6bis'!$J$11</c:f>
              <c:strCache>
                <c:ptCount val="1"/>
                <c:pt idx="0">
                  <c:v>somewhat agree</c:v>
                </c:pt>
              </c:strCache>
            </c:strRef>
          </c:tx>
          <c:spPr>
            <a:solidFill>
              <a:schemeClr val="accent5">
                <a:lumMod val="60000"/>
                <a:lumOff val="40000"/>
              </a:schemeClr>
            </a:solidFill>
            <a:ln>
              <a:noFill/>
            </a:ln>
            <a:effectLst/>
          </c:spPr>
          <c:invertIfNegative val="0"/>
          <c:cat>
            <c:strRef>
              <c:f>'6bis'!$AI$1:$AP$1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'6bis'!$AI$11:$AP$11</c:f>
              <c:numCache>
                <c:formatCode>General</c:formatCode>
                <c:ptCount val="8"/>
                <c:pt idx="0">
                  <c:v>7</c:v>
                </c:pt>
                <c:pt idx="1">
                  <c:v>5</c:v>
                </c:pt>
                <c:pt idx="2">
                  <c:v>1</c:v>
                </c:pt>
                <c:pt idx="3">
                  <c:v>1</c:v>
                </c:pt>
                <c:pt idx="4">
                  <c:v>4</c:v>
                </c:pt>
                <c:pt idx="5">
                  <c:v>1</c:v>
                </c:pt>
                <c:pt idx="6">
                  <c:v>1</c:v>
                </c:pt>
                <c:pt idx="7">
                  <c:v>3</c:v>
                </c:pt>
              </c:numCache>
            </c:numRef>
          </c:val>
          <c:extLst>
            <c:ext xmlns:c16="http://schemas.microsoft.com/office/drawing/2014/chart" uri="{C3380CC4-5D6E-409C-BE32-E72D297353CC}">
              <c16:uniqueId val="{00000003-B66D-4B67-973A-818B978CEA21}"/>
            </c:ext>
          </c:extLst>
        </c:ser>
        <c:ser>
          <c:idx val="4"/>
          <c:order val="4"/>
          <c:tx>
            <c:strRef>
              <c:f>'6bis'!$J$12</c:f>
              <c:strCache>
                <c:ptCount val="1"/>
                <c:pt idx="0">
                  <c:v>strongly agree</c:v>
                </c:pt>
              </c:strCache>
            </c:strRef>
          </c:tx>
          <c:spPr>
            <a:solidFill>
              <a:schemeClr val="accent1"/>
            </a:solidFill>
            <a:ln>
              <a:noFill/>
            </a:ln>
            <a:effectLst/>
          </c:spPr>
          <c:invertIfNegative val="0"/>
          <c:cat>
            <c:strRef>
              <c:f>'6bis'!$AI$1:$AP$1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'6bis'!$AI$12:$AP$12</c:f>
              <c:numCache>
                <c:formatCode>General</c:formatCode>
                <c:ptCount val="8"/>
                <c:pt idx="0">
                  <c:v>33</c:v>
                </c:pt>
                <c:pt idx="1">
                  <c:v>17</c:v>
                </c:pt>
                <c:pt idx="2">
                  <c:v>6</c:v>
                </c:pt>
                <c:pt idx="3">
                  <c:v>5</c:v>
                </c:pt>
                <c:pt idx="4">
                  <c:v>34</c:v>
                </c:pt>
                <c:pt idx="5">
                  <c:v>10</c:v>
                </c:pt>
                <c:pt idx="6">
                  <c:v>4</c:v>
                </c:pt>
                <c:pt idx="7">
                  <c:v>24</c:v>
                </c:pt>
              </c:numCache>
            </c:numRef>
          </c:val>
          <c:extLst>
            <c:ext xmlns:c16="http://schemas.microsoft.com/office/drawing/2014/chart" uri="{C3380CC4-5D6E-409C-BE32-E72D297353CC}">
              <c16:uniqueId val="{00000004-B66D-4B67-973A-818B978CEA21}"/>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Experiments are performed blinded </a:t>
            </a:r>
            <a:r>
              <a:rPr lang="en-GB" sz="1400"/>
              <a:t>(currently)</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barChart>
        <c:barDir val="col"/>
        <c:grouping val="percentStacked"/>
        <c:varyColors val="0"/>
        <c:ser>
          <c:idx val="0"/>
          <c:order val="0"/>
          <c:tx>
            <c:strRef>
              <c:f>'6bis'!$J$2</c:f>
              <c:strCache>
                <c:ptCount val="1"/>
                <c:pt idx="0">
                  <c:v>strongly disagree</c:v>
                </c:pt>
              </c:strCache>
            </c:strRef>
          </c:tx>
          <c:spPr>
            <a:solidFill>
              <a:srgbClr val="FF0000"/>
            </a:solidFill>
            <a:ln>
              <a:noFill/>
            </a:ln>
            <a:effectLst/>
          </c:spPr>
          <c:invertIfNegative val="0"/>
          <c:cat>
            <c:strRef>
              <c:f>'6bis'!$AV$1:$AX$1</c:f>
              <c:strCache>
                <c:ptCount val="3"/>
                <c:pt idx="0">
                  <c:v>full-service</c:v>
                </c:pt>
                <c:pt idx="1">
                  <c:v>hybrid-service</c:v>
                </c:pt>
                <c:pt idx="2">
                  <c:v>self-service</c:v>
                </c:pt>
              </c:strCache>
            </c:strRef>
          </c:cat>
          <c:val>
            <c:numRef>
              <c:f>'6bis'!$AV$2:$AX$2</c:f>
              <c:numCache>
                <c:formatCode>General</c:formatCode>
                <c:ptCount val="3"/>
                <c:pt idx="0">
                  <c:v>16</c:v>
                </c:pt>
                <c:pt idx="1">
                  <c:v>43</c:v>
                </c:pt>
                <c:pt idx="2">
                  <c:v>5</c:v>
                </c:pt>
              </c:numCache>
            </c:numRef>
          </c:val>
          <c:extLst>
            <c:ext xmlns:c16="http://schemas.microsoft.com/office/drawing/2014/chart" uri="{C3380CC4-5D6E-409C-BE32-E72D297353CC}">
              <c16:uniqueId val="{00000000-2889-4F00-A8E5-819DD66317DB}"/>
            </c:ext>
          </c:extLst>
        </c:ser>
        <c:ser>
          <c:idx val="1"/>
          <c:order val="1"/>
          <c:tx>
            <c:strRef>
              <c:f>'6bis'!$J$3</c:f>
              <c:strCache>
                <c:ptCount val="1"/>
                <c:pt idx="0">
                  <c:v>somewhat disagree</c:v>
                </c:pt>
              </c:strCache>
            </c:strRef>
          </c:tx>
          <c:spPr>
            <a:solidFill>
              <a:srgbClr val="FF9933"/>
            </a:solidFill>
            <a:ln>
              <a:noFill/>
            </a:ln>
            <a:effectLst/>
          </c:spPr>
          <c:invertIfNegative val="0"/>
          <c:cat>
            <c:strRef>
              <c:f>'6bis'!$AV$1:$AX$1</c:f>
              <c:strCache>
                <c:ptCount val="3"/>
                <c:pt idx="0">
                  <c:v>full-service</c:v>
                </c:pt>
                <c:pt idx="1">
                  <c:v>hybrid-service</c:v>
                </c:pt>
                <c:pt idx="2">
                  <c:v>self-service</c:v>
                </c:pt>
              </c:strCache>
            </c:strRef>
          </c:cat>
          <c:val>
            <c:numRef>
              <c:f>'6bis'!$AV$3:$AX$3</c:f>
              <c:numCache>
                <c:formatCode>General</c:formatCode>
                <c:ptCount val="3"/>
                <c:pt idx="0">
                  <c:v>12</c:v>
                </c:pt>
                <c:pt idx="1">
                  <c:v>26</c:v>
                </c:pt>
                <c:pt idx="2">
                  <c:v>4</c:v>
                </c:pt>
              </c:numCache>
            </c:numRef>
          </c:val>
          <c:extLst>
            <c:ext xmlns:c16="http://schemas.microsoft.com/office/drawing/2014/chart" uri="{C3380CC4-5D6E-409C-BE32-E72D297353CC}">
              <c16:uniqueId val="{00000001-2889-4F00-A8E5-819DD66317DB}"/>
            </c:ext>
          </c:extLst>
        </c:ser>
        <c:ser>
          <c:idx val="2"/>
          <c:order val="2"/>
          <c:tx>
            <c:strRef>
              <c:f>'6bis'!$J$4</c:f>
              <c:strCache>
                <c:ptCount val="1"/>
                <c:pt idx="0">
                  <c:v>neither</c:v>
                </c:pt>
              </c:strCache>
            </c:strRef>
          </c:tx>
          <c:spPr>
            <a:solidFill>
              <a:srgbClr val="FFC000"/>
            </a:solidFill>
            <a:ln>
              <a:noFill/>
            </a:ln>
            <a:effectLst/>
          </c:spPr>
          <c:invertIfNegative val="0"/>
          <c:cat>
            <c:strRef>
              <c:f>'6bis'!$AV$1:$AX$1</c:f>
              <c:strCache>
                <c:ptCount val="3"/>
                <c:pt idx="0">
                  <c:v>full-service</c:v>
                </c:pt>
                <c:pt idx="1">
                  <c:v>hybrid-service</c:v>
                </c:pt>
                <c:pt idx="2">
                  <c:v>self-service</c:v>
                </c:pt>
              </c:strCache>
            </c:strRef>
          </c:cat>
          <c:val>
            <c:numRef>
              <c:f>'6bis'!$AV$4:$AX$4</c:f>
              <c:numCache>
                <c:formatCode>General</c:formatCode>
                <c:ptCount val="3"/>
                <c:pt idx="0">
                  <c:v>25</c:v>
                </c:pt>
                <c:pt idx="1">
                  <c:v>64</c:v>
                </c:pt>
                <c:pt idx="2">
                  <c:v>13</c:v>
                </c:pt>
              </c:numCache>
            </c:numRef>
          </c:val>
          <c:extLst>
            <c:ext xmlns:c16="http://schemas.microsoft.com/office/drawing/2014/chart" uri="{C3380CC4-5D6E-409C-BE32-E72D297353CC}">
              <c16:uniqueId val="{00000002-2889-4F00-A8E5-819DD66317DB}"/>
            </c:ext>
          </c:extLst>
        </c:ser>
        <c:ser>
          <c:idx val="3"/>
          <c:order val="3"/>
          <c:tx>
            <c:strRef>
              <c:f>'6bis'!$J$5</c:f>
              <c:strCache>
                <c:ptCount val="1"/>
                <c:pt idx="0">
                  <c:v>somewhat agree</c:v>
                </c:pt>
              </c:strCache>
            </c:strRef>
          </c:tx>
          <c:spPr>
            <a:solidFill>
              <a:schemeClr val="accent5">
                <a:lumMod val="60000"/>
                <a:lumOff val="40000"/>
              </a:schemeClr>
            </a:solidFill>
            <a:ln>
              <a:noFill/>
            </a:ln>
            <a:effectLst/>
          </c:spPr>
          <c:invertIfNegative val="0"/>
          <c:cat>
            <c:strRef>
              <c:f>'6bis'!$AV$1:$AX$1</c:f>
              <c:strCache>
                <c:ptCount val="3"/>
                <c:pt idx="0">
                  <c:v>full-service</c:v>
                </c:pt>
                <c:pt idx="1">
                  <c:v>hybrid-service</c:v>
                </c:pt>
                <c:pt idx="2">
                  <c:v>self-service</c:v>
                </c:pt>
              </c:strCache>
            </c:strRef>
          </c:cat>
          <c:val>
            <c:numRef>
              <c:f>'6bis'!$AV$5:$AX$5</c:f>
              <c:numCache>
                <c:formatCode>General</c:formatCode>
                <c:ptCount val="3"/>
                <c:pt idx="0">
                  <c:v>10</c:v>
                </c:pt>
                <c:pt idx="1">
                  <c:v>26</c:v>
                </c:pt>
                <c:pt idx="2">
                  <c:v>4</c:v>
                </c:pt>
              </c:numCache>
            </c:numRef>
          </c:val>
          <c:extLst>
            <c:ext xmlns:c16="http://schemas.microsoft.com/office/drawing/2014/chart" uri="{C3380CC4-5D6E-409C-BE32-E72D297353CC}">
              <c16:uniqueId val="{00000003-2889-4F00-A8E5-819DD66317DB}"/>
            </c:ext>
          </c:extLst>
        </c:ser>
        <c:ser>
          <c:idx val="4"/>
          <c:order val="4"/>
          <c:tx>
            <c:strRef>
              <c:f>'6bis'!$J$6</c:f>
              <c:strCache>
                <c:ptCount val="1"/>
                <c:pt idx="0">
                  <c:v>strongly agree</c:v>
                </c:pt>
              </c:strCache>
            </c:strRef>
          </c:tx>
          <c:spPr>
            <a:solidFill>
              <a:schemeClr val="accent1"/>
            </a:solidFill>
            <a:ln>
              <a:noFill/>
            </a:ln>
            <a:effectLst/>
          </c:spPr>
          <c:invertIfNegative val="0"/>
          <c:cat>
            <c:strRef>
              <c:f>'6bis'!$AV$1:$AX$1</c:f>
              <c:strCache>
                <c:ptCount val="3"/>
                <c:pt idx="0">
                  <c:v>full-service</c:v>
                </c:pt>
                <c:pt idx="1">
                  <c:v>hybrid-service</c:v>
                </c:pt>
                <c:pt idx="2">
                  <c:v>self-service</c:v>
                </c:pt>
              </c:strCache>
            </c:strRef>
          </c:cat>
          <c:val>
            <c:numRef>
              <c:f>'6bis'!$AV$6:$AX$6</c:f>
              <c:numCache>
                <c:formatCode>General</c:formatCode>
                <c:ptCount val="3"/>
                <c:pt idx="0">
                  <c:v>7</c:v>
                </c:pt>
                <c:pt idx="1">
                  <c:v>14</c:v>
                </c:pt>
                <c:pt idx="2">
                  <c:v>2</c:v>
                </c:pt>
              </c:numCache>
            </c:numRef>
          </c:val>
          <c:extLst>
            <c:ext xmlns:c16="http://schemas.microsoft.com/office/drawing/2014/chart" uri="{C3380CC4-5D6E-409C-BE32-E72D297353CC}">
              <c16:uniqueId val="{00000004-2889-4F00-A8E5-819DD66317DB}"/>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Experiments are performed blinded </a:t>
            </a:r>
            <a:r>
              <a:rPr lang="en-GB" sz="1400"/>
              <a:t>(importance)</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barChart>
        <c:barDir val="col"/>
        <c:grouping val="percentStacked"/>
        <c:varyColors val="0"/>
        <c:ser>
          <c:idx val="0"/>
          <c:order val="0"/>
          <c:tx>
            <c:strRef>
              <c:f>'6bis'!$J$8</c:f>
              <c:strCache>
                <c:ptCount val="1"/>
                <c:pt idx="0">
                  <c:v>strongly disagree</c:v>
                </c:pt>
              </c:strCache>
            </c:strRef>
          </c:tx>
          <c:spPr>
            <a:solidFill>
              <a:srgbClr val="FF0000"/>
            </a:solidFill>
            <a:ln>
              <a:noFill/>
            </a:ln>
            <a:effectLst/>
          </c:spPr>
          <c:invertIfNegative val="0"/>
          <c:cat>
            <c:strRef>
              <c:f>'6bis'!$AV$1:$AX$1</c:f>
              <c:strCache>
                <c:ptCount val="3"/>
                <c:pt idx="0">
                  <c:v>full-service</c:v>
                </c:pt>
                <c:pt idx="1">
                  <c:v>hybrid-service</c:v>
                </c:pt>
                <c:pt idx="2">
                  <c:v>self-service</c:v>
                </c:pt>
              </c:strCache>
            </c:strRef>
          </c:cat>
          <c:val>
            <c:numRef>
              <c:f>'6bis'!$AV$8:$AX$8</c:f>
              <c:numCache>
                <c:formatCode>General</c:formatCode>
                <c:ptCount val="3"/>
                <c:pt idx="0">
                  <c:v>15</c:v>
                </c:pt>
                <c:pt idx="1">
                  <c:v>29</c:v>
                </c:pt>
                <c:pt idx="2">
                  <c:v>4</c:v>
                </c:pt>
              </c:numCache>
            </c:numRef>
          </c:val>
          <c:extLst>
            <c:ext xmlns:c16="http://schemas.microsoft.com/office/drawing/2014/chart" uri="{C3380CC4-5D6E-409C-BE32-E72D297353CC}">
              <c16:uniqueId val="{00000000-7433-4546-9D37-83570F1DAFBA}"/>
            </c:ext>
          </c:extLst>
        </c:ser>
        <c:ser>
          <c:idx val="1"/>
          <c:order val="1"/>
          <c:tx>
            <c:strRef>
              <c:f>'6bis'!$J$9</c:f>
              <c:strCache>
                <c:ptCount val="1"/>
                <c:pt idx="0">
                  <c:v>somewhat disagree</c:v>
                </c:pt>
              </c:strCache>
            </c:strRef>
          </c:tx>
          <c:spPr>
            <a:solidFill>
              <a:srgbClr val="FF9933"/>
            </a:solidFill>
            <a:ln>
              <a:noFill/>
            </a:ln>
            <a:effectLst/>
          </c:spPr>
          <c:invertIfNegative val="0"/>
          <c:cat>
            <c:strRef>
              <c:f>'6bis'!$AV$1:$AX$1</c:f>
              <c:strCache>
                <c:ptCount val="3"/>
                <c:pt idx="0">
                  <c:v>full-service</c:v>
                </c:pt>
                <c:pt idx="1">
                  <c:v>hybrid-service</c:v>
                </c:pt>
                <c:pt idx="2">
                  <c:v>self-service</c:v>
                </c:pt>
              </c:strCache>
            </c:strRef>
          </c:cat>
          <c:val>
            <c:numRef>
              <c:f>'6bis'!$AV$9:$AX$9</c:f>
              <c:numCache>
                <c:formatCode>General</c:formatCode>
                <c:ptCount val="3"/>
                <c:pt idx="0">
                  <c:v>0</c:v>
                </c:pt>
                <c:pt idx="1">
                  <c:v>16</c:v>
                </c:pt>
                <c:pt idx="2">
                  <c:v>4</c:v>
                </c:pt>
              </c:numCache>
            </c:numRef>
          </c:val>
          <c:extLst>
            <c:ext xmlns:c16="http://schemas.microsoft.com/office/drawing/2014/chart" uri="{C3380CC4-5D6E-409C-BE32-E72D297353CC}">
              <c16:uniqueId val="{00000001-7433-4546-9D37-83570F1DAFBA}"/>
            </c:ext>
          </c:extLst>
        </c:ser>
        <c:ser>
          <c:idx val="2"/>
          <c:order val="2"/>
          <c:tx>
            <c:strRef>
              <c:f>'6bis'!$J$10</c:f>
              <c:strCache>
                <c:ptCount val="1"/>
                <c:pt idx="0">
                  <c:v>neither</c:v>
                </c:pt>
              </c:strCache>
            </c:strRef>
          </c:tx>
          <c:spPr>
            <a:solidFill>
              <a:srgbClr val="FFC000"/>
            </a:solidFill>
            <a:ln>
              <a:noFill/>
            </a:ln>
            <a:effectLst/>
          </c:spPr>
          <c:invertIfNegative val="0"/>
          <c:cat>
            <c:strRef>
              <c:f>'6bis'!$AV$1:$AX$1</c:f>
              <c:strCache>
                <c:ptCount val="3"/>
                <c:pt idx="0">
                  <c:v>full-service</c:v>
                </c:pt>
                <c:pt idx="1">
                  <c:v>hybrid-service</c:v>
                </c:pt>
                <c:pt idx="2">
                  <c:v>self-service</c:v>
                </c:pt>
              </c:strCache>
            </c:strRef>
          </c:cat>
          <c:val>
            <c:numRef>
              <c:f>'6bis'!$AV$10:$AX$10</c:f>
              <c:numCache>
                <c:formatCode>General</c:formatCode>
                <c:ptCount val="3"/>
                <c:pt idx="0">
                  <c:v>26</c:v>
                </c:pt>
                <c:pt idx="1">
                  <c:v>57</c:v>
                </c:pt>
                <c:pt idx="2">
                  <c:v>10</c:v>
                </c:pt>
              </c:numCache>
            </c:numRef>
          </c:val>
          <c:extLst>
            <c:ext xmlns:c16="http://schemas.microsoft.com/office/drawing/2014/chart" uri="{C3380CC4-5D6E-409C-BE32-E72D297353CC}">
              <c16:uniqueId val="{00000002-7433-4546-9D37-83570F1DAFBA}"/>
            </c:ext>
          </c:extLst>
        </c:ser>
        <c:ser>
          <c:idx val="3"/>
          <c:order val="3"/>
          <c:tx>
            <c:strRef>
              <c:f>'6bis'!$J$11</c:f>
              <c:strCache>
                <c:ptCount val="1"/>
                <c:pt idx="0">
                  <c:v>somewhat agree</c:v>
                </c:pt>
              </c:strCache>
            </c:strRef>
          </c:tx>
          <c:spPr>
            <a:solidFill>
              <a:schemeClr val="accent5">
                <a:lumMod val="60000"/>
                <a:lumOff val="40000"/>
              </a:schemeClr>
            </a:solidFill>
            <a:ln>
              <a:noFill/>
            </a:ln>
            <a:effectLst/>
          </c:spPr>
          <c:invertIfNegative val="0"/>
          <c:cat>
            <c:strRef>
              <c:f>'6bis'!$AV$1:$AX$1</c:f>
              <c:strCache>
                <c:ptCount val="3"/>
                <c:pt idx="0">
                  <c:v>full-service</c:v>
                </c:pt>
                <c:pt idx="1">
                  <c:v>hybrid-service</c:v>
                </c:pt>
                <c:pt idx="2">
                  <c:v>self-service</c:v>
                </c:pt>
              </c:strCache>
            </c:strRef>
          </c:cat>
          <c:val>
            <c:numRef>
              <c:f>'6bis'!$AV$11:$AX$11</c:f>
              <c:numCache>
                <c:formatCode>General</c:formatCode>
                <c:ptCount val="3"/>
                <c:pt idx="0">
                  <c:v>14</c:v>
                </c:pt>
                <c:pt idx="1">
                  <c:v>35</c:v>
                </c:pt>
                <c:pt idx="2">
                  <c:v>3</c:v>
                </c:pt>
              </c:numCache>
            </c:numRef>
          </c:val>
          <c:extLst>
            <c:ext xmlns:c16="http://schemas.microsoft.com/office/drawing/2014/chart" uri="{C3380CC4-5D6E-409C-BE32-E72D297353CC}">
              <c16:uniqueId val="{00000003-7433-4546-9D37-83570F1DAFBA}"/>
            </c:ext>
          </c:extLst>
        </c:ser>
        <c:ser>
          <c:idx val="4"/>
          <c:order val="4"/>
          <c:tx>
            <c:strRef>
              <c:f>'6bis'!$J$12</c:f>
              <c:strCache>
                <c:ptCount val="1"/>
                <c:pt idx="0">
                  <c:v>strongly agree</c:v>
                </c:pt>
              </c:strCache>
            </c:strRef>
          </c:tx>
          <c:spPr>
            <a:solidFill>
              <a:schemeClr val="accent1"/>
            </a:solidFill>
            <a:ln>
              <a:noFill/>
            </a:ln>
            <a:effectLst/>
          </c:spPr>
          <c:invertIfNegative val="0"/>
          <c:cat>
            <c:strRef>
              <c:f>'6bis'!$AV$1:$AX$1</c:f>
              <c:strCache>
                <c:ptCount val="3"/>
                <c:pt idx="0">
                  <c:v>full-service</c:v>
                </c:pt>
                <c:pt idx="1">
                  <c:v>hybrid-service</c:v>
                </c:pt>
                <c:pt idx="2">
                  <c:v>self-service</c:v>
                </c:pt>
              </c:strCache>
            </c:strRef>
          </c:cat>
          <c:val>
            <c:numRef>
              <c:f>'6bis'!$AV$12:$AX$12</c:f>
              <c:numCache>
                <c:formatCode>General</c:formatCode>
                <c:ptCount val="3"/>
                <c:pt idx="0">
                  <c:v>15</c:v>
                </c:pt>
                <c:pt idx="1">
                  <c:v>36</c:v>
                </c:pt>
                <c:pt idx="2">
                  <c:v>7</c:v>
                </c:pt>
              </c:numCache>
            </c:numRef>
          </c:val>
          <c:extLst>
            <c:ext xmlns:c16="http://schemas.microsoft.com/office/drawing/2014/chart" uri="{C3380CC4-5D6E-409C-BE32-E72D297353CC}">
              <c16:uniqueId val="{00000004-7433-4546-9D37-83570F1DAFBA}"/>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Experiments are performed blinded</a:t>
            </a:r>
            <a:endParaRPr lang="en-GB"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GB" sz="1400"/>
              <a:t>(currently)</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barChart>
        <c:barDir val="col"/>
        <c:grouping val="percentStacked"/>
        <c:varyColors val="0"/>
        <c:ser>
          <c:idx val="0"/>
          <c:order val="0"/>
          <c:tx>
            <c:strRef>
              <c:f>'6bis'!$J$2</c:f>
              <c:strCache>
                <c:ptCount val="1"/>
                <c:pt idx="0">
                  <c:v>strongly disagree</c:v>
                </c:pt>
              </c:strCache>
            </c:strRef>
          </c:tx>
          <c:spPr>
            <a:solidFill>
              <a:srgbClr val="FF0000"/>
            </a:solidFill>
            <a:ln>
              <a:noFill/>
            </a:ln>
            <a:effectLst/>
          </c:spPr>
          <c:invertIfNegative val="0"/>
          <c:cat>
            <c:strRef>
              <c:f>'6bis'!$AZ$1:$BG$1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'6bis'!$AZ$2:$BG$2</c:f>
              <c:numCache>
                <c:formatCode>General</c:formatCode>
                <c:ptCount val="8"/>
                <c:pt idx="0">
                  <c:v>16</c:v>
                </c:pt>
                <c:pt idx="1">
                  <c:v>8</c:v>
                </c:pt>
                <c:pt idx="2">
                  <c:v>2</c:v>
                </c:pt>
                <c:pt idx="3">
                  <c:v>0</c:v>
                </c:pt>
                <c:pt idx="4">
                  <c:v>10</c:v>
                </c:pt>
                <c:pt idx="5">
                  <c:v>2</c:v>
                </c:pt>
                <c:pt idx="6">
                  <c:v>5</c:v>
                </c:pt>
                <c:pt idx="7">
                  <c:v>8</c:v>
                </c:pt>
              </c:numCache>
            </c:numRef>
          </c:val>
          <c:extLst>
            <c:ext xmlns:c16="http://schemas.microsoft.com/office/drawing/2014/chart" uri="{C3380CC4-5D6E-409C-BE32-E72D297353CC}">
              <c16:uniqueId val="{00000000-4C09-4644-920B-48F33D1ED06F}"/>
            </c:ext>
          </c:extLst>
        </c:ser>
        <c:ser>
          <c:idx val="1"/>
          <c:order val="1"/>
          <c:tx>
            <c:strRef>
              <c:f>'6bis'!$J$3</c:f>
              <c:strCache>
                <c:ptCount val="1"/>
                <c:pt idx="0">
                  <c:v>somewhat disagree</c:v>
                </c:pt>
              </c:strCache>
            </c:strRef>
          </c:tx>
          <c:spPr>
            <a:solidFill>
              <a:srgbClr val="FF9933"/>
            </a:solidFill>
            <a:ln>
              <a:noFill/>
            </a:ln>
            <a:effectLst/>
          </c:spPr>
          <c:invertIfNegative val="0"/>
          <c:cat>
            <c:strRef>
              <c:f>'6bis'!$AZ$1:$BG$1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'6bis'!$AZ$3:$BG$3</c:f>
              <c:numCache>
                <c:formatCode>General</c:formatCode>
                <c:ptCount val="8"/>
                <c:pt idx="0">
                  <c:v>8</c:v>
                </c:pt>
                <c:pt idx="1">
                  <c:v>5</c:v>
                </c:pt>
                <c:pt idx="2">
                  <c:v>1</c:v>
                </c:pt>
                <c:pt idx="3">
                  <c:v>1</c:v>
                </c:pt>
                <c:pt idx="4">
                  <c:v>10</c:v>
                </c:pt>
                <c:pt idx="5">
                  <c:v>2</c:v>
                </c:pt>
                <c:pt idx="6">
                  <c:v>0</c:v>
                </c:pt>
                <c:pt idx="7">
                  <c:v>7</c:v>
                </c:pt>
              </c:numCache>
            </c:numRef>
          </c:val>
          <c:extLst>
            <c:ext xmlns:c16="http://schemas.microsoft.com/office/drawing/2014/chart" uri="{C3380CC4-5D6E-409C-BE32-E72D297353CC}">
              <c16:uniqueId val="{00000001-4C09-4644-920B-48F33D1ED06F}"/>
            </c:ext>
          </c:extLst>
        </c:ser>
        <c:ser>
          <c:idx val="2"/>
          <c:order val="2"/>
          <c:tx>
            <c:strRef>
              <c:f>'6bis'!$J$4</c:f>
              <c:strCache>
                <c:ptCount val="1"/>
                <c:pt idx="0">
                  <c:v>neither</c:v>
                </c:pt>
              </c:strCache>
            </c:strRef>
          </c:tx>
          <c:spPr>
            <a:solidFill>
              <a:srgbClr val="FFC000"/>
            </a:solidFill>
            <a:ln>
              <a:noFill/>
            </a:ln>
            <a:effectLst/>
          </c:spPr>
          <c:invertIfNegative val="0"/>
          <c:cat>
            <c:strRef>
              <c:f>'6bis'!$AZ$1:$BG$1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'6bis'!$AZ$4:$BG$4</c:f>
              <c:numCache>
                <c:formatCode>General</c:formatCode>
                <c:ptCount val="8"/>
                <c:pt idx="0">
                  <c:v>20</c:v>
                </c:pt>
                <c:pt idx="1">
                  <c:v>11</c:v>
                </c:pt>
                <c:pt idx="2">
                  <c:v>3</c:v>
                </c:pt>
                <c:pt idx="3">
                  <c:v>4</c:v>
                </c:pt>
                <c:pt idx="4">
                  <c:v>22</c:v>
                </c:pt>
                <c:pt idx="5">
                  <c:v>5</c:v>
                </c:pt>
                <c:pt idx="6">
                  <c:v>3</c:v>
                </c:pt>
                <c:pt idx="7">
                  <c:v>13</c:v>
                </c:pt>
              </c:numCache>
            </c:numRef>
          </c:val>
          <c:extLst>
            <c:ext xmlns:c16="http://schemas.microsoft.com/office/drawing/2014/chart" uri="{C3380CC4-5D6E-409C-BE32-E72D297353CC}">
              <c16:uniqueId val="{00000002-4C09-4644-920B-48F33D1ED06F}"/>
            </c:ext>
          </c:extLst>
        </c:ser>
        <c:ser>
          <c:idx val="3"/>
          <c:order val="3"/>
          <c:tx>
            <c:strRef>
              <c:f>'6bis'!$J$5</c:f>
              <c:strCache>
                <c:ptCount val="1"/>
                <c:pt idx="0">
                  <c:v>somewhat agree</c:v>
                </c:pt>
              </c:strCache>
            </c:strRef>
          </c:tx>
          <c:spPr>
            <a:solidFill>
              <a:schemeClr val="accent5">
                <a:lumMod val="60000"/>
                <a:lumOff val="40000"/>
              </a:schemeClr>
            </a:solidFill>
            <a:ln>
              <a:noFill/>
            </a:ln>
            <a:effectLst/>
          </c:spPr>
          <c:invertIfNegative val="0"/>
          <c:cat>
            <c:strRef>
              <c:f>'6bis'!$AZ$1:$BG$1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'6bis'!$AZ$5:$BG$5</c:f>
              <c:numCache>
                <c:formatCode>General</c:formatCode>
                <c:ptCount val="8"/>
                <c:pt idx="0">
                  <c:v>5</c:v>
                </c:pt>
                <c:pt idx="1">
                  <c:v>5</c:v>
                </c:pt>
                <c:pt idx="2">
                  <c:v>2</c:v>
                </c:pt>
                <c:pt idx="3">
                  <c:v>1</c:v>
                </c:pt>
                <c:pt idx="4">
                  <c:v>12</c:v>
                </c:pt>
                <c:pt idx="5">
                  <c:v>5</c:v>
                </c:pt>
                <c:pt idx="6">
                  <c:v>0</c:v>
                </c:pt>
                <c:pt idx="7">
                  <c:v>5</c:v>
                </c:pt>
              </c:numCache>
            </c:numRef>
          </c:val>
          <c:extLst>
            <c:ext xmlns:c16="http://schemas.microsoft.com/office/drawing/2014/chart" uri="{C3380CC4-5D6E-409C-BE32-E72D297353CC}">
              <c16:uniqueId val="{00000003-4C09-4644-920B-48F33D1ED06F}"/>
            </c:ext>
          </c:extLst>
        </c:ser>
        <c:ser>
          <c:idx val="4"/>
          <c:order val="4"/>
          <c:tx>
            <c:strRef>
              <c:f>'6bis'!$J$6</c:f>
              <c:strCache>
                <c:ptCount val="1"/>
                <c:pt idx="0">
                  <c:v>strongly agree</c:v>
                </c:pt>
              </c:strCache>
            </c:strRef>
          </c:tx>
          <c:spPr>
            <a:solidFill>
              <a:schemeClr val="accent1"/>
            </a:solidFill>
            <a:ln>
              <a:noFill/>
            </a:ln>
            <a:effectLst/>
          </c:spPr>
          <c:invertIfNegative val="0"/>
          <c:cat>
            <c:strRef>
              <c:f>'6bis'!$AZ$1:$BG$1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'6bis'!$AZ$6:$BG$6</c:f>
              <c:numCache>
                <c:formatCode>General</c:formatCode>
                <c:ptCount val="8"/>
                <c:pt idx="0">
                  <c:v>1</c:v>
                </c:pt>
                <c:pt idx="1">
                  <c:v>3</c:v>
                </c:pt>
                <c:pt idx="2">
                  <c:v>3</c:v>
                </c:pt>
                <c:pt idx="3">
                  <c:v>2</c:v>
                </c:pt>
                <c:pt idx="4">
                  <c:v>6</c:v>
                </c:pt>
                <c:pt idx="5">
                  <c:v>2</c:v>
                </c:pt>
                <c:pt idx="6">
                  <c:v>0</c:v>
                </c:pt>
                <c:pt idx="7">
                  <c:v>2</c:v>
                </c:pt>
              </c:numCache>
            </c:numRef>
          </c:val>
          <c:extLst>
            <c:ext xmlns:c16="http://schemas.microsoft.com/office/drawing/2014/chart" uri="{C3380CC4-5D6E-409C-BE32-E72D297353CC}">
              <c16:uniqueId val="{00000004-4C09-4644-920B-48F33D1ED06F}"/>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Experiments are performed blinded</a:t>
            </a:r>
            <a:endParaRPr lang="en-GB"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GB" sz="1400"/>
              <a:t>(importance)</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barChart>
        <c:barDir val="col"/>
        <c:grouping val="percentStacked"/>
        <c:varyColors val="0"/>
        <c:ser>
          <c:idx val="0"/>
          <c:order val="0"/>
          <c:tx>
            <c:strRef>
              <c:f>'6bis'!$J$8</c:f>
              <c:strCache>
                <c:ptCount val="1"/>
                <c:pt idx="0">
                  <c:v>strongly disagree</c:v>
                </c:pt>
              </c:strCache>
            </c:strRef>
          </c:tx>
          <c:spPr>
            <a:solidFill>
              <a:srgbClr val="FF0000"/>
            </a:solidFill>
            <a:ln>
              <a:noFill/>
            </a:ln>
            <a:effectLst/>
          </c:spPr>
          <c:invertIfNegative val="0"/>
          <c:cat>
            <c:strRef>
              <c:f>'6bis'!$AZ$1:$BG$1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'6bis'!$AZ$8:$BG$8</c:f>
              <c:numCache>
                <c:formatCode>General</c:formatCode>
                <c:ptCount val="8"/>
                <c:pt idx="0">
                  <c:v>7</c:v>
                </c:pt>
                <c:pt idx="1">
                  <c:v>8</c:v>
                </c:pt>
                <c:pt idx="2">
                  <c:v>1</c:v>
                </c:pt>
                <c:pt idx="3">
                  <c:v>1</c:v>
                </c:pt>
                <c:pt idx="4">
                  <c:v>6</c:v>
                </c:pt>
                <c:pt idx="5">
                  <c:v>3</c:v>
                </c:pt>
                <c:pt idx="6">
                  <c:v>4</c:v>
                </c:pt>
                <c:pt idx="7">
                  <c:v>6</c:v>
                </c:pt>
              </c:numCache>
            </c:numRef>
          </c:val>
          <c:extLst>
            <c:ext xmlns:c16="http://schemas.microsoft.com/office/drawing/2014/chart" uri="{C3380CC4-5D6E-409C-BE32-E72D297353CC}">
              <c16:uniqueId val="{00000000-807B-4277-A3A4-BA4B6C4A546A}"/>
            </c:ext>
          </c:extLst>
        </c:ser>
        <c:ser>
          <c:idx val="1"/>
          <c:order val="1"/>
          <c:tx>
            <c:strRef>
              <c:f>'6bis'!$J$9</c:f>
              <c:strCache>
                <c:ptCount val="1"/>
                <c:pt idx="0">
                  <c:v>somewhat disagree</c:v>
                </c:pt>
              </c:strCache>
            </c:strRef>
          </c:tx>
          <c:spPr>
            <a:solidFill>
              <a:srgbClr val="FF9933"/>
            </a:solidFill>
            <a:ln>
              <a:noFill/>
            </a:ln>
            <a:effectLst/>
          </c:spPr>
          <c:invertIfNegative val="0"/>
          <c:cat>
            <c:strRef>
              <c:f>'6bis'!$AZ$1:$BG$1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'6bis'!$AZ$9:$BG$9</c:f>
              <c:numCache>
                <c:formatCode>General</c:formatCode>
                <c:ptCount val="8"/>
                <c:pt idx="0">
                  <c:v>4</c:v>
                </c:pt>
                <c:pt idx="1">
                  <c:v>3</c:v>
                </c:pt>
                <c:pt idx="2">
                  <c:v>0</c:v>
                </c:pt>
                <c:pt idx="3">
                  <c:v>1</c:v>
                </c:pt>
                <c:pt idx="4">
                  <c:v>6</c:v>
                </c:pt>
                <c:pt idx="5">
                  <c:v>0</c:v>
                </c:pt>
                <c:pt idx="6">
                  <c:v>0</c:v>
                </c:pt>
                <c:pt idx="7">
                  <c:v>2</c:v>
                </c:pt>
              </c:numCache>
            </c:numRef>
          </c:val>
          <c:extLst>
            <c:ext xmlns:c16="http://schemas.microsoft.com/office/drawing/2014/chart" uri="{C3380CC4-5D6E-409C-BE32-E72D297353CC}">
              <c16:uniqueId val="{00000001-807B-4277-A3A4-BA4B6C4A546A}"/>
            </c:ext>
          </c:extLst>
        </c:ser>
        <c:ser>
          <c:idx val="2"/>
          <c:order val="2"/>
          <c:tx>
            <c:strRef>
              <c:f>'6bis'!$J$10</c:f>
              <c:strCache>
                <c:ptCount val="1"/>
                <c:pt idx="0">
                  <c:v>neither</c:v>
                </c:pt>
              </c:strCache>
            </c:strRef>
          </c:tx>
          <c:spPr>
            <a:solidFill>
              <a:srgbClr val="FFC000"/>
            </a:solidFill>
            <a:ln>
              <a:noFill/>
            </a:ln>
            <a:effectLst/>
          </c:spPr>
          <c:invertIfNegative val="0"/>
          <c:cat>
            <c:strRef>
              <c:f>'6bis'!$AZ$1:$BG$1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'6bis'!$AZ$10:$BG$10</c:f>
              <c:numCache>
                <c:formatCode>General</c:formatCode>
                <c:ptCount val="8"/>
                <c:pt idx="0">
                  <c:v>20</c:v>
                </c:pt>
                <c:pt idx="1">
                  <c:v>13</c:v>
                </c:pt>
                <c:pt idx="2">
                  <c:v>1</c:v>
                </c:pt>
                <c:pt idx="3">
                  <c:v>3</c:v>
                </c:pt>
                <c:pt idx="4">
                  <c:v>16</c:v>
                </c:pt>
                <c:pt idx="5">
                  <c:v>2</c:v>
                </c:pt>
                <c:pt idx="6">
                  <c:v>4</c:v>
                </c:pt>
                <c:pt idx="7">
                  <c:v>13</c:v>
                </c:pt>
              </c:numCache>
            </c:numRef>
          </c:val>
          <c:extLst>
            <c:ext xmlns:c16="http://schemas.microsoft.com/office/drawing/2014/chart" uri="{C3380CC4-5D6E-409C-BE32-E72D297353CC}">
              <c16:uniqueId val="{00000002-807B-4277-A3A4-BA4B6C4A546A}"/>
            </c:ext>
          </c:extLst>
        </c:ser>
        <c:ser>
          <c:idx val="3"/>
          <c:order val="3"/>
          <c:tx>
            <c:strRef>
              <c:f>'6bis'!$J$11</c:f>
              <c:strCache>
                <c:ptCount val="1"/>
                <c:pt idx="0">
                  <c:v>somewhat agree</c:v>
                </c:pt>
              </c:strCache>
            </c:strRef>
          </c:tx>
          <c:spPr>
            <a:solidFill>
              <a:schemeClr val="accent5">
                <a:lumMod val="60000"/>
                <a:lumOff val="40000"/>
              </a:schemeClr>
            </a:solidFill>
            <a:ln>
              <a:noFill/>
            </a:ln>
            <a:effectLst/>
          </c:spPr>
          <c:invertIfNegative val="0"/>
          <c:cat>
            <c:strRef>
              <c:f>'6bis'!$AZ$1:$BG$1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'6bis'!$AZ$11:$BG$11</c:f>
              <c:numCache>
                <c:formatCode>General</c:formatCode>
                <c:ptCount val="8"/>
                <c:pt idx="0">
                  <c:v>13</c:v>
                </c:pt>
                <c:pt idx="1">
                  <c:v>3</c:v>
                </c:pt>
                <c:pt idx="2">
                  <c:v>1</c:v>
                </c:pt>
                <c:pt idx="3">
                  <c:v>2</c:v>
                </c:pt>
                <c:pt idx="4">
                  <c:v>16</c:v>
                </c:pt>
                <c:pt idx="5">
                  <c:v>3</c:v>
                </c:pt>
                <c:pt idx="6">
                  <c:v>0</c:v>
                </c:pt>
                <c:pt idx="7">
                  <c:v>8</c:v>
                </c:pt>
              </c:numCache>
            </c:numRef>
          </c:val>
          <c:extLst>
            <c:ext xmlns:c16="http://schemas.microsoft.com/office/drawing/2014/chart" uri="{C3380CC4-5D6E-409C-BE32-E72D297353CC}">
              <c16:uniqueId val="{00000003-807B-4277-A3A4-BA4B6C4A546A}"/>
            </c:ext>
          </c:extLst>
        </c:ser>
        <c:ser>
          <c:idx val="4"/>
          <c:order val="4"/>
          <c:tx>
            <c:strRef>
              <c:f>'6bis'!$J$12</c:f>
              <c:strCache>
                <c:ptCount val="1"/>
                <c:pt idx="0">
                  <c:v>strongly agree</c:v>
                </c:pt>
              </c:strCache>
            </c:strRef>
          </c:tx>
          <c:spPr>
            <a:solidFill>
              <a:schemeClr val="accent1"/>
            </a:solidFill>
            <a:ln>
              <a:noFill/>
            </a:ln>
            <a:effectLst/>
          </c:spPr>
          <c:invertIfNegative val="0"/>
          <c:cat>
            <c:strRef>
              <c:f>'6bis'!$AZ$1:$BG$1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'6bis'!$AZ$12:$BG$12</c:f>
              <c:numCache>
                <c:formatCode>General</c:formatCode>
                <c:ptCount val="8"/>
                <c:pt idx="0">
                  <c:v>6</c:v>
                </c:pt>
                <c:pt idx="1">
                  <c:v>5</c:v>
                </c:pt>
                <c:pt idx="2">
                  <c:v>8</c:v>
                </c:pt>
                <c:pt idx="3">
                  <c:v>1</c:v>
                </c:pt>
                <c:pt idx="4">
                  <c:v>16</c:v>
                </c:pt>
                <c:pt idx="5">
                  <c:v>8</c:v>
                </c:pt>
                <c:pt idx="6">
                  <c:v>0</c:v>
                </c:pt>
                <c:pt idx="7">
                  <c:v>6</c:v>
                </c:pt>
              </c:numCache>
            </c:numRef>
          </c:val>
          <c:extLst>
            <c:ext xmlns:c16="http://schemas.microsoft.com/office/drawing/2014/chart" uri="{C3380CC4-5D6E-409C-BE32-E72D297353CC}">
              <c16:uniqueId val="{00000004-807B-4277-A3A4-BA4B6C4A546A}"/>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Experimental design (currently)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'6bis'!$BI$2</c:f>
              <c:strCache>
                <c:ptCount val="1"/>
                <c:pt idx="0">
                  <c:v>strongly disagree</c:v>
                </c:pt>
              </c:strCache>
            </c:strRef>
          </c:tx>
          <c:spPr>
            <a:solidFill>
              <a:srgbClr val="FF0000"/>
            </a:solidFill>
            <a:ln>
              <a:noFill/>
            </a:ln>
            <a:effectLst/>
          </c:spPr>
          <c:invertIfNegative val="0"/>
          <c:cat>
            <c:strRef>
              <c:f>'6bis'!$BJ$1:$BL$1</c:f>
              <c:strCache>
                <c:ptCount val="3"/>
                <c:pt idx="0">
                  <c:v>Samples are randomized</c:v>
                </c:pt>
                <c:pt idx="1">
                  <c:v>Samples/experiments are replicated</c:v>
                </c:pt>
                <c:pt idx="2">
                  <c:v>Experiments are performed blinded</c:v>
                </c:pt>
              </c:strCache>
            </c:strRef>
          </c:cat>
          <c:val>
            <c:numRef>
              <c:f>'6bis'!$BJ$2:$BL$2</c:f>
              <c:numCache>
                <c:formatCode>General</c:formatCode>
                <c:ptCount val="3"/>
                <c:pt idx="0">
                  <c:v>46</c:v>
                </c:pt>
                <c:pt idx="1">
                  <c:v>20</c:v>
                </c:pt>
                <c:pt idx="2">
                  <c:v>64</c:v>
                </c:pt>
              </c:numCache>
            </c:numRef>
          </c:val>
          <c:extLst>
            <c:ext xmlns:c16="http://schemas.microsoft.com/office/drawing/2014/chart" uri="{C3380CC4-5D6E-409C-BE32-E72D297353CC}">
              <c16:uniqueId val="{00000000-BA71-49BC-B3FF-2648D6EB4ED4}"/>
            </c:ext>
          </c:extLst>
        </c:ser>
        <c:ser>
          <c:idx val="1"/>
          <c:order val="1"/>
          <c:tx>
            <c:strRef>
              <c:f>'6bis'!$BI$3</c:f>
              <c:strCache>
                <c:ptCount val="1"/>
                <c:pt idx="0">
                  <c:v>somewhat disagree</c:v>
                </c:pt>
              </c:strCache>
            </c:strRef>
          </c:tx>
          <c:spPr>
            <a:solidFill>
              <a:srgbClr val="FF9933"/>
            </a:solidFill>
            <a:ln>
              <a:noFill/>
            </a:ln>
            <a:effectLst/>
          </c:spPr>
          <c:invertIfNegative val="0"/>
          <c:cat>
            <c:strRef>
              <c:f>'6bis'!$BJ$1:$BL$1</c:f>
              <c:strCache>
                <c:ptCount val="3"/>
                <c:pt idx="0">
                  <c:v>Samples are randomized</c:v>
                </c:pt>
                <c:pt idx="1">
                  <c:v>Samples/experiments are replicated</c:v>
                </c:pt>
                <c:pt idx="2">
                  <c:v>Experiments are performed blinded</c:v>
                </c:pt>
              </c:strCache>
            </c:strRef>
          </c:cat>
          <c:val>
            <c:numRef>
              <c:f>'6bis'!$BJ$3:$BL$3</c:f>
              <c:numCache>
                <c:formatCode>General</c:formatCode>
                <c:ptCount val="3"/>
                <c:pt idx="0">
                  <c:v>36</c:v>
                </c:pt>
                <c:pt idx="1">
                  <c:v>26</c:v>
                </c:pt>
                <c:pt idx="2">
                  <c:v>42</c:v>
                </c:pt>
              </c:numCache>
            </c:numRef>
          </c:val>
          <c:extLst>
            <c:ext xmlns:c16="http://schemas.microsoft.com/office/drawing/2014/chart" uri="{C3380CC4-5D6E-409C-BE32-E72D297353CC}">
              <c16:uniqueId val="{00000001-BA71-49BC-B3FF-2648D6EB4ED4}"/>
            </c:ext>
          </c:extLst>
        </c:ser>
        <c:ser>
          <c:idx val="2"/>
          <c:order val="2"/>
          <c:tx>
            <c:strRef>
              <c:f>'6bis'!$BI$4</c:f>
              <c:strCache>
                <c:ptCount val="1"/>
                <c:pt idx="0">
                  <c:v>neither</c:v>
                </c:pt>
              </c:strCache>
            </c:strRef>
          </c:tx>
          <c:spPr>
            <a:solidFill>
              <a:srgbClr val="FFC000"/>
            </a:solidFill>
            <a:ln>
              <a:noFill/>
            </a:ln>
            <a:effectLst/>
          </c:spPr>
          <c:invertIfNegative val="0"/>
          <c:cat>
            <c:strRef>
              <c:f>'6bis'!$BJ$1:$BL$1</c:f>
              <c:strCache>
                <c:ptCount val="3"/>
                <c:pt idx="0">
                  <c:v>Samples are randomized</c:v>
                </c:pt>
                <c:pt idx="1">
                  <c:v>Samples/experiments are replicated</c:v>
                </c:pt>
                <c:pt idx="2">
                  <c:v>Experiments are performed blinded</c:v>
                </c:pt>
              </c:strCache>
            </c:strRef>
          </c:cat>
          <c:val>
            <c:numRef>
              <c:f>'6bis'!$BJ$4:$BL$4</c:f>
              <c:numCache>
                <c:formatCode>General</c:formatCode>
                <c:ptCount val="3"/>
                <c:pt idx="0">
                  <c:v>115</c:v>
                </c:pt>
                <c:pt idx="1">
                  <c:v>64</c:v>
                </c:pt>
                <c:pt idx="2">
                  <c:v>64</c:v>
                </c:pt>
              </c:numCache>
            </c:numRef>
          </c:val>
          <c:extLst>
            <c:ext xmlns:c16="http://schemas.microsoft.com/office/drawing/2014/chart" uri="{C3380CC4-5D6E-409C-BE32-E72D297353CC}">
              <c16:uniqueId val="{00000002-BA71-49BC-B3FF-2648D6EB4ED4}"/>
            </c:ext>
          </c:extLst>
        </c:ser>
        <c:ser>
          <c:idx val="3"/>
          <c:order val="3"/>
          <c:tx>
            <c:strRef>
              <c:f>'6bis'!$BI$5</c:f>
              <c:strCache>
                <c:ptCount val="1"/>
                <c:pt idx="0">
                  <c:v>somewhat agree</c:v>
                </c:pt>
              </c:strCache>
            </c:strRef>
          </c:tx>
          <c:spPr>
            <a:solidFill>
              <a:schemeClr val="accent5">
                <a:lumMod val="40000"/>
                <a:lumOff val="60000"/>
              </a:schemeClr>
            </a:solidFill>
            <a:ln>
              <a:noFill/>
            </a:ln>
            <a:effectLst/>
          </c:spPr>
          <c:invertIfNegative val="0"/>
          <c:cat>
            <c:strRef>
              <c:f>'6bis'!$BJ$1:$BL$1</c:f>
              <c:strCache>
                <c:ptCount val="3"/>
                <c:pt idx="0">
                  <c:v>Samples are randomized</c:v>
                </c:pt>
                <c:pt idx="1">
                  <c:v>Samples/experiments are replicated</c:v>
                </c:pt>
                <c:pt idx="2">
                  <c:v>Experiments are performed blinded</c:v>
                </c:pt>
              </c:strCache>
            </c:strRef>
          </c:cat>
          <c:val>
            <c:numRef>
              <c:f>'6bis'!$BJ$5:$BL$5</c:f>
              <c:numCache>
                <c:formatCode>General</c:formatCode>
                <c:ptCount val="3"/>
                <c:pt idx="0">
                  <c:v>36</c:v>
                </c:pt>
                <c:pt idx="1">
                  <c:v>71</c:v>
                </c:pt>
                <c:pt idx="2">
                  <c:v>40</c:v>
                </c:pt>
              </c:numCache>
            </c:numRef>
          </c:val>
          <c:extLst>
            <c:ext xmlns:c16="http://schemas.microsoft.com/office/drawing/2014/chart" uri="{C3380CC4-5D6E-409C-BE32-E72D297353CC}">
              <c16:uniqueId val="{00000003-BA71-49BC-B3FF-2648D6EB4ED4}"/>
            </c:ext>
          </c:extLst>
        </c:ser>
        <c:ser>
          <c:idx val="4"/>
          <c:order val="4"/>
          <c:tx>
            <c:strRef>
              <c:f>'6bis'!$BI$6</c:f>
              <c:strCache>
                <c:ptCount val="1"/>
                <c:pt idx="0">
                  <c:v>strongly agree</c:v>
                </c:pt>
              </c:strCache>
            </c:strRef>
          </c:tx>
          <c:spPr>
            <a:solidFill>
              <a:schemeClr val="accent1"/>
            </a:solidFill>
            <a:ln>
              <a:noFill/>
            </a:ln>
            <a:effectLst/>
          </c:spPr>
          <c:invertIfNegative val="0"/>
          <c:cat>
            <c:strRef>
              <c:f>'6bis'!$BJ$1:$BL$1</c:f>
              <c:strCache>
                <c:ptCount val="3"/>
                <c:pt idx="0">
                  <c:v>Samples are randomized</c:v>
                </c:pt>
                <c:pt idx="1">
                  <c:v>Samples/experiments are replicated</c:v>
                </c:pt>
                <c:pt idx="2">
                  <c:v>Experiments are performed blinded</c:v>
                </c:pt>
              </c:strCache>
            </c:strRef>
          </c:cat>
          <c:val>
            <c:numRef>
              <c:f>'6bis'!$BJ$6:$BL$6</c:f>
              <c:numCache>
                <c:formatCode>General</c:formatCode>
                <c:ptCount val="3"/>
                <c:pt idx="0">
                  <c:v>38</c:v>
                </c:pt>
                <c:pt idx="1">
                  <c:v>90</c:v>
                </c:pt>
                <c:pt idx="2">
                  <c:v>23</c:v>
                </c:pt>
              </c:numCache>
            </c:numRef>
          </c:val>
          <c:extLst>
            <c:ext xmlns:c16="http://schemas.microsoft.com/office/drawing/2014/chart" uri="{C3380CC4-5D6E-409C-BE32-E72D297353CC}">
              <c16:uniqueId val="{00000004-BA71-49BC-B3FF-2648D6EB4ED4}"/>
            </c:ext>
          </c:extLst>
        </c:ser>
        <c:dLbls>
          <c:showLegendKey val="0"/>
          <c:showVal val="0"/>
          <c:showCatName val="0"/>
          <c:showSerName val="0"/>
          <c:showPercent val="0"/>
          <c:showBubbleSize val="0"/>
        </c:dLbls>
        <c:gapWidth val="130"/>
        <c:overlap val="100"/>
        <c:axId val="1285697056"/>
        <c:axId val="1286341504"/>
      </c:barChart>
      <c:catAx>
        <c:axId val="1285697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86341504"/>
        <c:crosses val="autoZero"/>
        <c:auto val="1"/>
        <c:lblAlgn val="ctr"/>
        <c:lblOffset val="100"/>
        <c:noMultiLvlLbl val="0"/>
      </c:catAx>
      <c:valAx>
        <c:axId val="12863415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856970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Experimental design (importance)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'6bis'!$BN$2</c:f>
              <c:strCache>
                <c:ptCount val="1"/>
                <c:pt idx="0">
                  <c:v>strongly disagree</c:v>
                </c:pt>
              </c:strCache>
            </c:strRef>
          </c:tx>
          <c:spPr>
            <a:solidFill>
              <a:srgbClr val="FF0000"/>
            </a:solidFill>
            <a:ln>
              <a:noFill/>
            </a:ln>
            <a:effectLst/>
          </c:spPr>
          <c:invertIfNegative val="0"/>
          <c:cat>
            <c:strRef>
              <c:f>'6bis'!$BO$1:$BQ$1</c:f>
              <c:strCache>
                <c:ptCount val="3"/>
                <c:pt idx="0">
                  <c:v>Samples are randomized</c:v>
                </c:pt>
                <c:pt idx="1">
                  <c:v>Samples/experiments are replicated</c:v>
                </c:pt>
                <c:pt idx="2">
                  <c:v>Experiments are performed blinded</c:v>
                </c:pt>
              </c:strCache>
            </c:strRef>
          </c:cat>
          <c:val>
            <c:numRef>
              <c:f>'6bis'!$BO$2:$BQ$2</c:f>
              <c:numCache>
                <c:formatCode>General</c:formatCode>
                <c:ptCount val="3"/>
                <c:pt idx="0">
                  <c:v>46</c:v>
                </c:pt>
                <c:pt idx="1">
                  <c:v>43</c:v>
                </c:pt>
                <c:pt idx="2">
                  <c:v>48</c:v>
                </c:pt>
              </c:numCache>
            </c:numRef>
          </c:val>
          <c:extLst>
            <c:ext xmlns:c16="http://schemas.microsoft.com/office/drawing/2014/chart" uri="{C3380CC4-5D6E-409C-BE32-E72D297353CC}">
              <c16:uniqueId val="{00000000-084F-4078-AD16-CA26A03CE90B}"/>
            </c:ext>
          </c:extLst>
        </c:ser>
        <c:ser>
          <c:idx val="1"/>
          <c:order val="1"/>
          <c:tx>
            <c:strRef>
              <c:f>'6bis'!$BN$3</c:f>
              <c:strCache>
                <c:ptCount val="1"/>
                <c:pt idx="0">
                  <c:v>somewhat disagree</c:v>
                </c:pt>
              </c:strCache>
            </c:strRef>
          </c:tx>
          <c:spPr>
            <a:solidFill>
              <a:srgbClr val="FF9933"/>
            </a:solidFill>
            <a:ln>
              <a:noFill/>
            </a:ln>
            <a:effectLst/>
          </c:spPr>
          <c:invertIfNegative val="0"/>
          <c:cat>
            <c:strRef>
              <c:f>'6bis'!$BO$1:$BQ$1</c:f>
              <c:strCache>
                <c:ptCount val="3"/>
                <c:pt idx="0">
                  <c:v>Samples are randomized</c:v>
                </c:pt>
                <c:pt idx="1">
                  <c:v>Samples/experiments are replicated</c:v>
                </c:pt>
                <c:pt idx="2">
                  <c:v>Experiments are performed blinded</c:v>
                </c:pt>
              </c:strCache>
            </c:strRef>
          </c:cat>
          <c:val>
            <c:numRef>
              <c:f>'6bis'!$BO$3:$BQ$3</c:f>
              <c:numCache>
                <c:formatCode>General</c:formatCode>
                <c:ptCount val="3"/>
                <c:pt idx="0">
                  <c:v>26</c:v>
                </c:pt>
                <c:pt idx="1">
                  <c:v>11</c:v>
                </c:pt>
                <c:pt idx="2">
                  <c:v>20</c:v>
                </c:pt>
              </c:numCache>
            </c:numRef>
          </c:val>
          <c:extLst>
            <c:ext xmlns:c16="http://schemas.microsoft.com/office/drawing/2014/chart" uri="{C3380CC4-5D6E-409C-BE32-E72D297353CC}">
              <c16:uniqueId val="{00000001-084F-4078-AD16-CA26A03CE90B}"/>
            </c:ext>
          </c:extLst>
        </c:ser>
        <c:ser>
          <c:idx val="2"/>
          <c:order val="2"/>
          <c:tx>
            <c:strRef>
              <c:f>'6bis'!$BN$4</c:f>
              <c:strCache>
                <c:ptCount val="1"/>
                <c:pt idx="0">
                  <c:v>neither</c:v>
                </c:pt>
              </c:strCache>
            </c:strRef>
          </c:tx>
          <c:spPr>
            <a:solidFill>
              <a:srgbClr val="FFC000"/>
            </a:solidFill>
            <a:ln>
              <a:noFill/>
            </a:ln>
            <a:effectLst/>
          </c:spPr>
          <c:invertIfNegative val="0"/>
          <c:cat>
            <c:strRef>
              <c:f>'6bis'!$BO$1:$BQ$1</c:f>
              <c:strCache>
                <c:ptCount val="3"/>
                <c:pt idx="0">
                  <c:v>Samples are randomized</c:v>
                </c:pt>
                <c:pt idx="1">
                  <c:v>Samples/experiments are replicated</c:v>
                </c:pt>
                <c:pt idx="2">
                  <c:v>Experiments are performed blinded</c:v>
                </c:pt>
              </c:strCache>
            </c:strRef>
          </c:cat>
          <c:val>
            <c:numRef>
              <c:f>'6bis'!$BO$4:$BQ$4</c:f>
              <c:numCache>
                <c:formatCode>General</c:formatCode>
                <c:ptCount val="3"/>
                <c:pt idx="0">
                  <c:v>82</c:v>
                </c:pt>
                <c:pt idx="1">
                  <c:v>28</c:v>
                </c:pt>
                <c:pt idx="2">
                  <c:v>93</c:v>
                </c:pt>
              </c:numCache>
            </c:numRef>
          </c:val>
          <c:extLst>
            <c:ext xmlns:c16="http://schemas.microsoft.com/office/drawing/2014/chart" uri="{C3380CC4-5D6E-409C-BE32-E72D297353CC}">
              <c16:uniqueId val="{00000002-084F-4078-AD16-CA26A03CE90B}"/>
            </c:ext>
          </c:extLst>
        </c:ser>
        <c:ser>
          <c:idx val="3"/>
          <c:order val="3"/>
          <c:tx>
            <c:strRef>
              <c:f>'6bis'!$BN$5</c:f>
              <c:strCache>
                <c:ptCount val="1"/>
                <c:pt idx="0">
                  <c:v>somewhat agree</c:v>
                </c:pt>
              </c:strCache>
            </c:strRef>
          </c:tx>
          <c:spPr>
            <a:solidFill>
              <a:schemeClr val="accent5">
                <a:lumMod val="40000"/>
                <a:lumOff val="60000"/>
              </a:schemeClr>
            </a:solidFill>
            <a:ln>
              <a:noFill/>
            </a:ln>
            <a:effectLst/>
          </c:spPr>
          <c:invertIfNegative val="0"/>
          <c:cat>
            <c:strRef>
              <c:f>'6bis'!$BO$1:$BQ$1</c:f>
              <c:strCache>
                <c:ptCount val="3"/>
                <c:pt idx="0">
                  <c:v>Samples are randomized</c:v>
                </c:pt>
                <c:pt idx="1">
                  <c:v>Samples/experiments are replicated</c:v>
                </c:pt>
                <c:pt idx="2">
                  <c:v>Experiments are performed blinded</c:v>
                </c:pt>
              </c:strCache>
            </c:strRef>
          </c:cat>
          <c:val>
            <c:numRef>
              <c:f>'6bis'!$BO$5:$BQ$5</c:f>
              <c:numCache>
                <c:formatCode>General</c:formatCode>
                <c:ptCount val="3"/>
                <c:pt idx="0">
                  <c:v>44</c:v>
                </c:pt>
                <c:pt idx="1">
                  <c:v>25</c:v>
                </c:pt>
                <c:pt idx="2">
                  <c:v>52</c:v>
                </c:pt>
              </c:numCache>
            </c:numRef>
          </c:val>
          <c:extLst>
            <c:ext xmlns:c16="http://schemas.microsoft.com/office/drawing/2014/chart" uri="{C3380CC4-5D6E-409C-BE32-E72D297353CC}">
              <c16:uniqueId val="{00000003-084F-4078-AD16-CA26A03CE90B}"/>
            </c:ext>
          </c:extLst>
        </c:ser>
        <c:ser>
          <c:idx val="4"/>
          <c:order val="4"/>
          <c:tx>
            <c:strRef>
              <c:f>'6bis'!$BN$6</c:f>
              <c:strCache>
                <c:ptCount val="1"/>
                <c:pt idx="0">
                  <c:v>strongly agree</c:v>
                </c:pt>
              </c:strCache>
            </c:strRef>
          </c:tx>
          <c:spPr>
            <a:solidFill>
              <a:schemeClr val="accent1"/>
            </a:solidFill>
            <a:ln>
              <a:noFill/>
            </a:ln>
            <a:effectLst/>
          </c:spPr>
          <c:invertIfNegative val="0"/>
          <c:cat>
            <c:strRef>
              <c:f>'6bis'!$BO$1:$BQ$1</c:f>
              <c:strCache>
                <c:ptCount val="3"/>
                <c:pt idx="0">
                  <c:v>Samples are randomized</c:v>
                </c:pt>
                <c:pt idx="1">
                  <c:v>Samples/experiments are replicated</c:v>
                </c:pt>
                <c:pt idx="2">
                  <c:v>Experiments are performed blinded</c:v>
                </c:pt>
              </c:strCache>
            </c:strRef>
          </c:cat>
          <c:val>
            <c:numRef>
              <c:f>'6bis'!$BO$6:$BQ$6</c:f>
              <c:numCache>
                <c:formatCode>General</c:formatCode>
                <c:ptCount val="3"/>
                <c:pt idx="0">
                  <c:v>73</c:v>
                </c:pt>
                <c:pt idx="1">
                  <c:v>164</c:v>
                </c:pt>
                <c:pt idx="2">
                  <c:v>58</c:v>
                </c:pt>
              </c:numCache>
            </c:numRef>
          </c:val>
          <c:extLst>
            <c:ext xmlns:c16="http://schemas.microsoft.com/office/drawing/2014/chart" uri="{C3380CC4-5D6E-409C-BE32-E72D297353CC}">
              <c16:uniqueId val="{00000004-084F-4078-AD16-CA26A03CE90B}"/>
            </c:ext>
          </c:extLst>
        </c:ser>
        <c:dLbls>
          <c:showLegendKey val="0"/>
          <c:showVal val="0"/>
          <c:showCatName val="0"/>
          <c:showSerName val="0"/>
          <c:showPercent val="0"/>
          <c:showBubbleSize val="0"/>
        </c:dLbls>
        <c:gapWidth val="130"/>
        <c:overlap val="100"/>
        <c:axId val="1341835696"/>
        <c:axId val="1286347328"/>
      </c:barChart>
      <c:catAx>
        <c:axId val="1341835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86347328"/>
        <c:crosses val="autoZero"/>
        <c:auto val="1"/>
        <c:lblAlgn val="ctr"/>
        <c:lblOffset val="100"/>
        <c:noMultiLvlLbl val="0"/>
      </c:catAx>
      <c:valAx>
        <c:axId val="12863473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1835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are replicated (currently)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4"/>
          <c:order val="0"/>
          <c:tx>
            <c:strRef>
              <c:f>'6bis'!$J$6</c:f>
              <c:strCache>
                <c:ptCount val="1"/>
                <c:pt idx="0">
                  <c:v>strongly agree</c:v>
                </c:pt>
              </c:strCache>
            </c:strRef>
          </c:tx>
          <c:spPr>
            <a:solidFill>
              <a:schemeClr val="accent1"/>
            </a:solidFill>
            <a:ln>
              <a:noFill/>
            </a:ln>
            <a:effectLst/>
          </c:spPr>
          <c:invertIfNegative val="0"/>
          <c:cat>
            <c:strRef>
              <c:f>'6bis'!$AE$1:$AG$1</c:f>
              <c:strCache>
                <c:ptCount val="3"/>
                <c:pt idx="0">
                  <c:v>full-service</c:v>
                </c:pt>
                <c:pt idx="1">
                  <c:v>hybrid-service</c:v>
                </c:pt>
                <c:pt idx="2">
                  <c:v>self-service</c:v>
                </c:pt>
              </c:strCache>
            </c:strRef>
          </c:cat>
          <c:val>
            <c:numRef>
              <c:f>'6bis'!$AE$6:$AG$6</c:f>
              <c:numCache>
                <c:formatCode>General</c:formatCode>
                <c:ptCount val="3"/>
                <c:pt idx="0">
                  <c:v>26</c:v>
                </c:pt>
                <c:pt idx="1">
                  <c:v>59</c:v>
                </c:pt>
                <c:pt idx="2">
                  <c:v>5</c:v>
                </c:pt>
              </c:numCache>
            </c:numRef>
          </c:val>
          <c:extLst>
            <c:ext xmlns:c16="http://schemas.microsoft.com/office/drawing/2014/chart" uri="{C3380CC4-5D6E-409C-BE32-E72D297353CC}">
              <c16:uniqueId val="{00000004-0B16-447C-B7BC-18C462AAE64C}"/>
            </c:ext>
          </c:extLst>
        </c:ser>
        <c:ser>
          <c:idx val="3"/>
          <c:order val="1"/>
          <c:tx>
            <c:strRef>
              <c:f>'6bis'!$J$5</c:f>
              <c:strCache>
                <c:ptCount val="1"/>
                <c:pt idx="0">
                  <c:v>somewhat agree</c:v>
                </c:pt>
              </c:strCache>
            </c:strRef>
          </c:tx>
          <c:spPr>
            <a:solidFill>
              <a:schemeClr val="accent5">
                <a:lumMod val="60000"/>
                <a:lumOff val="40000"/>
              </a:schemeClr>
            </a:solidFill>
            <a:ln>
              <a:noFill/>
            </a:ln>
            <a:effectLst/>
          </c:spPr>
          <c:invertIfNegative val="0"/>
          <c:cat>
            <c:strRef>
              <c:f>'6bis'!$AE$1:$AG$1</c:f>
              <c:strCache>
                <c:ptCount val="3"/>
                <c:pt idx="0">
                  <c:v>full-service</c:v>
                </c:pt>
                <c:pt idx="1">
                  <c:v>hybrid-service</c:v>
                </c:pt>
                <c:pt idx="2">
                  <c:v>self-service</c:v>
                </c:pt>
              </c:strCache>
            </c:strRef>
          </c:cat>
          <c:val>
            <c:numRef>
              <c:f>'6bis'!$AE$5:$AG$5</c:f>
              <c:numCache>
                <c:formatCode>General</c:formatCode>
                <c:ptCount val="3"/>
                <c:pt idx="0">
                  <c:v>18</c:v>
                </c:pt>
                <c:pt idx="1">
                  <c:v>46</c:v>
                </c:pt>
                <c:pt idx="2">
                  <c:v>7</c:v>
                </c:pt>
              </c:numCache>
            </c:numRef>
          </c:val>
          <c:extLst>
            <c:ext xmlns:c16="http://schemas.microsoft.com/office/drawing/2014/chart" uri="{C3380CC4-5D6E-409C-BE32-E72D297353CC}">
              <c16:uniqueId val="{00000003-0B16-447C-B7BC-18C462AAE64C}"/>
            </c:ext>
          </c:extLst>
        </c:ser>
        <c:ser>
          <c:idx val="2"/>
          <c:order val="2"/>
          <c:tx>
            <c:strRef>
              <c:f>'6bis'!$J$4</c:f>
              <c:strCache>
                <c:ptCount val="1"/>
                <c:pt idx="0">
                  <c:v>neither</c:v>
                </c:pt>
              </c:strCache>
            </c:strRef>
          </c:tx>
          <c:spPr>
            <a:solidFill>
              <a:srgbClr val="FFC000"/>
            </a:solidFill>
            <a:ln>
              <a:noFill/>
            </a:ln>
            <a:effectLst/>
          </c:spPr>
          <c:invertIfNegative val="0"/>
          <c:cat>
            <c:strRef>
              <c:f>'6bis'!$AE$1:$AG$1</c:f>
              <c:strCache>
                <c:ptCount val="3"/>
                <c:pt idx="0">
                  <c:v>full-service</c:v>
                </c:pt>
                <c:pt idx="1">
                  <c:v>hybrid-service</c:v>
                </c:pt>
                <c:pt idx="2">
                  <c:v>self-service</c:v>
                </c:pt>
              </c:strCache>
            </c:strRef>
          </c:cat>
          <c:val>
            <c:numRef>
              <c:f>'6bis'!$AE$4:$AG$4</c:f>
              <c:numCache>
                <c:formatCode>General</c:formatCode>
                <c:ptCount val="3"/>
                <c:pt idx="0">
                  <c:v>12</c:v>
                </c:pt>
                <c:pt idx="1">
                  <c:v>40</c:v>
                </c:pt>
                <c:pt idx="2">
                  <c:v>12</c:v>
                </c:pt>
              </c:numCache>
            </c:numRef>
          </c:val>
          <c:extLst>
            <c:ext xmlns:c16="http://schemas.microsoft.com/office/drawing/2014/chart" uri="{C3380CC4-5D6E-409C-BE32-E72D297353CC}">
              <c16:uniqueId val="{00000002-0B16-447C-B7BC-18C462AAE64C}"/>
            </c:ext>
          </c:extLst>
        </c:ser>
        <c:ser>
          <c:idx val="1"/>
          <c:order val="3"/>
          <c:tx>
            <c:strRef>
              <c:f>'6bis'!$J$3</c:f>
              <c:strCache>
                <c:ptCount val="1"/>
                <c:pt idx="0">
                  <c:v>somewhat disagree</c:v>
                </c:pt>
              </c:strCache>
            </c:strRef>
          </c:tx>
          <c:spPr>
            <a:solidFill>
              <a:srgbClr val="FF9933"/>
            </a:solidFill>
            <a:ln>
              <a:noFill/>
            </a:ln>
            <a:effectLst/>
          </c:spPr>
          <c:invertIfNegative val="0"/>
          <c:cat>
            <c:strRef>
              <c:f>'6bis'!$AE$1:$AG$1</c:f>
              <c:strCache>
                <c:ptCount val="3"/>
                <c:pt idx="0">
                  <c:v>full-service</c:v>
                </c:pt>
                <c:pt idx="1">
                  <c:v>hybrid-service</c:v>
                </c:pt>
                <c:pt idx="2">
                  <c:v>self-service</c:v>
                </c:pt>
              </c:strCache>
            </c:strRef>
          </c:cat>
          <c:val>
            <c:numRef>
              <c:f>'6bis'!$AE$3:$AG$3</c:f>
              <c:numCache>
                <c:formatCode>General</c:formatCode>
                <c:ptCount val="3"/>
                <c:pt idx="0">
                  <c:v>6</c:v>
                </c:pt>
                <c:pt idx="1">
                  <c:v>16</c:v>
                </c:pt>
                <c:pt idx="2">
                  <c:v>4</c:v>
                </c:pt>
              </c:numCache>
            </c:numRef>
          </c:val>
          <c:extLst>
            <c:ext xmlns:c16="http://schemas.microsoft.com/office/drawing/2014/chart" uri="{C3380CC4-5D6E-409C-BE32-E72D297353CC}">
              <c16:uniqueId val="{00000001-0B16-447C-B7BC-18C462AAE64C}"/>
            </c:ext>
          </c:extLst>
        </c:ser>
        <c:ser>
          <c:idx val="0"/>
          <c:order val="4"/>
          <c:tx>
            <c:strRef>
              <c:f>'6bis'!$J$2</c:f>
              <c:strCache>
                <c:ptCount val="1"/>
                <c:pt idx="0">
                  <c:v>strongly disagree</c:v>
                </c:pt>
              </c:strCache>
            </c:strRef>
          </c:tx>
          <c:spPr>
            <a:solidFill>
              <a:srgbClr val="FF0000"/>
            </a:solidFill>
            <a:ln>
              <a:noFill/>
            </a:ln>
            <a:effectLst/>
          </c:spPr>
          <c:invertIfNegative val="0"/>
          <c:cat>
            <c:strRef>
              <c:f>'6bis'!$AE$1:$AG$1</c:f>
              <c:strCache>
                <c:ptCount val="3"/>
                <c:pt idx="0">
                  <c:v>full-service</c:v>
                </c:pt>
                <c:pt idx="1">
                  <c:v>hybrid-service</c:v>
                </c:pt>
                <c:pt idx="2">
                  <c:v>self-service</c:v>
                </c:pt>
              </c:strCache>
            </c:strRef>
          </c:cat>
          <c:val>
            <c:numRef>
              <c:f>'6bis'!$AE$2:$AG$2</c:f>
              <c:numCache>
                <c:formatCode>General</c:formatCode>
                <c:ptCount val="3"/>
                <c:pt idx="0">
                  <c:v>8</c:v>
                </c:pt>
                <c:pt idx="1">
                  <c:v>12</c:v>
                </c:pt>
                <c:pt idx="2">
                  <c:v>0</c:v>
                </c:pt>
              </c:numCache>
            </c:numRef>
          </c:val>
          <c:extLst>
            <c:ext xmlns:c16="http://schemas.microsoft.com/office/drawing/2014/chart" uri="{C3380CC4-5D6E-409C-BE32-E72D297353CC}">
              <c16:uniqueId val="{00000000-0B16-447C-B7BC-18C462AAE64C}"/>
            </c:ext>
          </c:extLst>
        </c:ser>
        <c:dLbls>
          <c:showLegendKey val="0"/>
          <c:showVal val="0"/>
          <c:showCatName val="0"/>
          <c:showSerName val="0"/>
          <c:showPercent val="0"/>
          <c:showBubbleSize val="0"/>
        </c:dLbls>
        <c:gapWidth val="15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Raw data stored by: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'7a'!$AC$2:$AC$5</c:f>
              <c:strCache>
                <c:ptCount val="4"/>
                <c:pt idx="0">
                  <c:v>Core Facility</c:v>
                </c:pt>
                <c:pt idx="1">
                  <c:v>both</c:v>
                </c:pt>
                <c:pt idx="2">
                  <c:v>Users</c:v>
                </c:pt>
                <c:pt idx="3">
                  <c:v>other</c:v>
                </c:pt>
              </c:strCache>
            </c:strRef>
          </c:cat>
          <c:val>
            <c:numRef>
              <c:f>'7a'!$AD$2:$AD$5</c:f>
              <c:numCache>
                <c:formatCode>General</c:formatCode>
                <c:ptCount val="4"/>
                <c:pt idx="0">
                  <c:v>59</c:v>
                </c:pt>
                <c:pt idx="1">
                  <c:v>73</c:v>
                </c:pt>
                <c:pt idx="2">
                  <c:v>62</c:v>
                </c:pt>
                <c:pt idx="3">
                  <c:v>11</c:v>
                </c:pt>
              </c:numCache>
            </c:numRef>
          </c:val>
          <c:extLst>
            <c:ext xmlns:c16="http://schemas.microsoft.com/office/drawing/2014/chart" uri="{C3380CC4-5D6E-409C-BE32-E72D297353CC}">
              <c16:uniqueId val="{00000000-22BF-44D8-9084-62A232FFAB01}"/>
            </c:ext>
          </c:extLst>
        </c:ser>
        <c:dLbls>
          <c:showLegendKey val="0"/>
          <c:showVal val="0"/>
          <c:showCatName val="0"/>
          <c:showSerName val="0"/>
          <c:showPercent val="0"/>
          <c:showBubbleSize val="0"/>
        </c:dLbls>
        <c:gapWidth val="219"/>
        <c:overlap val="-27"/>
        <c:axId val="531878840"/>
        <c:axId val="531879168"/>
      </c:barChart>
      <c:catAx>
        <c:axId val="531878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1879168"/>
        <c:crosses val="autoZero"/>
        <c:auto val="1"/>
        <c:lblAlgn val="ctr"/>
        <c:lblOffset val="100"/>
        <c:noMultiLvlLbl val="0"/>
      </c:catAx>
      <c:valAx>
        <c:axId val="531879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1878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Where</a:t>
            </a:r>
            <a:r>
              <a:rPr lang="en-GB" baseline="0"/>
              <a:t> the raw data are stored: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'7a'!$BK$2:$BK$6</c:f>
              <c:strCache>
                <c:ptCount val="5"/>
                <c:pt idx="0">
                  <c:v>internal server</c:v>
                </c:pt>
                <c:pt idx="1">
                  <c:v>at the core facility</c:v>
                </c:pt>
                <c:pt idx="2">
                  <c:v>public repository</c:v>
                </c:pt>
                <c:pt idx="3">
                  <c:v>external server</c:v>
                </c:pt>
                <c:pt idx="4">
                  <c:v>other</c:v>
                </c:pt>
              </c:strCache>
            </c:strRef>
          </c:cat>
          <c:val>
            <c:numRef>
              <c:f>'7a'!$BL$2:$BL$6</c:f>
              <c:numCache>
                <c:formatCode>General</c:formatCode>
                <c:ptCount val="5"/>
                <c:pt idx="0">
                  <c:v>108</c:v>
                </c:pt>
                <c:pt idx="1">
                  <c:v>68</c:v>
                </c:pt>
                <c:pt idx="2">
                  <c:v>24</c:v>
                </c:pt>
                <c:pt idx="3">
                  <c:v>16</c:v>
                </c:pt>
                <c:pt idx="4">
                  <c:v>0</c:v>
                </c:pt>
              </c:numCache>
            </c:numRef>
          </c:val>
          <c:extLst>
            <c:ext xmlns:c16="http://schemas.microsoft.com/office/drawing/2014/chart" uri="{C3380CC4-5D6E-409C-BE32-E72D297353CC}">
              <c16:uniqueId val="{00000000-15C0-4BCD-BB8E-7810DDE7159A}"/>
            </c:ext>
          </c:extLst>
        </c:ser>
        <c:dLbls>
          <c:showLegendKey val="0"/>
          <c:showVal val="0"/>
          <c:showCatName val="0"/>
          <c:showSerName val="0"/>
          <c:showPercent val="0"/>
          <c:showBubbleSize val="0"/>
        </c:dLbls>
        <c:gapWidth val="130"/>
        <c:overlap val="-27"/>
        <c:axId val="367079560"/>
        <c:axId val="367074968"/>
      </c:barChart>
      <c:catAx>
        <c:axId val="367079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7074968"/>
        <c:crosses val="autoZero"/>
        <c:auto val="1"/>
        <c:lblAlgn val="ctr"/>
        <c:lblOffset val="100"/>
        <c:noMultiLvlLbl val="0"/>
      </c:catAx>
      <c:valAx>
        <c:axId val="367074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7079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Core facility operating mode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540449504613472"/>
          <c:y val="0.13829613575389177"/>
          <c:w val="0.71176658328485221"/>
          <c:h val="0.60725603823318886"/>
        </c:manualLayout>
      </c:layout>
      <c:barChart>
        <c:barDir val="col"/>
        <c:grouping val="percentStacked"/>
        <c:varyColors val="0"/>
        <c:ser>
          <c:idx val="0"/>
          <c:order val="0"/>
          <c:tx>
            <c:strRef>
              <c:f>'1'!$P$6</c:f>
              <c:strCache>
                <c:ptCount val="1"/>
                <c:pt idx="0">
                  <c:v>full-service</c:v>
                </c:pt>
              </c:strCache>
            </c:strRef>
          </c:tx>
          <c:spPr>
            <a:solidFill>
              <a:srgbClr val="66CCEE"/>
            </a:solidFill>
            <a:ln>
              <a:noFill/>
            </a:ln>
            <a:effectLst/>
          </c:spPr>
          <c:invertIfNegative val="0"/>
          <c:cat>
            <c:strRef>
              <c:f>'1'!$R$1:$Y$1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'1'!$R$6:$Y$6</c:f>
              <c:numCache>
                <c:formatCode>General</c:formatCode>
                <c:ptCount val="8"/>
                <c:pt idx="0">
                  <c:v>3</c:v>
                </c:pt>
                <c:pt idx="1">
                  <c:v>15</c:v>
                </c:pt>
                <c:pt idx="2">
                  <c:v>2</c:v>
                </c:pt>
                <c:pt idx="3">
                  <c:v>3</c:v>
                </c:pt>
                <c:pt idx="4">
                  <c:v>5</c:v>
                </c:pt>
                <c:pt idx="5">
                  <c:v>6</c:v>
                </c:pt>
                <c:pt idx="6">
                  <c:v>3</c:v>
                </c:pt>
                <c:pt idx="7">
                  <c:v>23</c:v>
                </c:pt>
              </c:numCache>
            </c:numRef>
          </c:val>
          <c:extLst>
            <c:ext xmlns:c16="http://schemas.microsoft.com/office/drawing/2014/chart" uri="{C3380CC4-5D6E-409C-BE32-E72D297353CC}">
              <c16:uniqueId val="{00000000-88E4-4508-A8B5-D57B9B4C2698}"/>
            </c:ext>
          </c:extLst>
        </c:ser>
        <c:ser>
          <c:idx val="1"/>
          <c:order val="1"/>
          <c:tx>
            <c:strRef>
              <c:f>'1'!$P$7</c:f>
              <c:strCache>
                <c:ptCount val="1"/>
                <c:pt idx="0">
                  <c:v>hybrid-service</c:v>
                </c:pt>
              </c:strCache>
            </c:strRef>
          </c:tx>
          <c:spPr>
            <a:solidFill>
              <a:srgbClr val="AA3377"/>
            </a:solidFill>
            <a:ln>
              <a:noFill/>
            </a:ln>
            <a:effectLst/>
          </c:spPr>
          <c:invertIfNegative val="0"/>
          <c:cat>
            <c:strRef>
              <c:f>'1'!$R$1:$Y$1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'1'!$R$7:$Y$7</c:f>
              <c:numCache>
                <c:formatCode>General</c:formatCode>
                <c:ptCount val="8"/>
                <c:pt idx="0">
                  <c:v>40</c:v>
                </c:pt>
                <c:pt idx="1">
                  <c:v>17</c:v>
                </c:pt>
                <c:pt idx="2">
                  <c:v>8</c:v>
                </c:pt>
                <c:pt idx="3">
                  <c:v>4</c:v>
                </c:pt>
                <c:pt idx="4">
                  <c:v>49</c:v>
                </c:pt>
                <c:pt idx="5">
                  <c:v>7</c:v>
                </c:pt>
                <c:pt idx="6">
                  <c:v>5</c:v>
                </c:pt>
                <c:pt idx="7">
                  <c:v>12</c:v>
                </c:pt>
              </c:numCache>
            </c:numRef>
          </c:val>
          <c:extLst>
            <c:ext xmlns:c16="http://schemas.microsoft.com/office/drawing/2014/chart" uri="{C3380CC4-5D6E-409C-BE32-E72D297353CC}">
              <c16:uniqueId val="{00000001-88E4-4508-A8B5-D57B9B4C2698}"/>
            </c:ext>
          </c:extLst>
        </c:ser>
        <c:ser>
          <c:idx val="2"/>
          <c:order val="2"/>
          <c:tx>
            <c:strRef>
              <c:f>'1'!$P$8</c:f>
              <c:strCache>
                <c:ptCount val="1"/>
                <c:pt idx="0">
                  <c:v>self-service</c:v>
                </c:pt>
              </c:strCache>
            </c:strRef>
          </c:tx>
          <c:spPr>
            <a:solidFill>
              <a:srgbClr val="EE6677"/>
            </a:solidFill>
            <a:ln>
              <a:noFill/>
            </a:ln>
            <a:effectLst/>
          </c:spPr>
          <c:invertIfNegative val="0"/>
          <c:cat>
            <c:strRef>
              <c:f>'1'!$R$1:$Y$1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'1'!$R$8:$Y$8</c:f>
              <c:numCache>
                <c:formatCode>General</c:formatCode>
                <c:ptCount val="8"/>
                <c:pt idx="0">
                  <c:v>7</c:v>
                </c:pt>
                <c:pt idx="1">
                  <c:v>1</c:v>
                </c:pt>
                <c:pt idx="2">
                  <c:v>1</c:v>
                </c:pt>
                <c:pt idx="3">
                  <c:v>1</c:v>
                </c:pt>
                <c:pt idx="4">
                  <c:v>9</c:v>
                </c:pt>
                <c:pt idx="5">
                  <c:v>3</c:v>
                </c:pt>
                <c:pt idx="6">
                  <c:v>0</c:v>
                </c:pt>
                <c:pt idx="7">
                  <c:v>0</c:v>
                </c:pt>
              </c:numCache>
            </c:numRef>
          </c:val>
          <c:extLst>
            <c:ext xmlns:c16="http://schemas.microsoft.com/office/drawing/2014/chart" uri="{C3380CC4-5D6E-409C-BE32-E72D297353CC}">
              <c16:uniqueId val="{00000002-88E4-4508-A8B5-D57B9B4C2698}"/>
            </c:ext>
          </c:extLst>
        </c:ser>
        <c:dLbls>
          <c:showLegendKey val="0"/>
          <c:showVal val="0"/>
          <c:showCatName val="0"/>
          <c:showSerName val="0"/>
          <c:showPercent val="0"/>
          <c:showBubbleSize val="0"/>
        </c:dLbls>
        <c:gapWidth val="130"/>
        <c:overlap val="100"/>
        <c:axId val="520963920"/>
        <c:axId val="520966872"/>
      </c:barChart>
      <c:catAx>
        <c:axId val="52096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0966872"/>
        <c:crosses val="autoZero"/>
        <c:auto val="1"/>
        <c:lblAlgn val="ctr"/>
        <c:lblOffset val="100"/>
        <c:noMultiLvlLbl val="0"/>
      </c:catAx>
      <c:valAx>
        <c:axId val="52096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0963920"/>
        <c:crosses val="autoZero"/>
        <c:crossBetween val="between"/>
      </c:valAx>
      <c:spPr>
        <a:noFill/>
        <a:ln>
          <a:noFill/>
        </a:ln>
        <a:effectLst/>
      </c:spPr>
    </c:plotArea>
    <c:legend>
      <c:legendPos val="r"/>
      <c:layout>
        <c:manualLayout>
          <c:xMode val="edge"/>
          <c:yMode val="edge"/>
          <c:x val="0.82918991251179097"/>
          <c:y val="0.27901061817720607"/>
          <c:w val="0.15272239297368823"/>
          <c:h val="0.364012112578632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Raw data transfer from CF to user: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'7a'!$BN$2:$BN$5</c:f>
              <c:strCache>
                <c:ptCount val="4"/>
                <c:pt idx="0">
                  <c:v>network</c:v>
                </c:pt>
                <c:pt idx="1">
                  <c:v>USB/disk</c:v>
                </c:pt>
                <c:pt idx="2">
                  <c:v>email</c:v>
                </c:pt>
                <c:pt idx="3">
                  <c:v>no transfer</c:v>
                </c:pt>
              </c:strCache>
            </c:strRef>
          </c:cat>
          <c:val>
            <c:numRef>
              <c:f>'7a'!$BO$2:$BO$5</c:f>
              <c:numCache>
                <c:formatCode>General</c:formatCode>
                <c:ptCount val="4"/>
                <c:pt idx="0">
                  <c:v>192</c:v>
                </c:pt>
                <c:pt idx="1">
                  <c:v>90</c:v>
                </c:pt>
                <c:pt idx="2">
                  <c:v>53</c:v>
                </c:pt>
                <c:pt idx="3">
                  <c:v>20</c:v>
                </c:pt>
              </c:numCache>
            </c:numRef>
          </c:val>
          <c:extLst>
            <c:ext xmlns:c16="http://schemas.microsoft.com/office/drawing/2014/chart" uri="{C3380CC4-5D6E-409C-BE32-E72D297353CC}">
              <c16:uniqueId val="{00000000-5CCA-4023-8048-4B39EB66607A}"/>
            </c:ext>
          </c:extLst>
        </c:ser>
        <c:dLbls>
          <c:showLegendKey val="0"/>
          <c:showVal val="0"/>
          <c:showCatName val="0"/>
          <c:showSerName val="0"/>
          <c:showPercent val="0"/>
          <c:showBubbleSize val="0"/>
        </c:dLbls>
        <c:gapWidth val="130"/>
        <c:overlap val="-27"/>
        <c:axId val="368211888"/>
        <c:axId val="368217136"/>
      </c:barChart>
      <c:catAx>
        <c:axId val="36821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8217136"/>
        <c:crosses val="autoZero"/>
        <c:auto val="1"/>
        <c:lblAlgn val="ctr"/>
        <c:lblOffset val="100"/>
        <c:noMultiLvlLbl val="0"/>
      </c:catAx>
      <c:valAx>
        <c:axId val="368217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8211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If CF doesn't sore</a:t>
            </a:r>
            <a:r>
              <a:rPr lang="en-GB" baseline="0"/>
              <a:t> raw data , </a:t>
            </a:r>
            <a:r>
              <a:rPr lang="en-GB"/>
              <a:t>should it also be responsible for storing them?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1F-4E23-9A46-602C66998944}"/>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471F-4E23-9A46-602C6699894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'7a'!$AZ$2:$AZ$3</c:f>
              <c:strCache>
                <c:ptCount val="2"/>
                <c:pt idx="0">
                  <c:v>Yes</c:v>
                </c:pt>
                <c:pt idx="1">
                  <c:v>No</c:v>
                </c:pt>
              </c:strCache>
            </c:strRef>
          </c:cat>
          <c:val>
            <c:numRef>
              <c:f>'7a'!$BA$2:$BA$3</c:f>
              <c:numCache>
                <c:formatCode>General</c:formatCode>
                <c:ptCount val="2"/>
                <c:pt idx="0">
                  <c:v>9</c:v>
                </c:pt>
                <c:pt idx="1">
                  <c:v>64</c:v>
                </c:pt>
              </c:numCache>
            </c:numRef>
          </c:val>
          <c:extLst>
            <c:ext xmlns:c16="http://schemas.microsoft.com/office/drawing/2014/chart" uri="{C3380CC4-5D6E-409C-BE32-E72D297353CC}">
              <c16:uniqueId val="{00000004-471F-4E23-9A46-602C6699894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If CF doesn't sore raw data , should it also be responsible for storing them?</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'7a'!$AZ$2</c:f>
              <c:strCache>
                <c:ptCount val="1"/>
                <c:pt idx="0">
                  <c:v>Yes</c:v>
                </c:pt>
              </c:strCache>
            </c:strRef>
          </c:tx>
          <c:spPr>
            <a:solidFill>
              <a:schemeClr val="accent1"/>
            </a:solidFill>
            <a:ln>
              <a:noFill/>
            </a:ln>
            <a:effectLst/>
          </c:spPr>
          <c:invertIfNegative val="0"/>
          <c:cat>
            <c:strRef>
              <c:f>'7a'!$BB$1:$BD$1</c:f>
              <c:strCache>
                <c:ptCount val="3"/>
                <c:pt idx="0">
                  <c:v>full-service</c:v>
                </c:pt>
                <c:pt idx="1">
                  <c:v>hybrid-service</c:v>
                </c:pt>
                <c:pt idx="2">
                  <c:v>self-service</c:v>
                </c:pt>
              </c:strCache>
            </c:strRef>
          </c:cat>
          <c:val>
            <c:numRef>
              <c:f>'7a'!$BB$2:$BD$2</c:f>
              <c:numCache>
                <c:formatCode>General</c:formatCode>
                <c:ptCount val="3"/>
                <c:pt idx="0">
                  <c:v>2</c:v>
                </c:pt>
                <c:pt idx="1">
                  <c:v>7</c:v>
                </c:pt>
                <c:pt idx="2">
                  <c:v>0</c:v>
                </c:pt>
              </c:numCache>
            </c:numRef>
          </c:val>
          <c:extLst>
            <c:ext xmlns:c16="http://schemas.microsoft.com/office/drawing/2014/chart" uri="{C3380CC4-5D6E-409C-BE32-E72D297353CC}">
              <c16:uniqueId val="{00000000-979B-4F7D-B6C3-60E25BAB1921}"/>
            </c:ext>
          </c:extLst>
        </c:ser>
        <c:ser>
          <c:idx val="1"/>
          <c:order val="1"/>
          <c:tx>
            <c:strRef>
              <c:f>'7a'!$AZ$3</c:f>
              <c:strCache>
                <c:ptCount val="1"/>
                <c:pt idx="0">
                  <c:v>No</c:v>
                </c:pt>
              </c:strCache>
            </c:strRef>
          </c:tx>
          <c:spPr>
            <a:solidFill>
              <a:srgbClr val="FF0000"/>
            </a:solidFill>
            <a:ln>
              <a:noFill/>
            </a:ln>
            <a:effectLst/>
          </c:spPr>
          <c:invertIfNegative val="0"/>
          <c:cat>
            <c:strRef>
              <c:f>'7a'!$BB$1:$BD$1</c:f>
              <c:strCache>
                <c:ptCount val="3"/>
                <c:pt idx="0">
                  <c:v>full-service</c:v>
                </c:pt>
                <c:pt idx="1">
                  <c:v>hybrid-service</c:v>
                </c:pt>
                <c:pt idx="2">
                  <c:v>self-service</c:v>
                </c:pt>
              </c:strCache>
            </c:strRef>
          </c:cat>
          <c:val>
            <c:numRef>
              <c:f>'7a'!$BB$3:$BD$3</c:f>
              <c:numCache>
                <c:formatCode>General</c:formatCode>
                <c:ptCount val="3"/>
                <c:pt idx="0">
                  <c:v>8</c:v>
                </c:pt>
                <c:pt idx="1">
                  <c:v>50</c:v>
                </c:pt>
                <c:pt idx="2">
                  <c:v>6</c:v>
                </c:pt>
              </c:numCache>
            </c:numRef>
          </c:val>
          <c:extLst>
            <c:ext xmlns:c16="http://schemas.microsoft.com/office/drawing/2014/chart" uri="{C3380CC4-5D6E-409C-BE32-E72D297353CC}">
              <c16:uniqueId val="{00000001-979B-4F7D-B6C3-60E25BAB1921}"/>
            </c:ext>
          </c:extLst>
        </c:ser>
        <c:dLbls>
          <c:showLegendKey val="0"/>
          <c:showVal val="0"/>
          <c:showCatName val="0"/>
          <c:showSerName val="0"/>
          <c:showPercent val="0"/>
          <c:showBubbleSize val="0"/>
        </c:dLbls>
        <c:gapWidth val="130"/>
        <c:overlap val="100"/>
        <c:axId val="472110640"/>
        <c:axId val="472110968"/>
      </c:barChart>
      <c:catAx>
        <c:axId val="47211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2110968"/>
        <c:crosses val="autoZero"/>
        <c:auto val="1"/>
        <c:lblAlgn val="ctr"/>
        <c:lblOffset val="100"/>
        <c:noMultiLvlLbl val="0"/>
      </c:catAx>
      <c:valAx>
        <c:axId val="472110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2110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Raw data stored by: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859-477D-98A6-017868836949}"/>
              </c:ext>
            </c:extLst>
          </c:dPt>
          <c:dPt>
            <c:idx val="1"/>
            <c:bubble3D val="0"/>
            <c:spPr>
              <a:solidFill>
                <a:srgbClr val="CC00FF"/>
              </a:solidFill>
              <a:ln w="19050">
                <a:solidFill>
                  <a:schemeClr val="lt1"/>
                </a:solidFill>
              </a:ln>
              <a:effectLst/>
            </c:spPr>
            <c:extLst>
              <c:ext xmlns:c16="http://schemas.microsoft.com/office/drawing/2014/chart" uri="{C3380CC4-5D6E-409C-BE32-E72D297353CC}">
                <c16:uniqueId val="{00000003-A859-477D-98A6-017868836949}"/>
              </c:ext>
            </c:extLst>
          </c:dPt>
          <c:dPt>
            <c:idx val="2"/>
            <c:bubble3D val="0"/>
            <c:spPr>
              <a:solidFill>
                <a:srgbClr val="FF7C80"/>
              </a:solidFill>
              <a:ln w="19050">
                <a:solidFill>
                  <a:schemeClr val="lt1"/>
                </a:solidFill>
              </a:ln>
              <a:effectLst/>
            </c:spPr>
            <c:extLst>
              <c:ext xmlns:c16="http://schemas.microsoft.com/office/drawing/2014/chart" uri="{C3380CC4-5D6E-409C-BE32-E72D297353CC}">
                <c16:uniqueId val="{00000005-A859-477D-98A6-01786883694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A859-477D-98A6-017868836949}"/>
              </c:ext>
            </c:extLst>
          </c:dPt>
          <c:dPt>
            <c:idx val="4"/>
            <c:bubble3D val="0"/>
            <c:spPr>
              <a:solidFill>
                <a:srgbClr val="BBBBBB"/>
              </a:solidFill>
              <a:ln w="19050">
                <a:solidFill>
                  <a:schemeClr val="lt1"/>
                </a:solidFill>
              </a:ln>
              <a:effectLst/>
            </c:spPr>
            <c:extLst>
              <c:ext xmlns:c16="http://schemas.microsoft.com/office/drawing/2014/chart" uri="{C3380CC4-5D6E-409C-BE32-E72D297353CC}">
                <c16:uniqueId val="{00000009-A859-477D-98A6-01786883694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'7a'!$AE$2:$AE$6</c:f>
              <c:strCache>
                <c:ptCount val="5"/>
                <c:pt idx="0">
                  <c:v>Core Facility</c:v>
                </c:pt>
                <c:pt idx="1">
                  <c:v>Core Facility + Users</c:v>
                </c:pt>
                <c:pt idx="2">
                  <c:v>Users, but CF also should</c:v>
                </c:pt>
                <c:pt idx="3">
                  <c:v>Users, CF should not</c:v>
                </c:pt>
                <c:pt idx="4">
                  <c:v>other</c:v>
                </c:pt>
              </c:strCache>
            </c:strRef>
          </c:cat>
          <c:val>
            <c:numRef>
              <c:f>'7a'!$AF$2:$AF$6</c:f>
              <c:numCache>
                <c:formatCode>General</c:formatCode>
                <c:ptCount val="5"/>
                <c:pt idx="0">
                  <c:v>59</c:v>
                </c:pt>
                <c:pt idx="1">
                  <c:v>73</c:v>
                </c:pt>
                <c:pt idx="2">
                  <c:v>5</c:v>
                </c:pt>
                <c:pt idx="3">
                  <c:v>57</c:v>
                </c:pt>
                <c:pt idx="4">
                  <c:v>11</c:v>
                </c:pt>
              </c:numCache>
            </c:numRef>
          </c:val>
          <c:extLst>
            <c:ext xmlns:c16="http://schemas.microsoft.com/office/drawing/2014/chart" uri="{C3380CC4-5D6E-409C-BE32-E72D297353CC}">
              <c16:uniqueId val="{0000000A-A859-477D-98A6-01786883694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Raw data stored by:</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'7a'!$AE$2</c:f>
              <c:strCache>
                <c:ptCount val="1"/>
                <c:pt idx="0">
                  <c:v>Core Facility</c:v>
                </c:pt>
              </c:strCache>
            </c:strRef>
          </c:tx>
          <c:spPr>
            <a:solidFill>
              <a:schemeClr val="accent1"/>
            </a:solidFill>
            <a:ln>
              <a:noFill/>
            </a:ln>
            <a:effectLst/>
          </c:spPr>
          <c:invertIfNegative val="0"/>
          <c:cat>
            <c:strRef>
              <c:f>'7a'!$AL$1:$AS$1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'7a'!$AL$2:$AS$2</c:f>
              <c:numCache>
                <c:formatCode>General</c:formatCode>
                <c:ptCount val="8"/>
                <c:pt idx="0">
                  <c:v>5</c:v>
                </c:pt>
                <c:pt idx="1">
                  <c:v>6</c:v>
                </c:pt>
                <c:pt idx="2">
                  <c:v>0</c:v>
                </c:pt>
                <c:pt idx="3">
                  <c:v>2</c:v>
                </c:pt>
                <c:pt idx="4">
                  <c:v>6</c:v>
                </c:pt>
                <c:pt idx="5">
                  <c:v>5</c:v>
                </c:pt>
                <c:pt idx="6">
                  <c:v>3</c:v>
                </c:pt>
                <c:pt idx="7">
                  <c:v>19</c:v>
                </c:pt>
              </c:numCache>
            </c:numRef>
          </c:val>
          <c:extLst>
            <c:ext xmlns:c16="http://schemas.microsoft.com/office/drawing/2014/chart" uri="{C3380CC4-5D6E-409C-BE32-E72D297353CC}">
              <c16:uniqueId val="{00000000-B89A-4AEE-8CBE-1F5175D4AB74}"/>
            </c:ext>
          </c:extLst>
        </c:ser>
        <c:ser>
          <c:idx val="1"/>
          <c:order val="1"/>
          <c:tx>
            <c:strRef>
              <c:f>'7a'!$AE$3</c:f>
              <c:strCache>
                <c:ptCount val="1"/>
                <c:pt idx="0">
                  <c:v>Core Facility + Users</c:v>
                </c:pt>
              </c:strCache>
            </c:strRef>
          </c:tx>
          <c:spPr>
            <a:solidFill>
              <a:srgbClr val="CC00FF"/>
            </a:solidFill>
            <a:ln>
              <a:noFill/>
            </a:ln>
            <a:effectLst/>
          </c:spPr>
          <c:invertIfNegative val="0"/>
          <c:dPt>
            <c:idx val="3"/>
            <c:invertIfNegative val="0"/>
            <c:bubble3D val="0"/>
            <c:spPr>
              <a:solidFill>
                <a:srgbClr val="CC00FF"/>
              </a:solidFill>
              <a:ln>
                <a:noFill/>
              </a:ln>
              <a:effectLst/>
            </c:spPr>
            <c:extLst>
              <c:ext xmlns:c16="http://schemas.microsoft.com/office/drawing/2014/chart" uri="{C3380CC4-5D6E-409C-BE32-E72D297353CC}">
                <c16:uniqueId val="{00000008-B89A-4AEE-8CBE-1F5175D4AB74}"/>
              </c:ext>
            </c:extLst>
          </c:dPt>
          <c:cat>
            <c:strRef>
              <c:f>'7a'!$AL$1:$AS$1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'7a'!$AL$3:$AS$3</c:f>
              <c:numCache>
                <c:formatCode>General</c:formatCode>
                <c:ptCount val="8"/>
                <c:pt idx="0">
                  <c:v>17</c:v>
                </c:pt>
                <c:pt idx="1">
                  <c:v>12</c:v>
                </c:pt>
                <c:pt idx="2">
                  <c:v>4</c:v>
                </c:pt>
                <c:pt idx="3">
                  <c:v>2</c:v>
                </c:pt>
                <c:pt idx="4">
                  <c:v>18</c:v>
                </c:pt>
                <c:pt idx="5">
                  <c:v>3</c:v>
                </c:pt>
                <c:pt idx="6">
                  <c:v>3</c:v>
                </c:pt>
                <c:pt idx="7">
                  <c:v>2</c:v>
                </c:pt>
              </c:numCache>
            </c:numRef>
          </c:val>
          <c:extLst>
            <c:ext xmlns:c16="http://schemas.microsoft.com/office/drawing/2014/chart" uri="{C3380CC4-5D6E-409C-BE32-E72D297353CC}">
              <c16:uniqueId val="{00000001-B89A-4AEE-8CBE-1F5175D4AB74}"/>
            </c:ext>
          </c:extLst>
        </c:ser>
        <c:ser>
          <c:idx val="2"/>
          <c:order val="2"/>
          <c:tx>
            <c:strRef>
              <c:f>'7a'!$AE$4</c:f>
              <c:strCache>
                <c:ptCount val="1"/>
                <c:pt idx="0">
                  <c:v>Users, but CF also should</c:v>
                </c:pt>
              </c:strCache>
            </c:strRef>
          </c:tx>
          <c:spPr>
            <a:solidFill>
              <a:srgbClr val="FF7C80"/>
            </a:solidFill>
            <a:ln>
              <a:noFill/>
            </a:ln>
            <a:effectLst/>
          </c:spPr>
          <c:invertIfNegative val="0"/>
          <c:cat>
            <c:strRef>
              <c:f>'7a'!$AL$1:$AS$1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'7a'!$AL$4:$AS$4</c:f>
              <c:numCache>
                <c:formatCode>General</c:formatCode>
                <c:ptCount val="8"/>
                <c:pt idx="0">
                  <c:v>2</c:v>
                </c:pt>
                <c:pt idx="1">
                  <c:v>0</c:v>
                </c:pt>
                <c:pt idx="2">
                  <c:v>1</c:v>
                </c:pt>
                <c:pt idx="3">
                  <c:v>0</c:v>
                </c:pt>
                <c:pt idx="4">
                  <c:v>2</c:v>
                </c:pt>
                <c:pt idx="5">
                  <c:v>0</c:v>
                </c:pt>
                <c:pt idx="6">
                  <c:v>0</c:v>
                </c:pt>
                <c:pt idx="7">
                  <c:v>0</c:v>
                </c:pt>
              </c:numCache>
            </c:numRef>
          </c:val>
          <c:extLst>
            <c:ext xmlns:c16="http://schemas.microsoft.com/office/drawing/2014/chart" uri="{C3380CC4-5D6E-409C-BE32-E72D297353CC}">
              <c16:uniqueId val="{00000002-B89A-4AEE-8CBE-1F5175D4AB74}"/>
            </c:ext>
          </c:extLst>
        </c:ser>
        <c:ser>
          <c:idx val="3"/>
          <c:order val="3"/>
          <c:tx>
            <c:strRef>
              <c:f>'7a'!$AE$5</c:f>
              <c:strCache>
                <c:ptCount val="1"/>
                <c:pt idx="0">
                  <c:v>Users, CF should not</c:v>
                </c:pt>
              </c:strCache>
            </c:strRef>
          </c:tx>
          <c:spPr>
            <a:solidFill>
              <a:srgbClr val="FF0000"/>
            </a:solidFill>
            <a:ln>
              <a:noFill/>
            </a:ln>
            <a:effectLst/>
          </c:spPr>
          <c:invertIfNegative val="0"/>
          <c:cat>
            <c:strRef>
              <c:f>'7a'!$AL$1:$AS$1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'7a'!$AL$5:$AS$5</c:f>
              <c:numCache>
                <c:formatCode>General</c:formatCode>
                <c:ptCount val="8"/>
                <c:pt idx="0">
                  <c:v>15</c:v>
                </c:pt>
                <c:pt idx="1">
                  <c:v>6</c:v>
                </c:pt>
                <c:pt idx="2">
                  <c:v>2</c:v>
                </c:pt>
                <c:pt idx="3">
                  <c:v>0</c:v>
                </c:pt>
                <c:pt idx="4">
                  <c:v>21</c:v>
                </c:pt>
                <c:pt idx="5">
                  <c:v>1</c:v>
                </c:pt>
                <c:pt idx="6">
                  <c:v>1</c:v>
                </c:pt>
                <c:pt idx="7">
                  <c:v>3</c:v>
                </c:pt>
              </c:numCache>
            </c:numRef>
          </c:val>
          <c:extLst>
            <c:ext xmlns:c16="http://schemas.microsoft.com/office/drawing/2014/chart" uri="{C3380CC4-5D6E-409C-BE32-E72D297353CC}">
              <c16:uniqueId val="{00000003-B89A-4AEE-8CBE-1F5175D4AB74}"/>
            </c:ext>
          </c:extLst>
        </c:ser>
        <c:ser>
          <c:idx val="4"/>
          <c:order val="4"/>
          <c:tx>
            <c:strRef>
              <c:f>'7a'!$AE$6</c:f>
              <c:strCache>
                <c:ptCount val="1"/>
                <c:pt idx="0">
                  <c:v>other</c:v>
                </c:pt>
              </c:strCache>
            </c:strRef>
          </c:tx>
          <c:spPr>
            <a:solidFill>
              <a:srgbClr val="BBBBBB"/>
            </a:solidFill>
            <a:ln>
              <a:noFill/>
            </a:ln>
            <a:effectLst/>
          </c:spPr>
          <c:invertIfNegative val="0"/>
          <c:cat>
            <c:strRef>
              <c:f>'7a'!$AL$1:$AS$1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'7a'!$AL$6:$AS$6</c:f>
              <c:numCache>
                <c:formatCode>General</c:formatCode>
                <c:ptCount val="8"/>
                <c:pt idx="0">
                  <c:v>2</c:v>
                </c:pt>
                <c:pt idx="1">
                  <c:v>0</c:v>
                </c:pt>
                <c:pt idx="2">
                  <c:v>0</c:v>
                </c:pt>
                <c:pt idx="3">
                  <c:v>0</c:v>
                </c:pt>
                <c:pt idx="4">
                  <c:v>3</c:v>
                </c:pt>
                <c:pt idx="5">
                  <c:v>0</c:v>
                </c:pt>
                <c:pt idx="6">
                  <c:v>0</c:v>
                </c:pt>
                <c:pt idx="7">
                  <c:v>3</c:v>
                </c:pt>
              </c:numCache>
            </c:numRef>
          </c:val>
          <c:extLst>
            <c:ext xmlns:c16="http://schemas.microsoft.com/office/drawing/2014/chart" uri="{C3380CC4-5D6E-409C-BE32-E72D297353CC}">
              <c16:uniqueId val="{00000004-B89A-4AEE-8CBE-1F5175D4AB74}"/>
            </c:ext>
          </c:extLst>
        </c:ser>
        <c:dLbls>
          <c:showLegendKey val="0"/>
          <c:showVal val="0"/>
          <c:showCatName val="0"/>
          <c:showSerName val="0"/>
          <c:showPercent val="0"/>
          <c:showBubbleSize val="0"/>
        </c:dLbls>
        <c:gapWidth val="130"/>
        <c:overlap val="100"/>
        <c:axId val="273252416"/>
        <c:axId val="433353008"/>
      </c:barChart>
      <c:catAx>
        <c:axId val="27325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3353008"/>
        <c:crosses val="autoZero"/>
        <c:auto val="1"/>
        <c:lblAlgn val="ctr"/>
        <c:lblOffset val="100"/>
        <c:noMultiLvlLbl val="0"/>
      </c:catAx>
      <c:valAx>
        <c:axId val="43335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3252416"/>
        <c:crosses val="autoZero"/>
        <c:crossBetween val="between"/>
      </c:valAx>
      <c:spPr>
        <a:noFill/>
        <a:ln>
          <a:noFill/>
        </a:ln>
        <a:effectLst/>
      </c:spPr>
    </c:plotArea>
    <c:legend>
      <c:legendPos val="r"/>
      <c:layout>
        <c:manualLayout>
          <c:xMode val="edge"/>
          <c:yMode val="edge"/>
          <c:x val="0.73371648360598085"/>
          <c:y val="0.28933264877279419"/>
          <c:w val="0.25217914403858899"/>
          <c:h val="0.42880431416087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Raw data stored by:</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'7a'!$AE$2</c:f>
              <c:strCache>
                <c:ptCount val="1"/>
                <c:pt idx="0">
                  <c:v>Core Facility</c:v>
                </c:pt>
              </c:strCache>
            </c:strRef>
          </c:tx>
          <c:spPr>
            <a:solidFill>
              <a:schemeClr val="accent1"/>
            </a:solidFill>
            <a:ln>
              <a:noFill/>
            </a:ln>
            <a:effectLst/>
          </c:spPr>
          <c:invertIfNegative val="0"/>
          <c:cat>
            <c:strRef>
              <c:f>'7a'!$AU$1:$AX$1</c:f>
              <c:strCache>
                <c:ptCount val="4"/>
                <c:pt idx="0">
                  <c:v>&lt; 1MB</c:v>
                </c:pt>
                <c:pt idx="1">
                  <c:v>1-1000 MB</c:v>
                </c:pt>
                <c:pt idx="2">
                  <c:v>1-1000 GB</c:v>
                </c:pt>
                <c:pt idx="3">
                  <c:v>1-1000 TB</c:v>
                </c:pt>
              </c:strCache>
            </c:strRef>
          </c:cat>
          <c:val>
            <c:numRef>
              <c:f>'7a'!$AU$2:$AX$2</c:f>
              <c:numCache>
                <c:formatCode>General</c:formatCode>
                <c:ptCount val="4"/>
                <c:pt idx="0">
                  <c:v>2</c:v>
                </c:pt>
                <c:pt idx="1">
                  <c:v>8</c:v>
                </c:pt>
                <c:pt idx="2">
                  <c:v>32</c:v>
                </c:pt>
                <c:pt idx="3">
                  <c:v>13</c:v>
                </c:pt>
              </c:numCache>
            </c:numRef>
          </c:val>
          <c:extLst>
            <c:ext xmlns:c16="http://schemas.microsoft.com/office/drawing/2014/chart" uri="{C3380CC4-5D6E-409C-BE32-E72D297353CC}">
              <c16:uniqueId val="{00000000-E4FD-48E7-B732-2B1581E0A571}"/>
            </c:ext>
          </c:extLst>
        </c:ser>
        <c:ser>
          <c:idx val="1"/>
          <c:order val="1"/>
          <c:tx>
            <c:strRef>
              <c:f>'7a'!$AE$3</c:f>
              <c:strCache>
                <c:ptCount val="1"/>
                <c:pt idx="0">
                  <c:v>Core Facility + Users</c:v>
                </c:pt>
              </c:strCache>
            </c:strRef>
          </c:tx>
          <c:spPr>
            <a:solidFill>
              <a:srgbClr val="CC00FF"/>
            </a:solidFill>
            <a:ln>
              <a:noFill/>
            </a:ln>
            <a:effectLst/>
          </c:spPr>
          <c:invertIfNegative val="0"/>
          <c:cat>
            <c:strRef>
              <c:f>'7a'!$AU$1:$AX$1</c:f>
              <c:strCache>
                <c:ptCount val="4"/>
                <c:pt idx="0">
                  <c:v>&lt; 1MB</c:v>
                </c:pt>
                <c:pt idx="1">
                  <c:v>1-1000 MB</c:v>
                </c:pt>
                <c:pt idx="2">
                  <c:v>1-1000 GB</c:v>
                </c:pt>
                <c:pt idx="3">
                  <c:v>1-1000 TB</c:v>
                </c:pt>
              </c:strCache>
            </c:strRef>
          </c:cat>
          <c:val>
            <c:numRef>
              <c:f>'7a'!$AU$3:$AX$3</c:f>
              <c:numCache>
                <c:formatCode>General</c:formatCode>
                <c:ptCount val="4"/>
                <c:pt idx="0">
                  <c:v>4</c:v>
                </c:pt>
                <c:pt idx="1">
                  <c:v>7</c:v>
                </c:pt>
                <c:pt idx="2">
                  <c:v>28</c:v>
                </c:pt>
                <c:pt idx="3">
                  <c:v>18</c:v>
                </c:pt>
              </c:numCache>
            </c:numRef>
          </c:val>
          <c:extLst>
            <c:ext xmlns:c16="http://schemas.microsoft.com/office/drawing/2014/chart" uri="{C3380CC4-5D6E-409C-BE32-E72D297353CC}">
              <c16:uniqueId val="{00000001-E4FD-48E7-B732-2B1581E0A571}"/>
            </c:ext>
          </c:extLst>
        </c:ser>
        <c:ser>
          <c:idx val="2"/>
          <c:order val="2"/>
          <c:tx>
            <c:strRef>
              <c:f>'7a'!$AE$4</c:f>
              <c:strCache>
                <c:ptCount val="1"/>
                <c:pt idx="0">
                  <c:v>Users, but CF also should</c:v>
                </c:pt>
              </c:strCache>
            </c:strRef>
          </c:tx>
          <c:spPr>
            <a:solidFill>
              <a:srgbClr val="FF7C80"/>
            </a:solidFill>
            <a:ln>
              <a:noFill/>
            </a:ln>
            <a:effectLst/>
          </c:spPr>
          <c:invertIfNegative val="0"/>
          <c:cat>
            <c:strRef>
              <c:f>'7a'!$AU$1:$AX$1</c:f>
              <c:strCache>
                <c:ptCount val="4"/>
                <c:pt idx="0">
                  <c:v>&lt; 1MB</c:v>
                </c:pt>
                <c:pt idx="1">
                  <c:v>1-1000 MB</c:v>
                </c:pt>
                <c:pt idx="2">
                  <c:v>1-1000 GB</c:v>
                </c:pt>
                <c:pt idx="3">
                  <c:v>1-1000 TB</c:v>
                </c:pt>
              </c:strCache>
            </c:strRef>
          </c:cat>
          <c:val>
            <c:numRef>
              <c:f>'7a'!$AU$4:$AX$4</c:f>
              <c:numCache>
                <c:formatCode>General</c:formatCode>
                <c:ptCount val="4"/>
                <c:pt idx="0">
                  <c:v>0</c:v>
                </c:pt>
                <c:pt idx="1">
                  <c:v>0</c:v>
                </c:pt>
                <c:pt idx="2">
                  <c:v>5</c:v>
                </c:pt>
                <c:pt idx="3">
                  <c:v>0</c:v>
                </c:pt>
              </c:numCache>
            </c:numRef>
          </c:val>
          <c:extLst>
            <c:ext xmlns:c16="http://schemas.microsoft.com/office/drawing/2014/chart" uri="{C3380CC4-5D6E-409C-BE32-E72D297353CC}">
              <c16:uniqueId val="{00000002-E4FD-48E7-B732-2B1581E0A571}"/>
            </c:ext>
          </c:extLst>
        </c:ser>
        <c:ser>
          <c:idx val="3"/>
          <c:order val="3"/>
          <c:tx>
            <c:strRef>
              <c:f>'7a'!$AE$5</c:f>
              <c:strCache>
                <c:ptCount val="1"/>
                <c:pt idx="0">
                  <c:v>Users, CF should not</c:v>
                </c:pt>
              </c:strCache>
            </c:strRef>
          </c:tx>
          <c:spPr>
            <a:solidFill>
              <a:srgbClr val="FF0000"/>
            </a:solidFill>
            <a:ln>
              <a:noFill/>
            </a:ln>
            <a:effectLst/>
          </c:spPr>
          <c:invertIfNegative val="0"/>
          <c:cat>
            <c:strRef>
              <c:f>'7a'!$AU$1:$AX$1</c:f>
              <c:strCache>
                <c:ptCount val="4"/>
                <c:pt idx="0">
                  <c:v>&lt; 1MB</c:v>
                </c:pt>
                <c:pt idx="1">
                  <c:v>1-1000 MB</c:v>
                </c:pt>
                <c:pt idx="2">
                  <c:v>1-1000 GB</c:v>
                </c:pt>
                <c:pt idx="3">
                  <c:v>1-1000 TB</c:v>
                </c:pt>
              </c:strCache>
            </c:strRef>
          </c:cat>
          <c:val>
            <c:numRef>
              <c:f>'7a'!$AU$5:$AX$5</c:f>
              <c:numCache>
                <c:formatCode>General</c:formatCode>
                <c:ptCount val="4"/>
                <c:pt idx="0">
                  <c:v>1</c:v>
                </c:pt>
                <c:pt idx="1">
                  <c:v>8</c:v>
                </c:pt>
                <c:pt idx="2">
                  <c:v>20</c:v>
                </c:pt>
                <c:pt idx="3">
                  <c:v>19</c:v>
                </c:pt>
              </c:numCache>
            </c:numRef>
          </c:val>
          <c:extLst>
            <c:ext xmlns:c16="http://schemas.microsoft.com/office/drawing/2014/chart" uri="{C3380CC4-5D6E-409C-BE32-E72D297353CC}">
              <c16:uniqueId val="{00000003-E4FD-48E7-B732-2B1581E0A571}"/>
            </c:ext>
          </c:extLst>
        </c:ser>
        <c:ser>
          <c:idx val="4"/>
          <c:order val="4"/>
          <c:tx>
            <c:strRef>
              <c:f>'7a'!$AE$6</c:f>
              <c:strCache>
                <c:ptCount val="1"/>
                <c:pt idx="0">
                  <c:v>other</c:v>
                </c:pt>
              </c:strCache>
            </c:strRef>
          </c:tx>
          <c:spPr>
            <a:solidFill>
              <a:srgbClr val="BBBBBB"/>
            </a:solidFill>
            <a:ln>
              <a:noFill/>
            </a:ln>
            <a:effectLst/>
          </c:spPr>
          <c:invertIfNegative val="0"/>
          <c:cat>
            <c:strRef>
              <c:f>'7a'!$AU$1:$AX$1</c:f>
              <c:strCache>
                <c:ptCount val="4"/>
                <c:pt idx="0">
                  <c:v>&lt; 1MB</c:v>
                </c:pt>
                <c:pt idx="1">
                  <c:v>1-1000 MB</c:v>
                </c:pt>
                <c:pt idx="2">
                  <c:v>1-1000 GB</c:v>
                </c:pt>
                <c:pt idx="3">
                  <c:v>1-1000 TB</c:v>
                </c:pt>
              </c:strCache>
            </c:strRef>
          </c:cat>
          <c:val>
            <c:numRef>
              <c:f>'7a'!$AU$6:$AX$6</c:f>
              <c:numCache>
                <c:formatCode>General</c:formatCode>
                <c:ptCount val="4"/>
                <c:pt idx="0">
                  <c:v>0</c:v>
                </c:pt>
                <c:pt idx="1">
                  <c:v>1</c:v>
                </c:pt>
                <c:pt idx="2">
                  <c:v>7</c:v>
                </c:pt>
                <c:pt idx="3">
                  <c:v>2</c:v>
                </c:pt>
              </c:numCache>
            </c:numRef>
          </c:val>
          <c:extLst>
            <c:ext xmlns:c16="http://schemas.microsoft.com/office/drawing/2014/chart" uri="{C3380CC4-5D6E-409C-BE32-E72D297353CC}">
              <c16:uniqueId val="{00000004-E4FD-48E7-B732-2B1581E0A571}"/>
            </c:ext>
          </c:extLst>
        </c:ser>
        <c:dLbls>
          <c:showLegendKey val="0"/>
          <c:showVal val="0"/>
          <c:showCatName val="0"/>
          <c:showSerName val="0"/>
          <c:showPercent val="0"/>
          <c:showBubbleSize val="0"/>
        </c:dLbls>
        <c:gapWidth val="130"/>
        <c:overlap val="100"/>
        <c:axId val="558238248"/>
        <c:axId val="558237592"/>
      </c:barChart>
      <c:catAx>
        <c:axId val="558238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237592"/>
        <c:crosses val="autoZero"/>
        <c:auto val="1"/>
        <c:lblAlgn val="ctr"/>
        <c:lblOffset val="100"/>
        <c:noMultiLvlLbl val="0"/>
      </c:catAx>
      <c:valAx>
        <c:axId val="558237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2382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If CF doesn't sore raw data , should it also be responsible for storing them?</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'7a'!$AZ$2</c:f>
              <c:strCache>
                <c:ptCount val="1"/>
                <c:pt idx="0">
                  <c:v>Yes</c:v>
                </c:pt>
              </c:strCache>
            </c:strRef>
          </c:tx>
          <c:spPr>
            <a:solidFill>
              <a:schemeClr val="accent1"/>
            </a:solidFill>
            <a:ln>
              <a:noFill/>
            </a:ln>
            <a:effectLst/>
          </c:spPr>
          <c:invertIfNegative val="0"/>
          <c:cat>
            <c:strRef>
              <c:f>'7a'!$BG$1:$BI$1</c:f>
              <c:strCache>
                <c:ptCount val="3"/>
                <c:pt idx="0">
                  <c:v>1-1000 MB</c:v>
                </c:pt>
                <c:pt idx="1">
                  <c:v>1-1000 GB</c:v>
                </c:pt>
                <c:pt idx="2">
                  <c:v>1-1000 TB</c:v>
                </c:pt>
              </c:strCache>
            </c:strRef>
          </c:cat>
          <c:val>
            <c:numRef>
              <c:f>'7a'!$BG$2:$BI$2</c:f>
              <c:numCache>
                <c:formatCode>General</c:formatCode>
                <c:ptCount val="3"/>
                <c:pt idx="0">
                  <c:v>1</c:v>
                </c:pt>
                <c:pt idx="1">
                  <c:v>8</c:v>
                </c:pt>
                <c:pt idx="2">
                  <c:v>0</c:v>
                </c:pt>
              </c:numCache>
            </c:numRef>
          </c:val>
          <c:extLst>
            <c:ext xmlns:c16="http://schemas.microsoft.com/office/drawing/2014/chart" uri="{C3380CC4-5D6E-409C-BE32-E72D297353CC}">
              <c16:uniqueId val="{00000000-ED5A-422C-946E-8E3FDBC49AD3}"/>
            </c:ext>
          </c:extLst>
        </c:ser>
        <c:ser>
          <c:idx val="1"/>
          <c:order val="1"/>
          <c:tx>
            <c:strRef>
              <c:f>'7a'!$AZ$3</c:f>
              <c:strCache>
                <c:ptCount val="1"/>
                <c:pt idx="0">
                  <c:v>No</c:v>
                </c:pt>
              </c:strCache>
            </c:strRef>
          </c:tx>
          <c:spPr>
            <a:solidFill>
              <a:srgbClr val="FF0000"/>
            </a:solidFill>
            <a:ln>
              <a:noFill/>
            </a:ln>
            <a:effectLst/>
          </c:spPr>
          <c:invertIfNegative val="0"/>
          <c:cat>
            <c:strRef>
              <c:f>'7a'!$BG$1:$BI$1</c:f>
              <c:strCache>
                <c:ptCount val="3"/>
                <c:pt idx="0">
                  <c:v>1-1000 MB</c:v>
                </c:pt>
                <c:pt idx="1">
                  <c:v>1-1000 GB</c:v>
                </c:pt>
                <c:pt idx="2">
                  <c:v>1-1000 TB</c:v>
                </c:pt>
              </c:strCache>
            </c:strRef>
          </c:cat>
          <c:val>
            <c:numRef>
              <c:f>'7a'!$BG$3:$BI$3</c:f>
              <c:numCache>
                <c:formatCode>General</c:formatCode>
                <c:ptCount val="3"/>
                <c:pt idx="0">
                  <c:v>8</c:v>
                </c:pt>
                <c:pt idx="1">
                  <c:v>24</c:v>
                </c:pt>
                <c:pt idx="2">
                  <c:v>21</c:v>
                </c:pt>
              </c:numCache>
            </c:numRef>
          </c:val>
          <c:extLst>
            <c:ext xmlns:c16="http://schemas.microsoft.com/office/drawing/2014/chart" uri="{C3380CC4-5D6E-409C-BE32-E72D297353CC}">
              <c16:uniqueId val="{00000001-ED5A-422C-946E-8E3FDBC49AD3}"/>
            </c:ext>
          </c:extLst>
        </c:ser>
        <c:dLbls>
          <c:showLegendKey val="0"/>
          <c:showVal val="0"/>
          <c:showCatName val="0"/>
          <c:showSerName val="0"/>
          <c:showPercent val="0"/>
          <c:showBubbleSize val="0"/>
        </c:dLbls>
        <c:gapWidth val="130"/>
        <c:overlap val="100"/>
        <c:axId val="551908984"/>
        <c:axId val="551909312"/>
      </c:barChart>
      <c:catAx>
        <c:axId val="55190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1909312"/>
        <c:crosses val="autoZero"/>
        <c:auto val="1"/>
        <c:lblAlgn val="ctr"/>
        <c:lblOffset val="100"/>
        <c:noMultiLvlLbl val="0"/>
      </c:catAx>
      <c:valAx>
        <c:axId val="551909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19089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Raw data stored by:</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'7a'!$AE$2</c:f>
              <c:strCache>
                <c:ptCount val="1"/>
                <c:pt idx="0">
                  <c:v>Core Facility</c:v>
                </c:pt>
              </c:strCache>
            </c:strRef>
          </c:tx>
          <c:spPr>
            <a:solidFill>
              <a:schemeClr val="accent1"/>
            </a:solidFill>
            <a:ln>
              <a:noFill/>
            </a:ln>
            <a:effectLst/>
          </c:spPr>
          <c:invertIfNegative val="0"/>
          <c:cat>
            <c:strRef>
              <c:f>'7a'!$AH$1:$AJ$1</c:f>
              <c:strCache>
                <c:ptCount val="3"/>
                <c:pt idx="0">
                  <c:v>full-service</c:v>
                </c:pt>
                <c:pt idx="1">
                  <c:v>hybrid-service</c:v>
                </c:pt>
                <c:pt idx="2">
                  <c:v>self-service</c:v>
                </c:pt>
              </c:strCache>
            </c:strRef>
          </c:cat>
          <c:val>
            <c:numRef>
              <c:f>'7a'!$AH$2:$AJ$2</c:f>
              <c:numCache>
                <c:formatCode>General</c:formatCode>
                <c:ptCount val="3"/>
                <c:pt idx="0">
                  <c:v>25</c:v>
                </c:pt>
                <c:pt idx="1">
                  <c:v>34</c:v>
                </c:pt>
                <c:pt idx="2">
                  <c:v>0</c:v>
                </c:pt>
              </c:numCache>
            </c:numRef>
          </c:val>
          <c:extLst>
            <c:ext xmlns:c16="http://schemas.microsoft.com/office/drawing/2014/chart" uri="{C3380CC4-5D6E-409C-BE32-E72D297353CC}">
              <c16:uniqueId val="{00000000-1AC2-4BC6-B298-71E773DCB353}"/>
            </c:ext>
          </c:extLst>
        </c:ser>
        <c:ser>
          <c:idx val="1"/>
          <c:order val="1"/>
          <c:tx>
            <c:strRef>
              <c:f>'7a'!$AE$3</c:f>
              <c:strCache>
                <c:ptCount val="1"/>
                <c:pt idx="0">
                  <c:v>Core Facility + Users</c:v>
                </c:pt>
              </c:strCache>
            </c:strRef>
          </c:tx>
          <c:spPr>
            <a:solidFill>
              <a:srgbClr val="CC00FF"/>
            </a:solidFill>
            <a:ln>
              <a:noFill/>
            </a:ln>
            <a:effectLst/>
          </c:spPr>
          <c:invertIfNegative val="0"/>
          <c:cat>
            <c:strRef>
              <c:f>'7a'!$AH$1:$AJ$1</c:f>
              <c:strCache>
                <c:ptCount val="3"/>
                <c:pt idx="0">
                  <c:v>full-service</c:v>
                </c:pt>
                <c:pt idx="1">
                  <c:v>hybrid-service</c:v>
                </c:pt>
                <c:pt idx="2">
                  <c:v>self-service</c:v>
                </c:pt>
              </c:strCache>
            </c:strRef>
          </c:cat>
          <c:val>
            <c:numRef>
              <c:f>'7a'!$AH$3:$AJ$3</c:f>
              <c:numCache>
                <c:formatCode>General</c:formatCode>
                <c:ptCount val="3"/>
                <c:pt idx="0">
                  <c:v>21</c:v>
                </c:pt>
                <c:pt idx="1">
                  <c:v>48</c:v>
                </c:pt>
                <c:pt idx="2">
                  <c:v>4</c:v>
                </c:pt>
              </c:numCache>
            </c:numRef>
          </c:val>
          <c:extLst>
            <c:ext xmlns:c16="http://schemas.microsoft.com/office/drawing/2014/chart" uri="{C3380CC4-5D6E-409C-BE32-E72D297353CC}">
              <c16:uniqueId val="{00000001-1AC2-4BC6-B298-71E773DCB353}"/>
            </c:ext>
          </c:extLst>
        </c:ser>
        <c:ser>
          <c:idx val="2"/>
          <c:order val="2"/>
          <c:tx>
            <c:strRef>
              <c:f>'7a'!$AE$4</c:f>
              <c:strCache>
                <c:ptCount val="1"/>
                <c:pt idx="0">
                  <c:v>Users, but CF also should</c:v>
                </c:pt>
              </c:strCache>
            </c:strRef>
          </c:tx>
          <c:spPr>
            <a:solidFill>
              <a:srgbClr val="FF7C80"/>
            </a:solidFill>
            <a:ln>
              <a:noFill/>
            </a:ln>
            <a:effectLst/>
          </c:spPr>
          <c:invertIfNegative val="0"/>
          <c:cat>
            <c:strRef>
              <c:f>'7a'!$AH$1:$AJ$1</c:f>
              <c:strCache>
                <c:ptCount val="3"/>
                <c:pt idx="0">
                  <c:v>full-service</c:v>
                </c:pt>
                <c:pt idx="1">
                  <c:v>hybrid-service</c:v>
                </c:pt>
                <c:pt idx="2">
                  <c:v>self-service</c:v>
                </c:pt>
              </c:strCache>
            </c:strRef>
          </c:cat>
          <c:val>
            <c:numRef>
              <c:f>'7a'!$AH$4:$AJ$4</c:f>
              <c:numCache>
                <c:formatCode>General</c:formatCode>
                <c:ptCount val="3"/>
                <c:pt idx="0">
                  <c:v>0</c:v>
                </c:pt>
                <c:pt idx="1">
                  <c:v>5</c:v>
                </c:pt>
                <c:pt idx="2">
                  <c:v>0</c:v>
                </c:pt>
              </c:numCache>
            </c:numRef>
          </c:val>
          <c:extLst>
            <c:ext xmlns:c16="http://schemas.microsoft.com/office/drawing/2014/chart" uri="{C3380CC4-5D6E-409C-BE32-E72D297353CC}">
              <c16:uniqueId val="{00000002-1AC2-4BC6-B298-71E773DCB353}"/>
            </c:ext>
          </c:extLst>
        </c:ser>
        <c:ser>
          <c:idx val="3"/>
          <c:order val="3"/>
          <c:tx>
            <c:strRef>
              <c:f>'7a'!$AE$5</c:f>
              <c:strCache>
                <c:ptCount val="1"/>
                <c:pt idx="0">
                  <c:v>Users, CF should not</c:v>
                </c:pt>
              </c:strCache>
            </c:strRef>
          </c:tx>
          <c:spPr>
            <a:solidFill>
              <a:srgbClr val="FF0000"/>
            </a:solidFill>
            <a:ln>
              <a:noFill/>
            </a:ln>
            <a:effectLst/>
          </c:spPr>
          <c:invertIfNegative val="0"/>
          <c:cat>
            <c:strRef>
              <c:f>'7a'!$AH$1:$AJ$1</c:f>
              <c:strCache>
                <c:ptCount val="3"/>
                <c:pt idx="0">
                  <c:v>full-service</c:v>
                </c:pt>
                <c:pt idx="1">
                  <c:v>hybrid-service</c:v>
                </c:pt>
                <c:pt idx="2">
                  <c:v>self-service</c:v>
                </c:pt>
              </c:strCache>
            </c:strRef>
          </c:cat>
          <c:val>
            <c:numRef>
              <c:f>'7a'!$AH$5:$AJ$5</c:f>
              <c:numCache>
                <c:formatCode>General</c:formatCode>
                <c:ptCount val="3"/>
                <c:pt idx="0">
                  <c:v>7</c:v>
                </c:pt>
                <c:pt idx="1">
                  <c:v>45</c:v>
                </c:pt>
                <c:pt idx="2">
                  <c:v>5</c:v>
                </c:pt>
              </c:numCache>
            </c:numRef>
          </c:val>
          <c:extLst>
            <c:ext xmlns:c16="http://schemas.microsoft.com/office/drawing/2014/chart" uri="{C3380CC4-5D6E-409C-BE32-E72D297353CC}">
              <c16:uniqueId val="{00000003-1AC2-4BC6-B298-71E773DCB353}"/>
            </c:ext>
          </c:extLst>
        </c:ser>
        <c:ser>
          <c:idx val="4"/>
          <c:order val="4"/>
          <c:tx>
            <c:strRef>
              <c:f>'7a'!$AE$6</c:f>
              <c:strCache>
                <c:ptCount val="1"/>
                <c:pt idx="0">
                  <c:v>other</c:v>
                </c:pt>
              </c:strCache>
            </c:strRef>
          </c:tx>
          <c:spPr>
            <a:solidFill>
              <a:srgbClr val="BBBBBB"/>
            </a:solidFill>
            <a:ln>
              <a:noFill/>
            </a:ln>
            <a:effectLst/>
          </c:spPr>
          <c:invertIfNegative val="0"/>
          <c:cat>
            <c:strRef>
              <c:f>'7a'!$AH$1:$AJ$1</c:f>
              <c:strCache>
                <c:ptCount val="3"/>
                <c:pt idx="0">
                  <c:v>full-service</c:v>
                </c:pt>
                <c:pt idx="1">
                  <c:v>hybrid-service</c:v>
                </c:pt>
                <c:pt idx="2">
                  <c:v>self-service</c:v>
                </c:pt>
              </c:strCache>
            </c:strRef>
          </c:cat>
          <c:val>
            <c:numRef>
              <c:f>'7a'!$AH$6:$AJ$6</c:f>
              <c:numCache>
                <c:formatCode>General</c:formatCode>
                <c:ptCount val="3"/>
                <c:pt idx="0">
                  <c:v>3</c:v>
                </c:pt>
                <c:pt idx="1">
                  <c:v>7</c:v>
                </c:pt>
                <c:pt idx="2">
                  <c:v>1</c:v>
                </c:pt>
              </c:numCache>
            </c:numRef>
          </c:val>
          <c:extLst>
            <c:ext xmlns:c16="http://schemas.microsoft.com/office/drawing/2014/chart" uri="{C3380CC4-5D6E-409C-BE32-E72D297353CC}">
              <c16:uniqueId val="{00000004-1AC2-4BC6-B298-71E773DCB353}"/>
            </c:ext>
          </c:extLst>
        </c:ser>
        <c:dLbls>
          <c:showLegendKey val="0"/>
          <c:showVal val="0"/>
          <c:showCatName val="0"/>
          <c:showSerName val="0"/>
          <c:showPercent val="0"/>
          <c:showBubbleSize val="0"/>
        </c:dLbls>
        <c:gapWidth val="130"/>
        <c:overlap val="100"/>
        <c:axId val="441221760"/>
        <c:axId val="441222088"/>
      </c:barChart>
      <c:catAx>
        <c:axId val="44122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1222088"/>
        <c:crosses val="autoZero"/>
        <c:auto val="1"/>
        <c:lblAlgn val="ctr"/>
        <c:lblOffset val="100"/>
        <c:noMultiLvlLbl val="0"/>
      </c:catAx>
      <c:valAx>
        <c:axId val="441222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1221760"/>
        <c:crosses val="autoZero"/>
        <c:crossBetween val="between"/>
      </c:valAx>
      <c:spPr>
        <a:noFill/>
        <a:ln>
          <a:noFill/>
        </a:ln>
        <a:effectLst/>
      </c:spPr>
    </c:plotArea>
    <c:legend>
      <c:legendPos val="r"/>
      <c:layout>
        <c:manualLayout>
          <c:xMode val="edge"/>
          <c:yMode val="edge"/>
          <c:x val="0.64797145495150987"/>
          <c:y val="0.20674700550794237"/>
          <c:w val="0.32777632964680564"/>
          <c:h val="0.533756228011974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provides guidance how to analyse raw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044-4759-B898-574A84A4DEBE}"/>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044-4759-B898-574A84A4DE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'7b'!$AF$2:$AF$3</c:f>
              <c:strCache>
                <c:ptCount val="2"/>
                <c:pt idx="0">
                  <c:v>Yes</c:v>
                </c:pt>
                <c:pt idx="1">
                  <c:v>No</c:v>
                </c:pt>
              </c:strCache>
            </c:strRef>
          </c:cat>
          <c:val>
            <c:numRef>
              <c:f>'7b'!$AG$2:$AG$3</c:f>
              <c:numCache>
                <c:formatCode>General</c:formatCode>
                <c:ptCount val="2"/>
                <c:pt idx="0">
                  <c:v>146</c:v>
                </c:pt>
                <c:pt idx="1">
                  <c:v>26</c:v>
                </c:pt>
              </c:numCache>
            </c:numRef>
          </c:val>
          <c:extLst>
            <c:ext xmlns:c16="http://schemas.microsoft.com/office/drawing/2014/chart" uri="{C3380CC4-5D6E-409C-BE32-E72D297353CC}">
              <c16:uniqueId val="{00000004-0044-4759-B898-574A84A4DEB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Statistical analysis performed by: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6CCEE"/>
              </a:solidFill>
              <a:ln>
                <a:noFill/>
              </a:ln>
              <a:effectLst/>
            </c:spPr>
            <c:extLst>
              <c:ext xmlns:c16="http://schemas.microsoft.com/office/drawing/2014/chart" uri="{C3380CC4-5D6E-409C-BE32-E72D297353CC}">
                <c16:uniqueId val="{00000000-7450-4907-A1B6-2451DE360AAD}"/>
              </c:ext>
            </c:extLst>
          </c:dPt>
          <c:dPt>
            <c:idx val="1"/>
            <c:invertIfNegative val="0"/>
            <c:bubble3D val="0"/>
            <c:spPr>
              <a:solidFill>
                <a:srgbClr val="AA3377"/>
              </a:solidFill>
              <a:ln>
                <a:noFill/>
              </a:ln>
              <a:effectLst/>
            </c:spPr>
            <c:extLst>
              <c:ext xmlns:c16="http://schemas.microsoft.com/office/drawing/2014/chart" uri="{C3380CC4-5D6E-409C-BE32-E72D297353CC}">
                <c16:uniqueId val="{00000001-7450-4907-A1B6-2451DE360AAD}"/>
              </c:ext>
            </c:extLst>
          </c:dPt>
          <c:dPt>
            <c:idx val="2"/>
            <c:invertIfNegative val="0"/>
            <c:bubble3D val="0"/>
            <c:spPr>
              <a:solidFill>
                <a:srgbClr val="FF7C80"/>
              </a:solidFill>
              <a:ln>
                <a:noFill/>
              </a:ln>
              <a:effectLst/>
            </c:spPr>
            <c:extLst>
              <c:ext xmlns:c16="http://schemas.microsoft.com/office/drawing/2014/chart" uri="{C3380CC4-5D6E-409C-BE32-E72D297353CC}">
                <c16:uniqueId val="{00000002-7450-4907-A1B6-2451DE360AAD}"/>
              </c:ext>
            </c:extLst>
          </c:dPt>
          <c:dPt>
            <c:idx val="3"/>
            <c:invertIfNegative val="0"/>
            <c:bubble3D val="0"/>
            <c:spPr>
              <a:solidFill>
                <a:srgbClr val="BBBBBB"/>
              </a:solidFill>
              <a:ln>
                <a:noFill/>
              </a:ln>
              <a:effectLst/>
            </c:spPr>
            <c:extLst>
              <c:ext xmlns:c16="http://schemas.microsoft.com/office/drawing/2014/chart" uri="{C3380CC4-5D6E-409C-BE32-E72D297353CC}">
                <c16:uniqueId val="{00000003-7450-4907-A1B6-2451DE360AAD}"/>
              </c:ext>
            </c:extLst>
          </c:dPt>
          <c:cat>
            <c:strRef>
              <c:f>'7b'!$AU$2:$AU$5</c:f>
              <c:strCache>
                <c:ptCount val="4"/>
                <c:pt idx="0">
                  <c:v>Core Facility</c:v>
                </c:pt>
                <c:pt idx="1">
                  <c:v>both / either</c:v>
                </c:pt>
                <c:pt idx="2">
                  <c:v>User</c:v>
                </c:pt>
                <c:pt idx="3">
                  <c:v>other</c:v>
                </c:pt>
              </c:strCache>
            </c:strRef>
          </c:cat>
          <c:val>
            <c:numRef>
              <c:f>'7b'!$AV$2:$AV$5</c:f>
              <c:numCache>
                <c:formatCode>General</c:formatCode>
                <c:ptCount val="4"/>
                <c:pt idx="0">
                  <c:v>113</c:v>
                </c:pt>
                <c:pt idx="1">
                  <c:v>89</c:v>
                </c:pt>
                <c:pt idx="2">
                  <c:v>177</c:v>
                </c:pt>
                <c:pt idx="3">
                  <c:v>8</c:v>
                </c:pt>
              </c:numCache>
            </c:numRef>
          </c:val>
          <c:extLst>
            <c:ext xmlns:c16="http://schemas.microsoft.com/office/drawing/2014/chart" uri="{C3380CC4-5D6E-409C-BE32-E72D297353CC}">
              <c16:uniqueId val="{00000000-D4C3-40FB-84B4-EF1F4D808723}"/>
            </c:ext>
          </c:extLst>
        </c:ser>
        <c:dLbls>
          <c:showLegendKey val="0"/>
          <c:showVal val="0"/>
          <c:showCatName val="0"/>
          <c:showSerName val="0"/>
          <c:showPercent val="0"/>
          <c:showBubbleSize val="0"/>
        </c:dLbls>
        <c:gapWidth val="130"/>
        <c:overlap val="-27"/>
        <c:axId val="617017152"/>
        <c:axId val="617016824"/>
      </c:barChart>
      <c:catAx>
        <c:axId val="61701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016824"/>
        <c:crosses val="autoZero"/>
        <c:auto val="1"/>
        <c:lblAlgn val="ctr"/>
        <c:lblOffset val="100"/>
        <c:noMultiLvlLbl val="0"/>
      </c:catAx>
      <c:valAx>
        <c:axId val="617016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017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ubbleChart>
        <c:varyColors val="0"/>
        <c:ser>
          <c:idx val="0"/>
          <c:order val="0"/>
          <c:tx>
            <c:strRef>
              <c:f>'1bis'!$H$1</c:f>
              <c:strCache>
                <c:ptCount val="1"/>
                <c:pt idx="0">
                  <c:v>flow cytometry</c:v>
                </c:pt>
              </c:strCache>
            </c:strRef>
          </c:tx>
          <c:spPr>
            <a:solidFill>
              <a:schemeClr val="accent1">
                <a:alpha val="75000"/>
              </a:schemeClr>
            </a:solidFill>
            <a:ln>
              <a:noFill/>
            </a:ln>
            <a:effectLst/>
          </c:spPr>
          <c:invertIfNegative val="0"/>
          <c:xVal>
            <c:numRef>
              <c:f>'1bis'!$F$2:$F$31</c:f>
              <c:numCache>
                <c:formatCode>General</c:formatCode>
                <c:ptCount val="30"/>
                <c:pt idx="0">
                  <c:v>2.5</c:v>
                </c:pt>
                <c:pt idx="1">
                  <c:v>2.5</c:v>
                </c:pt>
                <c:pt idx="2">
                  <c:v>2.5</c:v>
                </c:pt>
                <c:pt idx="3">
                  <c:v>2.5</c:v>
                </c:pt>
                <c:pt idx="4">
                  <c:v>2.5</c:v>
                </c:pt>
                <c:pt idx="5">
                  <c:v>2.5</c:v>
                </c:pt>
                <c:pt idx="6">
                  <c:v>6.5</c:v>
                </c:pt>
                <c:pt idx="7">
                  <c:v>6.5</c:v>
                </c:pt>
                <c:pt idx="8">
                  <c:v>6.5</c:v>
                </c:pt>
                <c:pt idx="9">
                  <c:v>6.5</c:v>
                </c:pt>
                <c:pt idx="10">
                  <c:v>6.5</c:v>
                </c:pt>
                <c:pt idx="11">
                  <c:v>6.5</c:v>
                </c:pt>
                <c:pt idx="12">
                  <c:v>10.5</c:v>
                </c:pt>
                <c:pt idx="13">
                  <c:v>10.5</c:v>
                </c:pt>
                <c:pt idx="14">
                  <c:v>10.5</c:v>
                </c:pt>
                <c:pt idx="15">
                  <c:v>10.5</c:v>
                </c:pt>
                <c:pt idx="16">
                  <c:v>10.5</c:v>
                </c:pt>
                <c:pt idx="17">
                  <c:v>10.5</c:v>
                </c:pt>
                <c:pt idx="18">
                  <c:v>14.5</c:v>
                </c:pt>
                <c:pt idx="19">
                  <c:v>14.5</c:v>
                </c:pt>
                <c:pt idx="20">
                  <c:v>14.5</c:v>
                </c:pt>
                <c:pt idx="21">
                  <c:v>14.5</c:v>
                </c:pt>
                <c:pt idx="22">
                  <c:v>14.5</c:v>
                </c:pt>
                <c:pt idx="23">
                  <c:v>14.5</c:v>
                </c:pt>
                <c:pt idx="24">
                  <c:v>18.5</c:v>
                </c:pt>
                <c:pt idx="25">
                  <c:v>18.5</c:v>
                </c:pt>
                <c:pt idx="26">
                  <c:v>18.5</c:v>
                </c:pt>
                <c:pt idx="27">
                  <c:v>18.5</c:v>
                </c:pt>
                <c:pt idx="28">
                  <c:v>18.5</c:v>
                </c:pt>
                <c:pt idx="29">
                  <c:v>18.5</c:v>
                </c:pt>
              </c:numCache>
            </c:numRef>
          </c:xVal>
          <c:yVal>
            <c:numRef>
              <c:f>'1bis'!$G$2:$G$31</c:f>
              <c:numCache>
                <c:formatCode>General</c:formatCode>
                <c:ptCount val="30"/>
                <c:pt idx="0">
                  <c:v>10</c:v>
                </c:pt>
                <c:pt idx="1">
                  <c:v>30</c:v>
                </c:pt>
                <c:pt idx="2">
                  <c:v>50</c:v>
                </c:pt>
                <c:pt idx="3">
                  <c:v>70</c:v>
                </c:pt>
                <c:pt idx="4">
                  <c:v>90</c:v>
                </c:pt>
                <c:pt idx="5">
                  <c:v>110</c:v>
                </c:pt>
                <c:pt idx="6">
                  <c:v>10</c:v>
                </c:pt>
                <c:pt idx="7">
                  <c:v>30</c:v>
                </c:pt>
                <c:pt idx="8">
                  <c:v>50</c:v>
                </c:pt>
                <c:pt idx="9">
                  <c:v>70</c:v>
                </c:pt>
                <c:pt idx="10">
                  <c:v>90</c:v>
                </c:pt>
                <c:pt idx="11">
                  <c:v>110</c:v>
                </c:pt>
                <c:pt idx="12">
                  <c:v>10</c:v>
                </c:pt>
                <c:pt idx="13">
                  <c:v>30</c:v>
                </c:pt>
                <c:pt idx="14">
                  <c:v>50</c:v>
                </c:pt>
                <c:pt idx="15">
                  <c:v>70</c:v>
                </c:pt>
                <c:pt idx="16">
                  <c:v>90</c:v>
                </c:pt>
                <c:pt idx="17">
                  <c:v>110</c:v>
                </c:pt>
                <c:pt idx="18">
                  <c:v>10</c:v>
                </c:pt>
                <c:pt idx="19">
                  <c:v>30</c:v>
                </c:pt>
                <c:pt idx="20">
                  <c:v>50</c:v>
                </c:pt>
                <c:pt idx="21">
                  <c:v>70</c:v>
                </c:pt>
                <c:pt idx="22">
                  <c:v>90</c:v>
                </c:pt>
                <c:pt idx="23">
                  <c:v>110</c:v>
                </c:pt>
                <c:pt idx="24">
                  <c:v>10</c:v>
                </c:pt>
                <c:pt idx="25">
                  <c:v>30</c:v>
                </c:pt>
                <c:pt idx="26">
                  <c:v>50</c:v>
                </c:pt>
                <c:pt idx="27">
                  <c:v>70</c:v>
                </c:pt>
                <c:pt idx="28">
                  <c:v>90</c:v>
                </c:pt>
                <c:pt idx="29">
                  <c:v>110</c:v>
                </c:pt>
              </c:numCache>
            </c:numRef>
          </c:yVal>
          <c:bubbleSize>
            <c:numRef>
              <c:f>'1bis'!$H$2:$H$31</c:f>
              <c:numCache>
                <c:formatCode>General</c:formatCode>
                <c:ptCount val="30"/>
                <c:pt idx="0">
                  <c:v>8</c:v>
                </c:pt>
                <c:pt idx="1">
                  <c:v>11</c:v>
                </c:pt>
                <c:pt idx="2">
                  <c:v>10</c:v>
                </c:pt>
                <c:pt idx="3">
                  <c:v>5</c:v>
                </c:pt>
                <c:pt idx="4">
                  <c:v>2</c:v>
                </c:pt>
                <c:pt idx="5">
                  <c:v>5</c:v>
                </c:pt>
                <c:pt idx="6">
                  <c:v>1</c:v>
                </c:pt>
                <c:pt idx="7">
                  <c:v>1</c:v>
                </c:pt>
                <c:pt idx="8">
                  <c:v>3</c:v>
                </c:pt>
                <c:pt idx="9">
                  <c:v>0</c:v>
                </c:pt>
                <c:pt idx="10">
                  <c:v>0</c:v>
                </c:pt>
                <c:pt idx="11">
                  <c:v>1</c:v>
                </c:pt>
                <c:pt idx="12">
                  <c:v>0</c:v>
                </c:pt>
                <c:pt idx="13">
                  <c:v>0</c:v>
                </c:pt>
                <c:pt idx="14">
                  <c:v>1</c:v>
                </c:pt>
                <c:pt idx="15">
                  <c:v>0</c:v>
                </c:pt>
                <c:pt idx="16">
                  <c:v>0</c:v>
                </c:pt>
                <c:pt idx="17">
                  <c:v>1</c:v>
                </c:pt>
                <c:pt idx="18">
                  <c:v>0</c:v>
                </c:pt>
                <c:pt idx="19">
                  <c:v>0</c:v>
                </c:pt>
                <c:pt idx="20">
                  <c:v>0</c:v>
                </c:pt>
                <c:pt idx="21">
                  <c:v>0</c:v>
                </c:pt>
                <c:pt idx="22">
                  <c:v>0</c:v>
                </c:pt>
                <c:pt idx="23">
                  <c:v>1</c:v>
                </c:pt>
                <c:pt idx="24">
                  <c:v>0</c:v>
                </c:pt>
                <c:pt idx="25">
                  <c:v>0</c:v>
                </c:pt>
                <c:pt idx="26">
                  <c:v>0</c:v>
                </c:pt>
                <c:pt idx="27">
                  <c:v>0</c:v>
                </c:pt>
                <c:pt idx="28">
                  <c:v>0</c:v>
                </c:pt>
                <c:pt idx="29">
                  <c:v>0</c:v>
                </c:pt>
              </c:numCache>
            </c:numRef>
          </c:bubbleSize>
          <c:bubble3D val="0"/>
          <c:extLst>
            <c:ext xmlns:c16="http://schemas.microsoft.com/office/drawing/2014/chart" uri="{C3380CC4-5D6E-409C-BE32-E72D297353CC}">
              <c16:uniqueId val="{00000000-10A8-43AF-8251-994C0E0F244F}"/>
            </c:ext>
          </c:extLst>
        </c:ser>
        <c:dLbls>
          <c:showLegendKey val="0"/>
          <c:showVal val="0"/>
          <c:showCatName val="0"/>
          <c:showSerName val="0"/>
          <c:showPercent val="0"/>
          <c:showBubbleSize val="0"/>
        </c:dLbls>
        <c:bubbleScale val="100"/>
        <c:showNegBubbles val="0"/>
        <c:axId val="371821224"/>
        <c:axId val="371821552"/>
      </c:bubbleChart>
      <c:valAx>
        <c:axId val="3718212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staff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821552"/>
        <c:crosses val="autoZero"/>
        <c:crossBetween val="midCat"/>
      </c:valAx>
      <c:valAx>
        <c:axId val="371821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users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8212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Quality control for</a:t>
            </a:r>
            <a:r>
              <a:rPr lang="en-GB" baseline="0"/>
              <a:t> data analysis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62B-44C8-9001-6A62C7A3BA16}"/>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E62B-44C8-9001-6A62C7A3BA1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'7b'!$BY$2:$BY$3</c:f>
              <c:strCache>
                <c:ptCount val="2"/>
                <c:pt idx="0">
                  <c:v>Yes</c:v>
                </c:pt>
                <c:pt idx="1">
                  <c:v>No</c:v>
                </c:pt>
              </c:strCache>
            </c:strRef>
          </c:cat>
          <c:val>
            <c:numRef>
              <c:f>'7b'!$BZ$2:$BZ$3</c:f>
              <c:numCache>
                <c:formatCode>General</c:formatCode>
                <c:ptCount val="2"/>
                <c:pt idx="0">
                  <c:v>79</c:v>
                </c:pt>
                <c:pt idx="1">
                  <c:v>182</c:v>
                </c:pt>
              </c:numCache>
            </c:numRef>
          </c:val>
          <c:extLst>
            <c:ext xmlns:c16="http://schemas.microsoft.com/office/drawing/2014/chart" uri="{C3380CC4-5D6E-409C-BE32-E72D297353CC}">
              <c16:uniqueId val="{00000004-E62B-44C8-9001-6A62C7A3BA1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System to identify raw data behind a figure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1A8-4C3E-BCD6-65C512394D4B}"/>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31A8-4C3E-BCD6-65C512394D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'7b'!$DO$2:$DO$3</c:f>
              <c:strCache>
                <c:ptCount val="2"/>
                <c:pt idx="0">
                  <c:v>Yes</c:v>
                </c:pt>
                <c:pt idx="1">
                  <c:v>No</c:v>
                </c:pt>
              </c:strCache>
            </c:strRef>
          </c:cat>
          <c:val>
            <c:numRef>
              <c:f>'7b'!$DP$2:$DP$3</c:f>
              <c:numCache>
                <c:formatCode>General</c:formatCode>
                <c:ptCount val="2"/>
                <c:pt idx="0">
                  <c:v>73</c:v>
                </c:pt>
                <c:pt idx="1">
                  <c:v>188</c:v>
                </c:pt>
              </c:numCache>
            </c:numRef>
          </c:val>
          <c:extLst>
            <c:ext xmlns:c16="http://schemas.microsoft.com/office/drawing/2014/chart" uri="{C3380CC4-5D6E-409C-BE32-E72D297353CC}">
              <c16:uniqueId val="{00000004-31A8-4C3E-BCD6-65C512394D4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Data are backed 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1AE-4913-A03F-7805CBB1327F}"/>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31AE-4913-A03F-7805CBB1327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'7b'!$ED$2:$ED$3</c:f>
              <c:strCache>
                <c:ptCount val="2"/>
                <c:pt idx="0">
                  <c:v>Yes</c:v>
                </c:pt>
                <c:pt idx="1">
                  <c:v>No</c:v>
                </c:pt>
              </c:strCache>
            </c:strRef>
          </c:cat>
          <c:val>
            <c:numRef>
              <c:f>'7b'!$EE$2:$EE$3</c:f>
              <c:numCache>
                <c:formatCode>General</c:formatCode>
                <c:ptCount val="2"/>
                <c:pt idx="0">
                  <c:v>227</c:v>
                </c:pt>
                <c:pt idx="1">
                  <c:v>34</c:v>
                </c:pt>
              </c:numCache>
            </c:numRef>
          </c:val>
          <c:extLst>
            <c:ext xmlns:c16="http://schemas.microsoft.com/office/drawing/2014/chart" uri="{C3380CC4-5D6E-409C-BE32-E72D297353CC}">
              <c16:uniqueId val="{00000004-31AE-4913-A03F-7805CBB1327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Data are archived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469-4CE6-9A14-07CFA3BF2A26}"/>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1469-4CE6-9A14-07CFA3BF2A2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'7b'!$EJ$2:$EJ$3</c:f>
              <c:strCache>
                <c:ptCount val="2"/>
                <c:pt idx="0">
                  <c:v>Yes</c:v>
                </c:pt>
                <c:pt idx="1">
                  <c:v>No</c:v>
                </c:pt>
              </c:strCache>
            </c:strRef>
          </c:cat>
          <c:val>
            <c:numRef>
              <c:f>'7b'!$EK$2:$EK$3</c:f>
              <c:numCache>
                <c:formatCode>General</c:formatCode>
                <c:ptCount val="2"/>
                <c:pt idx="0">
                  <c:v>56</c:v>
                </c:pt>
                <c:pt idx="1">
                  <c:v>12</c:v>
                </c:pt>
              </c:numCache>
            </c:numRef>
          </c:val>
          <c:extLst>
            <c:ext xmlns:c16="http://schemas.microsoft.com/office/drawing/2014/chart" uri="{C3380CC4-5D6E-409C-BE32-E72D297353CC}">
              <c16:uniqueId val="{00000004-1469-4CE6-9A14-07CFA3BF2A2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Analysis of raw data performed by:</a:t>
            </a:r>
          </a:p>
          <a:p>
            <a:pPr>
              <a:defRPr/>
            </a:pP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6CCEE"/>
              </a:solidFill>
              <a:ln>
                <a:noFill/>
              </a:ln>
              <a:effectLst/>
            </c:spPr>
            <c:extLst>
              <c:ext xmlns:c16="http://schemas.microsoft.com/office/drawing/2014/chart" uri="{C3380CC4-5D6E-409C-BE32-E72D297353CC}">
                <c16:uniqueId val="{00000000-6706-426D-B1D5-CDCA1A257C84}"/>
              </c:ext>
            </c:extLst>
          </c:dPt>
          <c:dPt>
            <c:idx val="1"/>
            <c:invertIfNegative val="0"/>
            <c:bubble3D val="0"/>
            <c:spPr>
              <a:solidFill>
                <a:srgbClr val="AA3377"/>
              </a:solidFill>
              <a:ln>
                <a:noFill/>
              </a:ln>
              <a:effectLst/>
            </c:spPr>
            <c:extLst>
              <c:ext xmlns:c16="http://schemas.microsoft.com/office/drawing/2014/chart" uri="{C3380CC4-5D6E-409C-BE32-E72D297353CC}">
                <c16:uniqueId val="{00000001-6706-426D-B1D5-CDCA1A257C84}"/>
              </c:ext>
            </c:extLst>
          </c:dPt>
          <c:dPt>
            <c:idx val="2"/>
            <c:invertIfNegative val="0"/>
            <c:bubble3D val="0"/>
            <c:spPr>
              <a:solidFill>
                <a:srgbClr val="FF7C80"/>
              </a:solidFill>
              <a:ln>
                <a:noFill/>
              </a:ln>
              <a:effectLst/>
            </c:spPr>
            <c:extLst>
              <c:ext xmlns:c16="http://schemas.microsoft.com/office/drawing/2014/chart" uri="{C3380CC4-5D6E-409C-BE32-E72D297353CC}">
                <c16:uniqueId val="{00000002-6706-426D-B1D5-CDCA1A257C84}"/>
              </c:ext>
            </c:extLst>
          </c:dPt>
          <c:cat>
            <c:strRef>
              <c:f>'7b'!$Q$2:$Q$4</c:f>
              <c:strCache>
                <c:ptCount val="3"/>
                <c:pt idx="0">
                  <c:v>Core Facility</c:v>
                </c:pt>
                <c:pt idx="1">
                  <c:v>both</c:v>
                </c:pt>
                <c:pt idx="2">
                  <c:v>Users</c:v>
                </c:pt>
              </c:strCache>
            </c:strRef>
          </c:cat>
          <c:val>
            <c:numRef>
              <c:f>'7b'!$R$2:$R$4</c:f>
              <c:numCache>
                <c:formatCode>General</c:formatCode>
                <c:ptCount val="3"/>
                <c:pt idx="0">
                  <c:v>65</c:v>
                </c:pt>
                <c:pt idx="1">
                  <c:v>81</c:v>
                </c:pt>
                <c:pt idx="2">
                  <c:v>58</c:v>
                </c:pt>
              </c:numCache>
            </c:numRef>
          </c:val>
          <c:extLst>
            <c:ext xmlns:c16="http://schemas.microsoft.com/office/drawing/2014/chart" uri="{C3380CC4-5D6E-409C-BE32-E72D297353CC}">
              <c16:uniqueId val="{00000000-B3B0-4AF2-A177-F1502BBD8D41}"/>
            </c:ext>
          </c:extLst>
        </c:ser>
        <c:dLbls>
          <c:showLegendKey val="0"/>
          <c:showVal val="0"/>
          <c:showCatName val="0"/>
          <c:showSerName val="0"/>
          <c:showPercent val="0"/>
          <c:showBubbleSize val="0"/>
        </c:dLbls>
        <c:gapWidth val="130"/>
        <c:overlap val="-27"/>
        <c:axId val="512654424"/>
        <c:axId val="512655080"/>
      </c:barChart>
      <c:catAx>
        <c:axId val="512654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2655080"/>
        <c:crosses val="autoZero"/>
        <c:auto val="1"/>
        <c:lblAlgn val="ctr"/>
        <c:lblOffset val="100"/>
        <c:noMultiLvlLbl val="0"/>
      </c:catAx>
      <c:valAx>
        <c:axId val="512655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2654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 you provide guidance</a:t>
            </a:r>
            <a:r>
              <a:rPr lang="en-GB" baseline="0"/>
              <a:t> how to perform statistical analysis?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4A-4A1B-B472-5B4FF9B27355}"/>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D24A-4A1B-B472-5B4FF9B2735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'7b'!$BJ$2:$BJ$3</c:f>
              <c:strCache>
                <c:ptCount val="2"/>
                <c:pt idx="0">
                  <c:v>Yes</c:v>
                </c:pt>
                <c:pt idx="1">
                  <c:v>No</c:v>
                </c:pt>
              </c:strCache>
            </c:strRef>
          </c:cat>
          <c:val>
            <c:numRef>
              <c:f>'7b'!$BK$2:$BK$3</c:f>
              <c:numCache>
                <c:formatCode>General</c:formatCode>
                <c:ptCount val="2"/>
                <c:pt idx="0">
                  <c:v>75</c:v>
                </c:pt>
                <c:pt idx="1">
                  <c:v>84</c:v>
                </c:pt>
              </c:numCache>
            </c:numRef>
          </c:val>
          <c:extLst>
            <c:ext xmlns:c16="http://schemas.microsoft.com/office/drawing/2014/chart" uri="{C3380CC4-5D6E-409C-BE32-E72D297353CC}">
              <c16:uniqueId val="{00000004-D24A-4A1B-B472-5B4FF9B2735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importance</a:t>
            </a:r>
            <a:r>
              <a:rPr lang="en-GB" baseline="0"/>
              <a:t> of having a quality control mechanism about data analysis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5F3-40EF-95BE-A44994D917EB}"/>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15F3-40EF-95BE-A44994D917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'7b'!$CN$2:$CN$3</c:f>
              <c:strCache>
                <c:ptCount val="2"/>
                <c:pt idx="0">
                  <c:v>Yes</c:v>
                </c:pt>
                <c:pt idx="1">
                  <c:v>No</c:v>
                </c:pt>
              </c:strCache>
            </c:strRef>
          </c:cat>
          <c:val>
            <c:numRef>
              <c:f>'7b'!$CO$2:$CO$3</c:f>
              <c:numCache>
                <c:formatCode>General</c:formatCode>
                <c:ptCount val="2"/>
                <c:pt idx="0">
                  <c:v>99</c:v>
                </c:pt>
                <c:pt idx="1">
                  <c:v>61</c:v>
                </c:pt>
              </c:numCache>
            </c:numRef>
          </c:val>
          <c:extLst>
            <c:ext xmlns:c16="http://schemas.microsoft.com/office/drawing/2014/chart" uri="{C3380CC4-5D6E-409C-BE32-E72D297353CC}">
              <c16:uniqueId val="{00000004-15F3-40EF-95BE-A44994D917E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Analysis of raw data performed by:</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7398879194154784"/>
          <c:y val="0.21408954164172042"/>
          <c:w val="0.53708863126402395"/>
          <c:h val="0.56397804692765996"/>
        </c:manualLayout>
      </c:layout>
      <c:barChart>
        <c:barDir val="col"/>
        <c:grouping val="percentStacked"/>
        <c:varyColors val="0"/>
        <c:ser>
          <c:idx val="0"/>
          <c:order val="0"/>
          <c:tx>
            <c:strRef>
              <c:f>'7b'!$Q$2</c:f>
              <c:strCache>
                <c:ptCount val="1"/>
                <c:pt idx="0">
                  <c:v>Core Facility</c:v>
                </c:pt>
              </c:strCache>
            </c:strRef>
          </c:tx>
          <c:spPr>
            <a:solidFill>
              <a:srgbClr val="66CCEE"/>
            </a:solidFill>
            <a:ln>
              <a:noFill/>
            </a:ln>
            <a:effectLst/>
          </c:spPr>
          <c:invertIfNegative val="0"/>
          <c:cat>
            <c:strRef>
              <c:f>'7b'!$S$1:$U$1</c:f>
              <c:strCache>
                <c:ptCount val="3"/>
                <c:pt idx="0">
                  <c:v>full-service</c:v>
                </c:pt>
                <c:pt idx="1">
                  <c:v>hybrid-service</c:v>
                </c:pt>
                <c:pt idx="2">
                  <c:v>self-service</c:v>
                </c:pt>
              </c:strCache>
            </c:strRef>
          </c:cat>
          <c:val>
            <c:numRef>
              <c:f>'7b'!$S$2:$U$2</c:f>
              <c:numCache>
                <c:formatCode>General</c:formatCode>
                <c:ptCount val="3"/>
                <c:pt idx="0">
                  <c:v>42</c:v>
                </c:pt>
                <c:pt idx="1">
                  <c:v>22</c:v>
                </c:pt>
                <c:pt idx="2">
                  <c:v>1</c:v>
                </c:pt>
              </c:numCache>
            </c:numRef>
          </c:val>
          <c:extLst>
            <c:ext xmlns:c16="http://schemas.microsoft.com/office/drawing/2014/chart" uri="{C3380CC4-5D6E-409C-BE32-E72D297353CC}">
              <c16:uniqueId val="{00000000-4DA3-433A-BC8E-8EA9EB32B628}"/>
            </c:ext>
          </c:extLst>
        </c:ser>
        <c:ser>
          <c:idx val="1"/>
          <c:order val="1"/>
          <c:tx>
            <c:strRef>
              <c:f>'7b'!$Q$3</c:f>
              <c:strCache>
                <c:ptCount val="1"/>
                <c:pt idx="0">
                  <c:v>both</c:v>
                </c:pt>
              </c:strCache>
            </c:strRef>
          </c:tx>
          <c:spPr>
            <a:solidFill>
              <a:srgbClr val="AA3377"/>
            </a:solidFill>
            <a:ln>
              <a:noFill/>
            </a:ln>
            <a:effectLst/>
          </c:spPr>
          <c:invertIfNegative val="0"/>
          <c:cat>
            <c:strRef>
              <c:f>'7b'!$S$1:$U$1</c:f>
              <c:strCache>
                <c:ptCount val="3"/>
                <c:pt idx="0">
                  <c:v>full-service</c:v>
                </c:pt>
                <c:pt idx="1">
                  <c:v>hybrid-service</c:v>
                </c:pt>
                <c:pt idx="2">
                  <c:v>self-service</c:v>
                </c:pt>
              </c:strCache>
            </c:strRef>
          </c:cat>
          <c:val>
            <c:numRef>
              <c:f>'7b'!$S$3:$U$3</c:f>
              <c:numCache>
                <c:formatCode>General</c:formatCode>
                <c:ptCount val="3"/>
                <c:pt idx="0">
                  <c:v>10</c:v>
                </c:pt>
                <c:pt idx="1">
                  <c:v>70</c:v>
                </c:pt>
                <c:pt idx="2">
                  <c:v>1</c:v>
                </c:pt>
              </c:numCache>
            </c:numRef>
          </c:val>
          <c:extLst>
            <c:ext xmlns:c16="http://schemas.microsoft.com/office/drawing/2014/chart" uri="{C3380CC4-5D6E-409C-BE32-E72D297353CC}">
              <c16:uniqueId val="{00000001-4DA3-433A-BC8E-8EA9EB32B628}"/>
            </c:ext>
          </c:extLst>
        </c:ser>
        <c:ser>
          <c:idx val="2"/>
          <c:order val="2"/>
          <c:tx>
            <c:strRef>
              <c:f>'7b'!$Q$4</c:f>
              <c:strCache>
                <c:ptCount val="1"/>
                <c:pt idx="0">
                  <c:v>Users</c:v>
                </c:pt>
              </c:strCache>
            </c:strRef>
          </c:tx>
          <c:spPr>
            <a:solidFill>
              <a:srgbClr val="FF7C80"/>
            </a:solidFill>
            <a:ln>
              <a:noFill/>
            </a:ln>
            <a:effectLst/>
          </c:spPr>
          <c:invertIfNegative val="0"/>
          <c:cat>
            <c:strRef>
              <c:f>'7b'!$S$1:$U$1</c:f>
              <c:strCache>
                <c:ptCount val="3"/>
                <c:pt idx="0">
                  <c:v>full-service</c:v>
                </c:pt>
                <c:pt idx="1">
                  <c:v>hybrid-service</c:v>
                </c:pt>
                <c:pt idx="2">
                  <c:v>self-service</c:v>
                </c:pt>
              </c:strCache>
            </c:strRef>
          </c:cat>
          <c:val>
            <c:numRef>
              <c:f>'7b'!$S$4:$U$4</c:f>
              <c:numCache>
                <c:formatCode>General</c:formatCode>
                <c:ptCount val="3"/>
                <c:pt idx="0">
                  <c:v>4</c:v>
                </c:pt>
                <c:pt idx="1">
                  <c:v>46</c:v>
                </c:pt>
                <c:pt idx="2">
                  <c:v>8</c:v>
                </c:pt>
              </c:numCache>
            </c:numRef>
          </c:val>
          <c:extLst>
            <c:ext xmlns:c16="http://schemas.microsoft.com/office/drawing/2014/chart" uri="{C3380CC4-5D6E-409C-BE32-E72D297353CC}">
              <c16:uniqueId val="{00000002-4DA3-433A-BC8E-8EA9EB32B628}"/>
            </c:ext>
          </c:extLst>
        </c:ser>
        <c:dLbls>
          <c:showLegendKey val="0"/>
          <c:showVal val="0"/>
          <c:showCatName val="0"/>
          <c:showSerName val="0"/>
          <c:showPercent val="0"/>
          <c:showBubbleSize val="0"/>
        </c:dLbls>
        <c:gapWidth val="130"/>
        <c:overlap val="100"/>
        <c:axId val="336269176"/>
        <c:axId val="336268520"/>
      </c:barChart>
      <c:catAx>
        <c:axId val="336269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6268520"/>
        <c:crosses val="autoZero"/>
        <c:auto val="1"/>
        <c:lblAlgn val="ctr"/>
        <c:lblOffset val="100"/>
        <c:noMultiLvlLbl val="0"/>
      </c:catAx>
      <c:valAx>
        <c:axId val="336268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6269176"/>
        <c:crosses val="autoZero"/>
        <c:crossBetween val="between"/>
      </c:valAx>
      <c:spPr>
        <a:noFill/>
        <a:ln>
          <a:noFill/>
        </a:ln>
        <a:effectLst/>
      </c:spPr>
    </c:plotArea>
    <c:legend>
      <c:legendPos val="r"/>
      <c:layout>
        <c:manualLayout>
          <c:xMode val="edge"/>
          <c:yMode val="edge"/>
          <c:x val="0.74031820103411272"/>
          <c:y val="0.31771256337391518"/>
          <c:w val="0.25451936522389518"/>
          <c:h val="0.3543545720252428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Statistical analysis performed by:</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'7b'!$AU$2</c:f>
              <c:strCache>
                <c:ptCount val="1"/>
                <c:pt idx="0">
                  <c:v>Core Facility</c:v>
                </c:pt>
              </c:strCache>
            </c:strRef>
          </c:tx>
          <c:spPr>
            <a:solidFill>
              <a:srgbClr val="66CCEE"/>
            </a:solidFill>
            <a:ln>
              <a:noFill/>
            </a:ln>
            <a:effectLst/>
          </c:spPr>
          <c:invertIfNegative val="0"/>
          <c:cat>
            <c:strRef>
              <c:f>'7b'!$AW$1:$AY$1</c:f>
              <c:strCache>
                <c:ptCount val="3"/>
                <c:pt idx="0">
                  <c:v>full-service</c:v>
                </c:pt>
                <c:pt idx="1">
                  <c:v>hybrid-service</c:v>
                </c:pt>
                <c:pt idx="2">
                  <c:v>self-service</c:v>
                </c:pt>
              </c:strCache>
            </c:strRef>
          </c:cat>
          <c:val>
            <c:numRef>
              <c:f>'7b'!$AW$2:$AY$2</c:f>
              <c:numCache>
                <c:formatCode>General</c:formatCode>
                <c:ptCount val="3"/>
                <c:pt idx="0">
                  <c:v>37</c:v>
                </c:pt>
                <c:pt idx="1">
                  <c:v>71</c:v>
                </c:pt>
                <c:pt idx="2">
                  <c:v>5</c:v>
                </c:pt>
              </c:numCache>
            </c:numRef>
          </c:val>
          <c:extLst>
            <c:ext xmlns:c16="http://schemas.microsoft.com/office/drawing/2014/chart" uri="{C3380CC4-5D6E-409C-BE32-E72D297353CC}">
              <c16:uniqueId val="{00000000-6E6A-40E9-92DA-FBF39069349E}"/>
            </c:ext>
          </c:extLst>
        </c:ser>
        <c:ser>
          <c:idx val="1"/>
          <c:order val="1"/>
          <c:tx>
            <c:strRef>
              <c:f>'7b'!$AU$3</c:f>
              <c:strCache>
                <c:ptCount val="1"/>
                <c:pt idx="0">
                  <c:v>both / either</c:v>
                </c:pt>
              </c:strCache>
            </c:strRef>
          </c:tx>
          <c:spPr>
            <a:solidFill>
              <a:srgbClr val="AA3377"/>
            </a:solidFill>
            <a:ln>
              <a:noFill/>
            </a:ln>
            <a:effectLst/>
          </c:spPr>
          <c:invertIfNegative val="0"/>
          <c:cat>
            <c:strRef>
              <c:f>'7b'!$AW$1:$AY$1</c:f>
              <c:strCache>
                <c:ptCount val="3"/>
                <c:pt idx="0">
                  <c:v>full-service</c:v>
                </c:pt>
                <c:pt idx="1">
                  <c:v>hybrid-service</c:v>
                </c:pt>
                <c:pt idx="2">
                  <c:v>self-service</c:v>
                </c:pt>
              </c:strCache>
            </c:strRef>
          </c:cat>
          <c:val>
            <c:numRef>
              <c:f>'7b'!$AW$3:$AY$3</c:f>
              <c:numCache>
                <c:formatCode>General</c:formatCode>
                <c:ptCount val="3"/>
                <c:pt idx="0">
                  <c:v>21</c:v>
                </c:pt>
                <c:pt idx="1">
                  <c:v>63</c:v>
                </c:pt>
                <c:pt idx="2">
                  <c:v>5</c:v>
                </c:pt>
              </c:numCache>
            </c:numRef>
          </c:val>
          <c:extLst>
            <c:ext xmlns:c16="http://schemas.microsoft.com/office/drawing/2014/chart" uri="{C3380CC4-5D6E-409C-BE32-E72D297353CC}">
              <c16:uniqueId val="{00000001-6E6A-40E9-92DA-FBF39069349E}"/>
            </c:ext>
          </c:extLst>
        </c:ser>
        <c:ser>
          <c:idx val="2"/>
          <c:order val="2"/>
          <c:tx>
            <c:strRef>
              <c:f>'7b'!$AU$4</c:f>
              <c:strCache>
                <c:ptCount val="1"/>
                <c:pt idx="0">
                  <c:v>User</c:v>
                </c:pt>
              </c:strCache>
            </c:strRef>
          </c:tx>
          <c:spPr>
            <a:solidFill>
              <a:srgbClr val="FF7C80"/>
            </a:solidFill>
            <a:ln>
              <a:noFill/>
            </a:ln>
            <a:effectLst/>
          </c:spPr>
          <c:invertIfNegative val="0"/>
          <c:cat>
            <c:strRef>
              <c:f>'7b'!$AW$1:$AY$1</c:f>
              <c:strCache>
                <c:ptCount val="3"/>
                <c:pt idx="0">
                  <c:v>full-service</c:v>
                </c:pt>
                <c:pt idx="1">
                  <c:v>hybrid-service</c:v>
                </c:pt>
                <c:pt idx="2">
                  <c:v>self-service</c:v>
                </c:pt>
              </c:strCache>
            </c:strRef>
          </c:cat>
          <c:val>
            <c:numRef>
              <c:f>'7b'!$AW$4:$AY$4</c:f>
              <c:numCache>
                <c:formatCode>General</c:formatCode>
                <c:ptCount val="3"/>
                <c:pt idx="0">
                  <c:v>32</c:v>
                </c:pt>
                <c:pt idx="1">
                  <c:v>127</c:v>
                </c:pt>
                <c:pt idx="2">
                  <c:v>18</c:v>
                </c:pt>
              </c:numCache>
            </c:numRef>
          </c:val>
          <c:extLst>
            <c:ext xmlns:c16="http://schemas.microsoft.com/office/drawing/2014/chart" uri="{C3380CC4-5D6E-409C-BE32-E72D297353CC}">
              <c16:uniqueId val="{00000002-6E6A-40E9-92DA-FBF39069349E}"/>
            </c:ext>
          </c:extLst>
        </c:ser>
        <c:ser>
          <c:idx val="3"/>
          <c:order val="3"/>
          <c:tx>
            <c:strRef>
              <c:f>'7b'!$AU$5</c:f>
              <c:strCache>
                <c:ptCount val="1"/>
                <c:pt idx="0">
                  <c:v>other</c:v>
                </c:pt>
              </c:strCache>
            </c:strRef>
          </c:tx>
          <c:spPr>
            <a:solidFill>
              <a:srgbClr val="BBBBBB"/>
            </a:solidFill>
            <a:ln>
              <a:noFill/>
            </a:ln>
            <a:effectLst/>
          </c:spPr>
          <c:invertIfNegative val="0"/>
          <c:cat>
            <c:strRef>
              <c:f>'7b'!$AW$1:$AY$1</c:f>
              <c:strCache>
                <c:ptCount val="3"/>
                <c:pt idx="0">
                  <c:v>full-service</c:v>
                </c:pt>
                <c:pt idx="1">
                  <c:v>hybrid-service</c:v>
                </c:pt>
                <c:pt idx="2">
                  <c:v>self-service</c:v>
                </c:pt>
              </c:strCache>
            </c:strRef>
          </c:cat>
          <c:val>
            <c:numRef>
              <c:f>'7b'!$AW$5:$AY$5</c:f>
              <c:numCache>
                <c:formatCode>General</c:formatCode>
                <c:ptCount val="3"/>
                <c:pt idx="0">
                  <c:v>3</c:v>
                </c:pt>
                <c:pt idx="1">
                  <c:v>3</c:v>
                </c:pt>
                <c:pt idx="2">
                  <c:v>2</c:v>
                </c:pt>
              </c:numCache>
            </c:numRef>
          </c:val>
          <c:extLst>
            <c:ext xmlns:c16="http://schemas.microsoft.com/office/drawing/2014/chart" uri="{C3380CC4-5D6E-409C-BE32-E72D297353CC}">
              <c16:uniqueId val="{00000000-18F4-4CDC-9ABE-D6C647A4F22C}"/>
            </c:ext>
          </c:extLst>
        </c:ser>
        <c:dLbls>
          <c:showLegendKey val="0"/>
          <c:showVal val="0"/>
          <c:showCatName val="0"/>
          <c:showSerName val="0"/>
          <c:showPercent val="0"/>
          <c:showBubbleSize val="0"/>
        </c:dLbls>
        <c:gapWidth val="130"/>
        <c:overlap val="100"/>
        <c:axId val="568280736"/>
        <c:axId val="568285984"/>
      </c:barChart>
      <c:catAx>
        <c:axId val="56828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8285984"/>
        <c:crosses val="autoZero"/>
        <c:auto val="1"/>
        <c:lblAlgn val="ctr"/>
        <c:lblOffset val="100"/>
        <c:noMultiLvlLbl val="0"/>
      </c:catAx>
      <c:valAx>
        <c:axId val="568285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8280736"/>
        <c:crosses val="autoZero"/>
        <c:crossBetween val="between"/>
      </c:valAx>
      <c:spPr>
        <a:noFill/>
        <a:ln>
          <a:noFill/>
        </a:ln>
        <a:effectLst/>
      </c:spPr>
    </c:plotArea>
    <c:legend>
      <c:legendPos val="r"/>
      <c:layout>
        <c:manualLayout>
          <c:xMode val="edge"/>
          <c:yMode val="edge"/>
          <c:x val="0.66353568167512078"/>
          <c:y val="0.37086755319409898"/>
          <c:w val="0.30701956067030489"/>
          <c:h val="0.344638152569065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Do you provide guidance how to perform statistical analysis?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'7b'!$BJ$2</c:f>
              <c:strCache>
                <c:ptCount val="1"/>
                <c:pt idx="0">
                  <c:v>Yes</c:v>
                </c:pt>
              </c:strCache>
            </c:strRef>
          </c:tx>
          <c:spPr>
            <a:solidFill>
              <a:schemeClr val="accent1"/>
            </a:solidFill>
            <a:ln>
              <a:noFill/>
            </a:ln>
            <a:effectLst/>
          </c:spPr>
          <c:invertIfNegative val="0"/>
          <c:cat>
            <c:strRef>
              <c:f>'7b'!$BL$1:$BN$1</c:f>
              <c:strCache>
                <c:ptCount val="3"/>
                <c:pt idx="0">
                  <c:v>full-service</c:v>
                </c:pt>
                <c:pt idx="1">
                  <c:v>hybrid-service</c:v>
                </c:pt>
                <c:pt idx="2">
                  <c:v>self-service</c:v>
                </c:pt>
              </c:strCache>
            </c:strRef>
          </c:cat>
          <c:val>
            <c:numRef>
              <c:f>'7b'!$BL$2:$BN$2</c:f>
              <c:numCache>
                <c:formatCode>General</c:formatCode>
                <c:ptCount val="3"/>
                <c:pt idx="0">
                  <c:v>14</c:v>
                </c:pt>
                <c:pt idx="1">
                  <c:v>58</c:v>
                </c:pt>
                <c:pt idx="2">
                  <c:v>3</c:v>
                </c:pt>
              </c:numCache>
            </c:numRef>
          </c:val>
          <c:extLst>
            <c:ext xmlns:c16="http://schemas.microsoft.com/office/drawing/2014/chart" uri="{C3380CC4-5D6E-409C-BE32-E72D297353CC}">
              <c16:uniqueId val="{00000000-F4FA-45CB-930B-F99C590ABD75}"/>
            </c:ext>
          </c:extLst>
        </c:ser>
        <c:ser>
          <c:idx val="1"/>
          <c:order val="1"/>
          <c:tx>
            <c:strRef>
              <c:f>'7b'!$BJ$3</c:f>
              <c:strCache>
                <c:ptCount val="1"/>
                <c:pt idx="0">
                  <c:v>No</c:v>
                </c:pt>
              </c:strCache>
            </c:strRef>
          </c:tx>
          <c:spPr>
            <a:solidFill>
              <a:srgbClr val="FF0000"/>
            </a:solidFill>
            <a:ln>
              <a:noFill/>
            </a:ln>
            <a:effectLst/>
          </c:spPr>
          <c:invertIfNegative val="0"/>
          <c:cat>
            <c:strRef>
              <c:f>'7b'!$BL$1:$BN$1</c:f>
              <c:strCache>
                <c:ptCount val="3"/>
                <c:pt idx="0">
                  <c:v>full-service</c:v>
                </c:pt>
                <c:pt idx="1">
                  <c:v>hybrid-service</c:v>
                </c:pt>
                <c:pt idx="2">
                  <c:v>self-service</c:v>
                </c:pt>
              </c:strCache>
            </c:strRef>
          </c:cat>
          <c:val>
            <c:numRef>
              <c:f>'7b'!$BL$3:$BN$3</c:f>
              <c:numCache>
                <c:formatCode>General</c:formatCode>
                <c:ptCount val="3"/>
                <c:pt idx="0">
                  <c:v>17</c:v>
                </c:pt>
                <c:pt idx="1">
                  <c:v>61</c:v>
                </c:pt>
                <c:pt idx="2">
                  <c:v>6</c:v>
                </c:pt>
              </c:numCache>
            </c:numRef>
          </c:val>
          <c:extLst>
            <c:ext xmlns:c16="http://schemas.microsoft.com/office/drawing/2014/chart" uri="{C3380CC4-5D6E-409C-BE32-E72D297353CC}">
              <c16:uniqueId val="{00000001-F4FA-45CB-930B-F99C590ABD75}"/>
            </c:ext>
          </c:extLst>
        </c:ser>
        <c:dLbls>
          <c:showLegendKey val="0"/>
          <c:showVal val="0"/>
          <c:showCatName val="0"/>
          <c:showSerName val="0"/>
          <c:showPercent val="0"/>
          <c:showBubbleSize val="0"/>
        </c:dLbls>
        <c:gapWidth val="130"/>
        <c:overlap val="100"/>
        <c:axId val="576382592"/>
        <c:axId val="576382264"/>
      </c:barChart>
      <c:catAx>
        <c:axId val="57638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6382264"/>
        <c:crosses val="autoZero"/>
        <c:auto val="1"/>
        <c:lblAlgn val="ctr"/>
        <c:lblOffset val="100"/>
        <c:noMultiLvlLbl val="0"/>
      </c:catAx>
      <c:valAx>
        <c:axId val="576382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63825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ubbleChart>
        <c:varyColors val="0"/>
        <c:ser>
          <c:idx val="0"/>
          <c:order val="0"/>
          <c:tx>
            <c:strRef>
              <c:f>'1bis'!$I$1</c:f>
              <c:strCache>
                <c:ptCount val="1"/>
                <c:pt idx="0">
                  <c:v>genomics</c:v>
                </c:pt>
              </c:strCache>
            </c:strRef>
          </c:tx>
          <c:spPr>
            <a:solidFill>
              <a:schemeClr val="accent1">
                <a:alpha val="75000"/>
              </a:schemeClr>
            </a:solidFill>
            <a:ln>
              <a:noFill/>
            </a:ln>
            <a:effectLst/>
          </c:spPr>
          <c:invertIfNegative val="0"/>
          <c:xVal>
            <c:numRef>
              <c:f>'1bis'!$F$2:$F$31</c:f>
              <c:numCache>
                <c:formatCode>General</c:formatCode>
                <c:ptCount val="30"/>
                <c:pt idx="0">
                  <c:v>2.5</c:v>
                </c:pt>
                <c:pt idx="1">
                  <c:v>2.5</c:v>
                </c:pt>
                <c:pt idx="2">
                  <c:v>2.5</c:v>
                </c:pt>
                <c:pt idx="3">
                  <c:v>2.5</c:v>
                </c:pt>
                <c:pt idx="4">
                  <c:v>2.5</c:v>
                </c:pt>
                <c:pt idx="5">
                  <c:v>2.5</c:v>
                </c:pt>
                <c:pt idx="6">
                  <c:v>6.5</c:v>
                </c:pt>
                <c:pt idx="7">
                  <c:v>6.5</c:v>
                </c:pt>
                <c:pt idx="8">
                  <c:v>6.5</c:v>
                </c:pt>
                <c:pt idx="9">
                  <c:v>6.5</c:v>
                </c:pt>
                <c:pt idx="10">
                  <c:v>6.5</c:v>
                </c:pt>
                <c:pt idx="11">
                  <c:v>6.5</c:v>
                </c:pt>
                <c:pt idx="12">
                  <c:v>10.5</c:v>
                </c:pt>
                <c:pt idx="13">
                  <c:v>10.5</c:v>
                </c:pt>
                <c:pt idx="14">
                  <c:v>10.5</c:v>
                </c:pt>
                <c:pt idx="15">
                  <c:v>10.5</c:v>
                </c:pt>
                <c:pt idx="16">
                  <c:v>10.5</c:v>
                </c:pt>
                <c:pt idx="17">
                  <c:v>10.5</c:v>
                </c:pt>
                <c:pt idx="18">
                  <c:v>14.5</c:v>
                </c:pt>
                <c:pt idx="19">
                  <c:v>14.5</c:v>
                </c:pt>
                <c:pt idx="20">
                  <c:v>14.5</c:v>
                </c:pt>
                <c:pt idx="21">
                  <c:v>14.5</c:v>
                </c:pt>
                <c:pt idx="22">
                  <c:v>14.5</c:v>
                </c:pt>
                <c:pt idx="23">
                  <c:v>14.5</c:v>
                </c:pt>
                <c:pt idx="24">
                  <c:v>18.5</c:v>
                </c:pt>
                <c:pt idx="25">
                  <c:v>18.5</c:v>
                </c:pt>
                <c:pt idx="26">
                  <c:v>18.5</c:v>
                </c:pt>
                <c:pt idx="27">
                  <c:v>18.5</c:v>
                </c:pt>
                <c:pt idx="28">
                  <c:v>18.5</c:v>
                </c:pt>
                <c:pt idx="29">
                  <c:v>18.5</c:v>
                </c:pt>
              </c:numCache>
            </c:numRef>
          </c:xVal>
          <c:yVal>
            <c:numRef>
              <c:f>'1bis'!$G$2:$G$31</c:f>
              <c:numCache>
                <c:formatCode>General</c:formatCode>
                <c:ptCount val="30"/>
                <c:pt idx="0">
                  <c:v>10</c:v>
                </c:pt>
                <c:pt idx="1">
                  <c:v>30</c:v>
                </c:pt>
                <c:pt idx="2">
                  <c:v>50</c:v>
                </c:pt>
                <c:pt idx="3">
                  <c:v>70</c:v>
                </c:pt>
                <c:pt idx="4">
                  <c:v>90</c:v>
                </c:pt>
                <c:pt idx="5">
                  <c:v>110</c:v>
                </c:pt>
                <c:pt idx="6">
                  <c:v>10</c:v>
                </c:pt>
                <c:pt idx="7">
                  <c:v>30</c:v>
                </c:pt>
                <c:pt idx="8">
                  <c:v>50</c:v>
                </c:pt>
                <c:pt idx="9">
                  <c:v>70</c:v>
                </c:pt>
                <c:pt idx="10">
                  <c:v>90</c:v>
                </c:pt>
                <c:pt idx="11">
                  <c:v>110</c:v>
                </c:pt>
                <c:pt idx="12">
                  <c:v>10</c:v>
                </c:pt>
                <c:pt idx="13">
                  <c:v>30</c:v>
                </c:pt>
                <c:pt idx="14">
                  <c:v>50</c:v>
                </c:pt>
                <c:pt idx="15">
                  <c:v>70</c:v>
                </c:pt>
                <c:pt idx="16">
                  <c:v>90</c:v>
                </c:pt>
                <c:pt idx="17">
                  <c:v>110</c:v>
                </c:pt>
                <c:pt idx="18">
                  <c:v>10</c:v>
                </c:pt>
                <c:pt idx="19">
                  <c:v>30</c:v>
                </c:pt>
                <c:pt idx="20">
                  <c:v>50</c:v>
                </c:pt>
                <c:pt idx="21">
                  <c:v>70</c:v>
                </c:pt>
                <c:pt idx="22">
                  <c:v>90</c:v>
                </c:pt>
                <c:pt idx="23">
                  <c:v>110</c:v>
                </c:pt>
                <c:pt idx="24">
                  <c:v>10</c:v>
                </c:pt>
                <c:pt idx="25">
                  <c:v>30</c:v>
                </c:pt>
                <c:pt idx="26">
                  <c:v>50</c:v>
                </c:pt>
                <c:pt idx="27">
                  <c:v>70</c:v>
                </c:pt>
                <c:pt idx="28">
                  <c:v>90</c:v>
                </c:pt>
                <c:pt idx="29">
                  <c:v>110</c:v>
                </c:pt>
              </c:numCache>
            </c:numRef>
          </c:yVal>
          <c:bubbleSize>
            <c:numRef>
              <c:f>'1bis'!$I$2:$I$31</c:f>
              <c:numCache>
                <c:formatCode>General</c:formatCode>
                <c:ptCount val="30"/>
                <c:pt idx="0">
                  <c:v>8</c:v>
                </c:pt>
                <c:pt idx="1">
                  <c:v>3</c:v>
                </c:pt>
                <c:pt idx="2">
                  <c:v>0</c:v>
                </c:pt>
                <c:pt idx="3">
                  <c:v>0</c:v>
                </c:pt>
                <c:pt idx="4">
                  <c:v>0</c:v>
                </c:pt>
                <c:pt idx="5">
                  <c:v>2</c:v>
                </c:pt>
                <c:pt idx="6">
                  <c:v>7</c:v>
                </c:pt>
                <c:pt idx="7">
                  <c:v>2</c:v>
                </c:pt>
                <c:pt idx="8">
                  <c:v>1</c:v>
                </c:pt>
                <c:pt idx="9">
                  <c:v>0</c:v>
                </c:pt>
                <c:pt idx="10">
                  <c:v>1</c:v>
                </c:pt>
                <c:pt idx="11">
                  <c:v>1</c:v>
                </c:pt>
                <c:pt idx="12">
                  <c:v>0</c:v>
                </c:pt>
                <c:pt idx="13">
                  <c:v>2</c:v>
                </c:pt>
                <c:pt idx="14">
                  <c:v>1</c:v>
                </c:pt>
                <c:pt idx="15">
                  <c:v>0</c:v>
                </c:pt>
                <c:pt idx="16">
                  <c:v>0</c:v>
                </c:pt>
                <c:pt idx="17">
                  <c:v>0</c:v>
                </c:pt>
                <c:pt idx="18">
                  <c:v>0</c:v>
                </c:pt>
                <c:pt idx="19">
                  <c:v>1</c:v>
                </c:pt>
                <c:pt idx="20">
                  <c:v>0</c:v>
                </c:pt>
                <c:pt idx="21">
                  <c:v>0</c:v>
                </c:pt>
                <c:pt idx="22">
                  <c:v>0</c:v>
                </c:pt>
                <c:pt idx="23">
                  <c:v>1</c:v>
                </c:pt>
                <c:pt idx="24">
                  <c:v>1</c:v>
                </c:pt>
                <c:pt idx="25">
                  <c:v>1</c:v>
                </c:pt>
                <c:pt idx="26">
                  <c:v>0</c:v>
                </c:pt>
                <c:pt idx="27">
                  <c:v>0</c:v>
                </c:pt>
                <c:pt idx="28">
                  <c:v>1</c:v>
                </c:pt>
                <c:pt idx="29">
                  <c:v>0</c:v>
                </c:pt>
              </c:numCache>
            </c:numRef>
          </c:bubbleSize>
          <c:bubble3D val="0"/>
          <c:extLst>
            <c:ext xmlns:c16="http://schemas.microsoft.com/office/drawing/2014/chart" uri="{C3380CC4-5D6E-409C-BE32-E72D297353CC}">
              <c16:uniqueId val="{00000000-5524-463A-BA81-A1F6DEED34AB}"/>
            </c:ext>
          </c:extLst>
        </c:ser>
        <c:dLbls>
          <c:showLegendKey val="0"/>
          <c:showVal val="0"/>
          <c:showCatName val="0"/>
          <c:showSerName val="0"/>
          <c:showPercent val="0"/>
          <c:showBubbleSize val="0"/>
        </c:dLbls>
        <c:bubbleScale val="100"/>
        <c:showNegBubbles val="0"/>
        <c:axId val="371155352"/>
        <c:axId val="371155680"/>
      </c:bubbleChart>
      <c:valAx>
        <c:axId val="3711553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staff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155680"/>
        <c:crosses val="autoZero"/>
        <c:crossBetween val="midCat"/>
      </c:valAx>
      <c:valAx>
        <c:axId val="371155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users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1553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Quality control for data analysis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21079629367114705"/>
          <c:y val="0.23428328292764378"/>
          <c:w val="0.57642294516777459"/>
          <c:h val="0.52111904895470118"/>
        </c:manualLayout>
      </c:layout>
      <c:barChart>
        <c:barDir val="col"/>
        <c:grouping val="percentStacked"/>
        <c:varyColors val="0"/>
        <c:ser>
          <c:idx val="0"/>
          <c:order val="0"/>
          <c:tx>
            <c:strRef>
              <c:f>'7b'!$BY$2</c:f>
              <c:strCache>
                <c:ptCount val="1"/>
                <c:pt idx="0">
                  <c:v>Yes</c:v>
                </c:pt>
              </c:strCache>
            </c:strRef>
          </c:tx>
          <c:spPr>
            <a:solidFill>
              <a:schemeClr val="accent1"/>
            </a:solidFill>
            <a:ln>
              <a:noFill/>
            </a:ln>
            <a:effectLst/>
          </c:spPr>
          <c:invertIfNegative val="0"/>
          <c:cat>
            <c:strRef>
              <c:f>'7b'!$CA$1:$CC$1</c:f>
              <c:strCache>
                <c:ptCount val="3"/>
                <c:pt idx="0">
                  <c:v>full-service</c:v>
                </c:pt>
                <c:pt idx="1">
                  <c:v>hybrid-service</c:v>
                </c:pt>
                <c:pt idx="2">
                  <c:v>self-service</c:v>
                </c:pt>
              </c:strCache>
            </c:strRef>
          </c:cat>
          <c:val>
            <c:numRef>
              <c:f>'7b'!$CA$2:$CC$2</c:f>
              <c:numCache>
                <c:formatCode>General</c:formatCode>
                <c:ptCount val="3"/>
                <c:pt idx="0">
                  <c:v>28</c:v>
                </c:pt>
                <c:pt idx="1">
                  <c:v>49</c:v>
                </c:pt>
                <c:pt idx="2">
                  <c:v>2</c:v>
                </c:pt>
              </c:numCache>
            </c:numRef>
          </c:val>
          <c:extLst>
            <c:ext xmlns:c16="http://schemas.microsoft.com/office/drawing/2014/chart" uri="{C3380CC4-5D6E-409C-BE32-E72D297353CC}">
              <c16:uniqueId val="{00000000-5E68-4B9D-8810-D8CE47F36AB0}"/>
            </c:ext>
          </c:extLst>
        </c:ser>
        <c:ser>
          <c:idx val="1"/>
          <c:order val="1"/>
          <c:tx>
            <c:strRef>
              <c:f>'7b'!$BY$3</c:f>
              <c:strCache>
                <c:ptCount val="1"/>
                <c:pt idx="0">
                  <c:v>No</c:v>
                </c:pt>
              </c:strCache>
            </c:strRef>
          </c:tx>
          <c:spPr>
            <a:solidFill>
              <a:srgbClr val="FF0000"/>
            </a:solidFill>
            <a:ln>
              <a:noFill/>
            </a:ln>
            <a:effectLst/>
          </c:spPr>
          <c:invertIfNegative val="0"/>
          <c:cat>
            <c:strRef>
              <c:f>'7b'!$CA$1:$CC$1</c:f>
              <c:strCache>
                <c:ptCount val="3"/>
                <c:pt idx="0">
                  <c:v>full-service</c:v>
                </c:pt>
                <c:pt idx="1">
                  <c:v>hybrid-service</c:v>
                </c:pt>
                <c:pt idx="2">
                  <c:v>self-service</c:v>
                </c:pt>
              </c:strCache>
            </c:strRef>
          </c:cat>
          <c:val>
            <c:numRef>
              <c:f>'7b'!$CA$3:$CC$3</c:f>
              <c:numCache>
                <c:formatCode>General</c:formatCode>
                <c:ptCount val="3"/>
                <c:pt idx="0">
                  <c:v>40</c:v>
                </c:pt>
                <c:pt idx="1">
                  <c:v>117</c:v>
                </c:pt>
                <c:pt idx="2">
                  <c:v>25</c:v>
                </c:pt>
              </c:numCache>
            </c:numRef>
          </c:val>
          <c:extLst>
            <c:ext xmlns:c16="http://schemas.microsoft.com/office/drawing/2014/chart" uri="{C3380CC4-5D6E-409C-BE32-E72D297353CC}">
              <c16:uniqueId val="{00000001-5E68-4B9D-8810-D8CE47F36AB0}"/>
            </c:ext>
          </c:extLst>
        </c:ser>
        <c:dLbls>
          <c:showLegendKey val="0"/>
          <c:showVal val="0"/>
          <c:showCatName val="0"/>
          <c:showSerName val="0"/>
          <c:showPercent val="0"/>
          <c:showBubbleSize val="0"/>
        </c:dLbls>
        <c:gapWidth val="130"/>
        <c:overlap val="100"/>
        <c:axId val="494109632"/>
        <c:axId val="494109960"/>
      </c:barChart>
      <c:catAx>
        <c:axId val="49410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4109960"/>
        <c:crosses val="autoZero"/>
        <c:auto val="1"/>
        <c:lblAlgn val="ctr"/>
        <c:lblOffset val="100"/>
        <c:noMultiLvlLbl val="0"/>
      </c:catAx>
      <c:valAx>
        <c:axId val="494109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41096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b="0" i="0" baseline="0">
                <a:effectLst/>
              </a:rPr>
              <a:t>System to identify raw data behind a figure</a:t>
            </a:r>
            <a:endParaRPr lang="en-GB"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'7b'!$DO$2</c:f>
              <c:strCache>
                <c:ptCount val="1"/>
                <c:pt idx="0">
                  <c:v>Yes</c:v>
                </c:pt>
              </c:strCache>
            </c:strRef>
          </c:tx>
          <c:spPr>
            <a:solidFill>
              <a:schemeClr val="accent1"/>
            </a:solidFill>
            <a:ln>
              <a:noFill/>
            </a:ln>
            <a:effectLst/>
          </c:spPr>
          <c:invertIfNegative val="0"/>
          <c:cat>
            <c:strRef>
              <c:f>'7b'!$DQ$1:$DS$1</c:f>
              <c:strCache>
                <c:ptCount val="3"/>
                <c:pt idx="0">
                  <c:v>full-service</c:v>
                </c:pt>
                <c:pt idx="1">
                  <c:v>hybrid-service</c:v>
                </c:pt>
                <c:pt idx="2">
                  <c:v>self-service</c:v>
                </c:pt>
              </c:strCache>
            </c:strRef>
          </c:cat>
          <c:val>
            <c:numRef>
              <c:f>'7b'!$DQ$2:$DS$2</c:f>
              <c:numCache>
                <c:formatCode>General</c:formatCode>
                <c:ptCount val="3"/>
                <c:pt idx="0">
                  <c:v>25</c:v>
                </c:pt>
                <c:pt idx="1">
                  <c:v>44</c:v>
                </c:pt>
                <c:pt idx="2">
                  <c:v>4</c:v>
                </c:pt>
              </c:numCache>
            </c:numRef>
          </c:val>
          <c:extLst>
            <c:ext xmlns:c16="http://schemas.microsoft.com/office/drawing/2014/chart" uri="{C3380CC4-5D6E-409C-BE32-E72D297353CC}">
              <c16:uniqueId val="{00000000-EB82-4688-87C0-E360B423DB67}"/>
            </c:ext>
          </c:extLst>
        </c:ser>
        <c:ser>
          <c:idx val="1"/>
          <c:order val="1"/>
          <c:tx>
            <c:strRef>
              <c:f>'7b'!$DO$3</c:f>
              <c:strCache>
                <c:ptCount val="1"/>
                <c:pt idx="0">
                  <c:v>No</c:v>
                </c:pt>
              </c:strCache>
            </c:strRef>
          </c:tx>
          <c:spPr>
            <a:solidFill>
              <a:srgbClr val="FF0000"/>
            </a:solidFill>
            <a:ln>
              <a:noFill/>
            </a:ln>
            <a:effectLst/>
          </c:spPr>
          <c:invertIfNegative val="0"/>
          <c:cat>
            <c:strRef>
              <c:f>'7b'!$DQ$1:$DS$1</c:f>
              <c:strCache>
                <c:ptCount val="3"/>
                <c:pt idx="0">
                  <c:v>full-service</c:v>
                </c:pt>
                <c:pt idx="1">
                  <c:v>hybrid-service</c:v>
                </c:pt>
                <c:pt idx="2">
                  <c:v>self-service</c:v>
                </c:pt>
              </c:strCache>
            </c:strRef>
          </c:cat>
          <c:val>
            <c:numRef>
              <c:f>'7b'!$DQ$3:$DS$3</c:f>
              <c:numCache>
                <c:formatCode>General</c:formatCode>
                <c:ptCount val="3"/>
                <c:pt idx="0">
                  <c:v>43</c:v>
                </c:pt>
                <c:pt idx="1">
                  <c:v>122</c:v>
                </c:pt>
                <c:pt idx="2">
                  <c:v>23</c:v>
                </c:pt>
              </c:numCache>
            </c:numRef>
          </c:val>
          <c:extLst>
            <c:ext xmlns:c16="http://schemas.microsoft.com/office/drawing/2014/chart" uri="{C3380CC4-5D6E-409C-BE32-E72D297353CC}">
              <c16:uniqueId val="{00000001-EB82-4688-87C0-E360B423DB67}"/>
            </c:ext>
          </c:extLst>
        </c:ser>
        <c:dLbls>
          <c:showLegendKey val="0"/>
          <c:showVal val="0"/>
          <c:showCatName val="0"/>
          <c:showSerName val="0"/>
          <c:showPercent val="0"/>
          <c:showBubbleSize val="0"/>
        </c:dLbls>
        <c:gapWidth val="130"/>
        <c:overlap val="100"/>
        <c:axId val="503386416"/>
        <c:axId val="503384120"/>
      </c:barChart>
      <c:catAx>
        <c:axId val="50338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3384120"/>
        <c:crosses val="autoZero"/>
        <c:auto val="1"/>
        <c:lblAlgn val="ctr"/>
        <c:lblOffset val="100"/>
        <c:noMultiLvlLbl val="0"/>
      </c:catAx>
      <c:valAx>
        <c:axId val="503384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3386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Quality control for data analysis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149-430A-876E-CEF403ADF2CA}"/>
              </c:ext>
            </c:extLst>
          </c:dPt>
          <c:dPt>
            <c:idx val="1"/>
            <c:bubble3D val="0"/>
            <c:spPr>
              <a:solidFill>
                <a:srgbClr val="FF7C80"/>
              </a:solidFill>
              <a:ln w="19050">
                <a:solidFill>
                  <a:schemeClr val="lt1"/>
                </a:solidFill>
              </a:ln>
              <a:effectLst/>
            </c:spPr>
            <c:extLst>
              <c:ext xmlns:c16="http://schemas.microsoft.com/office/drawing/2014/chart" uri="{C3380CC4-5D6E-409C-BE32-E72D297353CC}">
                <c16:uniqueId val="{00000003-0149-430A-876E-CEF403ADF2CA}"/>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0149-430A-876E-CEF403ADF2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'7b'!$CZ$2:$CZ$4</c:f>
              <c:strCache>
                <c:ptCount val="3"/>
                <c:pt idx="0">
                  <c:v>yes</c:v>
                </c:pt>
                <c:pt idx="1">
                  <c:v>no, but important</c:v>
                </c:pt>
                <c:pt idx="2">
                  <c:v>no, unimportant</c:v>
                </c:pt>
              </c:strCache>
            </c:strRef>
          </c:cat>
          <c:val>
            <c:numRef>
              <c:f>'7b'!$DA$2:$DA$4</c:f>
              <c:numCache>
                <c:formatCode>General</c:formatCode>
                <c:ptCount val="3"/>
                <c:pt idx="0">
                  <c:v>62</c:v>
                </c:pt>
                <c:pt idx="1">
                  <c:v>89</c:v>
                </c:pt>
                <c:pt idx="2">
                  <c:v>53</c:v>
                </c:pt>
              </c:numCache>
            </c:numRef>
          </c:val>
          <c:extLst>
            <c:ext xmlns:c16="http://schemas.microsoft.com/office/drawing/2014/chart" uri="{C3380CC4-5D6E-409C-BE32-E72D297353CC}">
              <c16:uniqueId val="{00000006-0149-430A-876E-CEF403ADF2C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6.0866141732283462E-2"/>
          <c:y val="0.82291557305336838"/>
          <c:w val="0.55663028963484829"/>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provides guidance how to analyse raw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'7b'!$AF$2</c:f>
              <c:strCache>
                <c:ptCount val="1"/>
                <c:pt idx="0">
                  <c:v>Yes</c:v>
                </c:pt>
              </c:strCache>
            </c:strRef>
          </c:tx>
          <c:spPr>
            <a:solidFill>
              <a:schemeClr val="accent1"/>
            </a:solidFill>
            <a:ln>
              <a:noFill/>
            </a:ln>
            <a:effectLst/>
          </c:spPr>
          <c:invertIfNegative val="0"/>
          <c:cat>
            <c:strRef>
              <c:f>'7b'!$AH$1:$AJ$1</c:f>
              <c:strCache>
                <c:ptCount val="3"/>
                <c:pt idx="0">
                  <c:v>full-service</c:v>
                </c:pt>
                <c:pt idx="1">
                  <c:v>hybrid-service</c:v>
                </c:pt>
                <c:pt idx="2">
                  <c:v>self-service</c:v>
                </c:pt>
              </c:strCache>
            </c:strRef>
          </c:cat>
          <c:val>
            <c:numRef>
              <c:f>'7b'!$AH$2:$AJ$2</c:f>
              <c:numCache>
                <c:formatCode>General</c:formatCode>
                <c:ptCount val="3"/>
                <c:pt idx="0">
                  <c:v>10</c:v>
                </c:pt>
                <c:pt idx="1">
                  <c:v>118</c:v>
                </c:pt>
                <c:pt idx="2">
                  <c:v>18</c:v>
                </c:pt>
              </c:numCache>
            </c:numRef>
          </c:val>
          <c:extLst>
            <c:ext xmlns:c16="http://schemas.microsoft.com/office/drawing/2014/chart" uri="{C3380CC4-5D6E-409C-BE32-E72D297353CC}">
              <c16:uniqueId val="{00000000-2BB5-4169-8917-E5D1BF90F1CA}"/>
            </c:ext>
          </c:extLst>
        </c:ser>
        <c:ser>
          <c:idx val="1"/>
          <c:order val="1"/>
          <c:tx>
            <c:strRef>
              <c:f>'7b'!$AF$3</c:f>
              <c:strCache>
                <c:ptCount val="1"/>
                <c:pt idx="0">
                  <c:v>No</c:v>
                </c:pt>
              </c:strCache>
            </c:strRef>
          </c:tx>
          <c:spPr>
            <a:solidFill>
              <a:srgbClr val="FF0000"/>
            </a:solidFill>
            <a:ln>
              <a:noFill/>
            </a:ln>
            <a:effectLst/>
          </c:spPr>
          <c:invertIfNegative val="0"/>
          <c:cat>
            <c:strRef>
              <c:f>'7b'!$AH$1:$AJ$1</c:f>
              <c:strCache>
                <c:ptCount val="3"/>
                <c:pt idx="0">
                  <c:v>full-service</c:v>
                </c:pt>
                <c:pt idx="1">
                  <c:v>hybrid-service</c:v>
                </c:pt>
                <c:pt idx="2">
                  <c:v>self-service</c:v>
                </c:pt>
              </c:strCache>
            </c:strRef>
          </c:cat>
          <c:val>
            <c:numRef>
              <c:f>'7b'!$AH$3:$AJ$3</c:f>
              <c:numCache>
                <c:formatCode>General</c:formatCode>
                <c:ptCount val="3"/>
                <c:pt idx="0">
                  <c:v>9</c:v>
                </c:pt>
                <c:pt idx="1">
                  <c:v>12</c:v>
                </c:pt>
                <c:pt idx="2">
                  <c:v>5</c:v>
                </c:pt>
              </c:numCache>
            </c:numRef>
          </c:val>
          <c:extLst>
            <c:ext xmlns:c16="http://schemas.microsoft.com/office/drawing/2014/chart" uri="{C3380CC4-5D6E-409C-BE32-E72D297353CC}">
              <c16:uniqueId val="{00000001-2BB5-4169-8917-E5D1BF90F1CA}"/>
            </c:ext>
          </c:extLst>
        </c:ser>
        <c:dLbls>
          <c:showLegendKey val="0"/>
          <c:showVal val="0"/>
          <c:showCatName val="0"/>
          <c:showSerName val="0"/>
          <c:showPercent val="0"/>
          <c:showBubbleSize val="0"/>
        </c:dLbls>
        <c:gapWidth val="130"/>
        <c:overlap val="100"/>
        <c:axId val="309794792"/>
        <c:axId val="309795776"/>
      </c:barChart>
      <c:catAx>
        <c:axId val="30979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09795776"/>
        <c:crosses val="autoZero"/>
        <c:auto val="1"/>
        <c:lblAlgn val="ctr"/>
        <c:lblOffset val="100"/>
        <c:noMultiLvlLbl val="0"/>
      </c:catAx>
      <c:valAx>
        <c:axId val="309795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09794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Analysis of raw data performed by:</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'7b'!$Q$2</c:f>
              <c:strCache>
                <c:ptCount val="1"/>
                <c:pt idx="0">
                  <c:v>Core Facility</c:v>
                </c:pt>
              </c:strCache>
            </c:strRef>
          </c:tx>
          <c:spPr>
            <a:solidFill>
              <a:srgbClr val="66CCEE"/>
            </a:solidFill>
            <a:ln>
              <a:noFill/>
            </a:ln>
            <a:effectLst/>
          </c:spPr>
          <c:invertIfNegative val="0"/>
          <c:cat>
            <c:strRef>
              <c:f>'7b'!$W$1:$AD$1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'7b'!$W$2:$AD$2</c:f>
              <c:numCache>
                <c:formatCode>General</c:formatCode>
                <c:ptCount val="8"/>
                <c:pt idx="0">
                  <c:v>1</c:v>
                </c:pt>
                <c:pt idx="1">
                  <c:v>15</c:v>
                </c:pt>
                <c:pt idx="2">
                  <c:v>1</c:v>
                </c:pt>
                <c:pt idx="3">
                  <c:v>1</c:v>
                </c:pt>
                <c:pt idx="4">
                  <c:v>4</c:v>
                </c:pt>
                <c:pt idx="5">
                  <c:v>2</c:v>
                </c:pt>
                <c:pt idx="6">
                  <c:v>3</c:v>
                </c:pt>
                <c:pt idx="7">
                  <c:v>23</c:v>
                </c:pt>
              </c:numCache>
            </c:numRef>
          </c:val>
          <c:extLst>
            <c:ext xmlns:c16="http://schemas.microsoft.com/office/drawing/2014/chart" uri="{C3380CC4-5D6E-409C-BE32-E72D297353CC}">
              <c16:uniqueId val="{00000000-2BB7-43EA-82A9-ADCD48E4BED6}"/>
            </c:ext>
          </c:extLst>
        </c:ser>
        <c:ser>
          <c:idx val="1"/>
          <c:order val="1"/>
          <c:tx>
            <c:strRef>
              <c:f>'7b'!$Q$3</c:f>
              <c:strCache>
                <c:ptCount val="1"/>
                <c:pt idx="0">
                  <c:v>both</c:v>
                </c:pt>
              </c:strCache>
            </c:strRef>
          </c:tx>
          <c:spPr>
            <a:solidFill>
              <a:srgbClr val="AA3377"/>
            </a:solidFill>
            <a:ln>
              <a:noFill/>
            </a:ln>
            <a:effectLst/>
          </c:spPr>
          <c:invertIfNegative val="0"/>
          <c:cat>
            <c:strRef>
              <c:f>'7b'!$W$1:$AD$1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'7b'!$W$3:$AD$3</c:f>
              <c:numCache>
                <c:formatCode>General</c:formatCode>
                <c:ptCount val="8"/>
                <c:pt idx="0">
                  <c:v>13</c:v>
                </c:pt>
                <c:pt idx="1">
                  <c:v>8</c:v>
                </c:pt>
                <c:pt idx="2">
                  <c:v>3</c:v>
                </c:pt>
                <c:pt idx="3">
                  <c:v>3</c:v>
                </c:pt>
                <c:pt idx="4">
                  <c:v>25</c:v>
                </c:pt>
                <c:pt idx="5">
                  <c:v>6</c:v>
                </c:pt>
                <c:pt idx="6">
                  <c:v>4</c:v>
                </c:pt>
                <c:pt idx="7">
                  <c:v>4</c:v>
                </c:pt>
              </c:numCache>
            </c:numRef>
          </c:val>
          <c:extLst>
            <c:ext xmlns:c16="http://schemas.microsoft.com/office/drawing/2014/chart" uri="{C3380CC4-5D6E-409C-BE32-E72D297353CC}">
              <c16:uniqueId val="{00000001-2BB7-43EA-82A9-ADCD48E4BED6}"/>
            </c:ext>
          </c:extLst>
        </c:ser>
        <c:ser>
          <c:idx val="2"/>
          <c:order val="2"/>
          <c:tx>
            <c:strRef>
              <c:f>'7b'!$Q$4</c:f>
              <c:strCache>
                <c:ptCount val="1"/>
                <c:pt idx="0">
                  <c:v>Users</c:v>
                </c:pt>
              </c:strCache>
            </c:strRef>
          </c:tx>
          <c:spPr>
            <a:solidFill>
              <a:srgbClr val="FF7C80"/>
            </a:solidFill>
            <a:ln>
              <a:noFill/>
            </a:ln>
            <a:effectLst/>
          </c:spPr>
          <c:invertIfNegative val="0"/>
          <c:cat>
            <c:strRef>
              <c:f>'7b'!$W$1:$AD$1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'7b'!$W$4:$AD$4</c:f>
              <c:numCache>
                <c:formatCode>General</c:formatCode>
                <c:ptCount val="8"/>
                <c:pt idx="0">
                  <c:v>26</c:v>
                </c:pt>
                <c:pt idx="1">
                  <c:v>1</c:v>
                </c:pt>
                <c:pt idx="2">
                  <c:v>3</c:v>
                </c:pt>
                <c:pt idx="3">
                  <c:v>0</c:v>
                </c:pt>
                <c:pt idx="4">
                  <c:v>21</c:v>
                </c:pt>
                <c:pt idx="5">
                  <c:v>1</c:v>
                </c:pt>
                <c:pt idx="6">
                  <c:v>0</c:v>
                </c:pt>
                <c:pt idx="7">
                  <c:v>0</c:v>
                </c:pt>
              </c:numCache>
            </c:numRef>
          </c:val>
          <c:extLst>
            <c:ext xmlns:c16="http://schemas.microsoft.com/office/drawing/2014/chart" uri="{C3380CC4-5D6E-409C-BE32-E72D297353CC}">
              <c16:uniqueId val="{00000002-2BB7-43EA-82A9-ADCD48E4BED6}"/>
            </c:ext>
          </c:extLst>
        </c:ser>
        <c:dLbls>
          <c:showLegendKey val="0"/>
          <c:showVal val="0"/>
          <c:showCatName val="0"/>
          <c:showSerName val="0"/>
          <c:showPercent val="0"/>
          <c:showBubbleSize val="0"/>
        </c:dLbls>
        <c:gapWidth val="130"/>
        <c:overlap val="100"/>
        <c:axId val="434953336"/>
        <c:axId val="434955304"/>
      </c:barChart>
      <c:catAx>
        <c:axId val="43495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4955304"/>
        <c:crosses val="autoZero"/>
        <c:auto val="1"/>
        <c:lblAlgn val="ctr"/>
        <c:lblOffset val="100"/>
        <c:noMultiLvlLbl val="0"/>
      </c:catAx>
      <c:valAx>
        <c:axId val="434955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4953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CF provides guidance how to analyse raw data</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'7b'!$AF$2</c:f>
              <c:strCache>
                <c:ptCount val="1"/>
                <c:pt idx="0">
                  <c:v>Yes</c:v>
                </c:pt>
              </c:strCache>
            </c:strRef>
          </c:tx>
          <c:spPr>
            <a:solidFill>
              <a:schemeClr val="accent1"/>
            </a:solidFill>
            <a:ln>
              <a:noFill/>
            </a:ln>
            <a:effectLst/>
          </c:spPr>
          <c:invertIfNegative val="0"/>
          <c:cat>
            <c:strRef>
              <c:f>'7b'!$AL$1:$AS$1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'7b'!$AL$2:$AS$2</c:f>
              <c:numCache>
                <c:formatCode>General</c:formatCode>
                <c:ptCount val="8"/>
                <c:pt idx="0">
                  <c:v>42</c:v>
                </c:pt>
                <c:pt idx="1">
                  <c:v>6</c:v>
                </c:pt>
                <c:pt idx="2">
                  <c:v>8</c:v>
                </c:pt>
                <c:pt idx="3">
                  <c:v>3</c:v>
                </c:pt>
                <c:pt idx="4">
                  <c:v>52</c:v>
                </c:pt>
                <c:pt idx="5">
                  <c:v>6</c:v>
                </c:pt>
                <c:pt idx="6">
                  <c:v>3</c:v>
                </c:pt>
                <c:pt idx="7">
                  <c:v>4</c:v>
                </c:pt>
              </c:numCache>
            </c:numRef>
          </c:val>
          <c:extLst>
            <c:ext xmlns:c16="http://schemas.microsoft.com/office/drawing/2014/chart" uri="{C3380CC4-5D6E-409C-BE32-E72D297353CC}">
              <c16:uniqueId val="{00000000-CC9A-4CA7-B13C-1D1C10E50767}"/>
            </c:ext>
          </c:extLst>
        </c:ser>
        <c:ser>
          <c:idx val="1"/>
          <c:order val="1"/>
          <c:tx>
            <c:strRef>
              <c:f>'7b'!$AF$3</c:f>
              <c:strCache>
                <c:ptCount val="1"/>
                <c:pt idx="0">
                  <c:v>No</c:v>
                </c:pt>
              </c:strCache>
            </c:strRef>
          </c:tx>
          <c:spPr>
            <a:solidFill>
              <a:srgbClr val="FF0000"/>
            </a:solidFill>
            <a:ln>
              <a:noFill/>
            </a:ln>
            <a:effectLst/>
          </c:spPr>
          <c:invertIfNegative val="0"/>
          <c:cat>
            <c:strRef>
              <c:f>'7b'!$AL$1:$AS$1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'7b'!$AL$3:$AS$3</c:f>
              <c:numCache>
                <c:formatCode>General</c:formatCode>
                <c:ptCount val="8"/>
                <c:pt idx="0">
                  <c:v>4</c:v>
                </c:pt>
                <c:pt idx="1">
                  <c:v>6</c:v>
                </c:pt>
                <c:pt idx="2">
                  <c:v>1</c:v>
                </c:pt>
                <c:pt idx="3">
                  <c:v>0</c:v>
                </c:pt>
                <c:pt idx="4">
                  <c:v>4</c:v>
                </c:pt>
                <c:pt idx="5">
                  <c:v>5</c:v>
                </c:pt>
                <c:pt idx="6">
                  <c:v>1</c:v>
                </c:pt>
                <c:pt idx="7">
                  <c:v>0</c:v>
                </c:pt>
              </c:numCache>
            </c:numRef>
          </c:val>
          <c:extLst>
            <c:ext xmlns:c16="http://schemas.microsoft.com/office/drawing/2014/chart" uri="{C3380CC4-5D6E-409C-BE32-E72D297353CC}">
              <c16:uniqueId val="{00000001-CC9A-4CA7-B13C-1D1C10E50767}"/>
            </c:ext>
          </c:extLst>
        </c:ser>
        <c:dLbls>
          <c:showLegendKey val="0"/>
          <c:showVal val="0"/>
          <c:showCatName val="0"/>
          <c:showSerName val="0"/>
          <c:showPercent val="0"/>
          <c:showBubbleSize val="0"/>
        </c:dLbls>
        <c:gapWidth val="130"/>
        <c:overlap val="100"/>
        <c:axId val="558422656"/>
        <c:axId val="558419048"/>
      </c:barChart>
      <c:catAx>
        <c:axId val="55842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419048"/>
        <c:crosses val="autoZero"/>
        <c:auto val="1"/>
        <c:lblAlgn val="ctr"/>
        <c:lblOffset val="100"/>
        <c:noMultiLvlLbl val="0"/>
      </c:catAx>
      <c:valAx>
        <c:axId val="558419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422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Statistical analysis performed by:</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'7b'!$AU$2</c:f>
              <c:strCache>
                <c:ptCount val="1"/>
                <c:pt idx="0">
                  <c:v>Core Facility</c:v>
                </c:pt>
              </c:strCache>
            </c:strRef>
          </c:tx>
          <c:spPr>
            <a:solidFill>
              <a:srgbClr val="66CCEE"/>
            </a:solidFill>
            <a:ln>
              <a:noFill/>
            </a:ln>
            <a:effectLst/>
          </c:spPr>
          <c:invertIfNegative val="0"/>
          <c:cat>
            <c:strRef>
              <c:f>'7b'!$BA$1:$BH$1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'7b'!$BA$2:$BH$2</c:f>
              <c:numCache>
                <c:formatCode>General</c:formatCode>
                <c:ptCount val="8"/>
                <c:pt idx="0">
                  <c:v>6</c:v>
                </c:pt>
                <c:pt idx="1">
                  <c:v>12</c:v>
                </c:pt>
                <c:pt idx="2">
                  <c:v>0</c:v>
                </c:pt>
                <c:pt idx="3">
                  <c:v>5</c:v>
                </c:pt>
                <c:pt idx="4">
                  <c:v>25</c:v>
                </c:pt>
                <c:pt idx="5">
                  <c:v>5</c:v>
                </c:pt>
                <c:pt idx="6">
                  <c:v>4</c:v>
                </c:pt>
                <c:pt idx="7">
                  <c:v>30</c:v>
                </c:pt>
              </c:numCache>
            </c:numRef>
          </c:val>
          <c:extLst>
            <c:ext xmlns:c16="http://schemas.microsoft.com/office/drawing/2014/chart" uri="{C3380CC4-5D6E-409C-BE32-E72D297353CC}">
              <c16:uniqueId val="{00000000-88A0-4280-8CB0-DDD2CDC5D90E}"/>
            </c:ext>
          </c:extLst>
        </c:ser>
        <c:ser>
          <c:idx val="1"/>
          <c:order val="1"/>
          <c:tx>
            <c:strRef>
              <c:f>'7b'!$AU$3</c:f>
              <c:strCache>
                <c:ptCount val="1"/>
                <c:pt idx="0">
                  <c:v>both / either</c:v>
                </c:pt>
              </c:strCache>
            </c:strRef>
          </c:tx>
          <c:spPr>
            <a:solidFill>
              <a:srgbClr val="AA3377"/>
            </a:solidFill>
            <a:ln>
              <a:noFill/>
            </a:ln>
            <a:effectLst/>
          </c:spPr>
          <c:invertIfNegative val="0"/>
          <c:cat>
            <c:strRef>
              <c:f>'7b'!$BA$1:$BH$1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'7b'!$BA$3:$BH$3</c:f>
              <c:numCache>
                <c:formatCode>General</c:formatCode>
                <c:ptCount val="8"/>
                <c:pt idx="0">
                  <c:v>6</c:v>
                </c:pt>
                <c:pt idx="1">
                  <c:v>10</c:v>
                </c:pt>
                <c:pt idx="2">
                  <c:v>0</c:v>
                </c:pt>
                <c:pt idx="3">
                  <c:v>4</c:v>
                </c:pt>
                <c:pt idx="4">
                  <c:v>28</c:v>
                </c:pt>
                <c:pt idx="5">
                  <c:v>3</c:v>
                </c:pt>
                <c:pt idx="6">
                  <c:v>3</c:v>
                </c:pt>
                <c:pt idx="7">
                  <c:v>20</c:v>
                </c:pt>
              </c:numCache>
            </c:numRef>
          </c:val>
          <c:extLst>
            <c:ext xmlns:c16="http://schemas.microsoft.com/office/drawing/2014/chart" uri="{C3380CC4-5D6E-409C-BE32-E72D297353CC}">
              <c16:uniqueId val="{00000001-88A0-4280-8CB0-DDD2CDC5D90E}"/>
            </c:ext>
          </c:extLst>
        </c:ser>
        <c:ser>
          <c:idx val="2"/>
          <c:order val="2"/>
          <c:tx>
            <c:strRef>
              <c:f>'7b'!$AU$4</c:f>
              <c:strCache>
                <c:ptCount val="1"/>
                <c:pt idx="0">
                  <c:v>User</c:v>
                </c:pt>
              </c:strCache>
            </c:strRef>
          </c:tx>
          <c:spPr>
            <a:solidFill>
              <a:srgbClr val="FF7C80"/>
            </a:solidFill>
            <a:ln>
              <a:noFill/>
            </a:ln>
            <a:effectLst/>
          </c:spPr>
          <c:invertIfNegative val="0"/>
          <c:cat>
            <c:strRef>
              <c:f>'7b'!$BA$1:$BH$1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'7b'!$BA$4:$BH$4</c:f>
              <c:numCache>
                <c:formatCode>General</c:formatCode>
                <c:ptCount val="8"/>
                <c:pt idx="0">
                  <c:v>42</c:v>
                </c:pt>
                <c:pt idx="1">
                  <c:v>20</c:v>
                </c:pt>
                <c:pt idx="2">
                  <c:v>6</c:v>
                </c:pt>
                <c:pt idx="3">
                  <c:v>6</c:v>
                </c:pt>
                <c:pt idx="4">
                  <c:v>52</c:v>
                </c:pt>
                <c:pt idx="5">
                  <c:v>7</c:v>
                </c:pt>
                <c:pt idx="6">
                  <c:v>4</c:v>
                </c:pt>
                <c:pt idx="7">
                  <c:v>20</c:v>
                </c:pt>
              </c:numCache>
            </c:numRef>
          </c:val>
          <c:extLst>
            <c:ext xmlns:c16="http://schemas.microsoft.com/office/drawing/2014/chart" uri="{C3380CC4-5D6E-409C-BE32-E72D297353CC}">
              <c16:uniqueId val="{00000002-88A0-4280-8CB0-DDD2CDC5D90E}"/>
            </c:ext>
          </c:extLst>
        </c:ser>
        <c:ser>
          <c:idx val="3"/>
          <c:order val="3"/>
          <c:tx>
            <c:strRef>
              <c:f>'7b'!$AU$5</c:f>
              <c:strCache>
                <c:ptCount val="1"/>
                <c:pt idx="0">
                  <c:v>other</c:v>
                </c:pt>
              </c:strCache>
            </c:strRef>
          </c:tx>
          <c:spPr>
            <a:solidFill>
              <a:srgbClr val="BBBBBB"/>
            </a:solidFill>
            <a:ln>
              <a:noFill/>
            </a:ln>
            <a:effectLst/>
          </c:spPr>
          <c:invertIfNegative val="0"/>
          <c:cat>
            <c:strRef>
              <c:f>'7b'!$BA$1:$BH$1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'7b'!$BA$5:$BH$5</c:f>
              <c:numCache>
                <c:formatCode>General</c:formatCode>
                <c:ptCount val="8"/>
                <c:pt idx="0">
                  <c:v>0</c:v>
                </c:pt>
                <c:pt idx="1">
                  <c:v>2</c:v>
                </c:pt>
                <c:pt idx="2">
                  <c:v>2</c:v>
                </c:pt>
                <c:pt idx="3">
                  <c:v>0</c:v>
                </c:pt>
                <c:pt idx="4">
                  <c:v>1</c:v>
                </c:pt>
                <c:pt idx="5">
                  <c:v>0</c:v>
                </c:pt>
                <c:pt idx="6">
                  <c:v>0</c:v>
                </c:pt>
                <c:pt idx="7">
                  <c:v>1</c:v>
                </c:pt>
              </c:numCache>
            </c:numRef>
          </c:val>
          <c:extLst>
            <c:ext xmlns:c16="http://schemas.microsoft.com/office/drawing/2014/chart" uri="{C3380CC4-5D6E-409C-BE32-E72D297353CC}">
              <c16:uniqueId val="{00000003-88A0-4280-8CB0-DDD2CDC5D90E}"/>
            </c:ext>
          </c:extLst>
        </c:ser>
        <c:dLbls>
          <c:showLegendKey val="0"/>
          <c:showVal val="0"/>
          <c:showCatName val="0"/>
          <c:showSerName val="0"/>
          <c:showPercent val="0"/>
          <c:showBubbleSize val="0"/>
        </c:dLbls>
        <c:gapWidth val="130"/>
        <c:overlap val="100"/>
        <c:axId val="268455856"/>
        <c:axId val="268457168"/>
      </c:barChart>
      <c:catAx>
        <c:axId val="26845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8457168"/>
        <c:crosses val="autoZero"/>
        <c:auto val="1"/>
        <c:lblAlgn val="ctr"/>
        <c:lblOffset val="100"/>
        <c:noMultiLvlLbl val="0"/>
      </c:catAx>
      <c:valAx>
        <c:axId val="268457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8455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Quality control for data analysis</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'7b'!$BY$2</c:f>
              <c:strCache>
                <c:ptCount val="1"/>
                <c:pt idx="0">
                  <c:v>Yes</c:v>
                </c:pt>
              </c:strCache>
            </c:strRef>
          </c:tx>
          <c:spPr>
            <a:solidFill>
              <a:schemeClr val="accent1"/>
            </a:solidFill>
            <a:ln>
              <a:noFill/>
            </a:ln>
            <a:effectLst/>
          </c:spPr>
          <c:invertIfNegative val="0"/>
          <c:cat>
            <c:strRef>
              <c:f>'7b'!$CE$1:$CL$1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'7b'!$CE$2:$CL$2</c:f>
              <c:numCache>
                <c:formatCode>General</c:formatCode>
                <c:ptCount val="8"/>
                <c:pt idx="0">
                  <c:v>4</c:v>
                </c:pt>
                <c:pt idx="1">
                  <c:v>14</c:v>
                </c:pt>
                <c:pt idx="2">
                  <c:v>3</c:v>
                </c:pt>
                <c:pt idx="3">
                  <c:v>3</c:v>
                </c:pt>
                <c:pt idx="4">
                  <c:v>7</c:v>
                </c:pt>
                <c:pt idx="5">
                  <c:v>3</c:v>
                </c:pt>
                <c:pt idx="6">
                  <c:v>2</c:v>
                </c:pt>
                <c:pt idx="7">
                  <c:v>20</c:v>
                </c:pt>
              </c:numCache>
            </c:numRef>
          </c:val>
          <c:extLst>
            <c:ext xmlns:c16="http://schemas.microsoft.com/office/drawing/2014/chart" uri="{C3380CC4-5D6E-409C-BE32-E72D297353CC}">
              <c16:uniqueId val="{00000000-B83E-4BF5-9B61-52C70CD1BBE1}"/>
            </c:ext>
          </c:extLst>
        </c:ser>
        <c:ser>
          <c:idx val="1"/>
          <c:order val="1"/>
          <c:tx>
            <c:strRef>
              <c:f>'7b'!$BY$3</c:f>
              <c:strCache>
                <c:ptCount val="1"/>
                <c:pt idx="0">
                  <c:v>No</c:v>
                </c:pt>
              </c:strCache>
            </c:strRef>
          </c:tx>
          <c:spPr>
            <a:solidFill>
              <a:srgbClr val="FF0000"/>
            </a:solidFill>
            <a:ln>
              <a:noFill/>
            </a:ln>
            <a:effectLst/>
          </c:spPr>
          <c:invertIfNegative val="0"/>
          <c:cat>
            <c:strRef>
              <c:f>'7b'!$CE$1:$CL$1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'7b'!$CE$3:$CL$3</c:f>
              <c:numCache>
                <c:formatCode>General</c:formatCode>
                <c:ptCount val="8"/>
                <c:pt idx="0">
                  <c:v>42</c:v>
                </c:pt>
                <c:pt idx="1">
                  <c:v>16</c:v>
                </c:pt>
                <c:pt idx="2">
                  <c:v>8</c:v>
                </c:pt>
                <c:pt idx="3">
                  <c:v>4</c:v>
                </c:pt>
                <c:pt idx="4">
                  <c:v>53</c:v>
                </c:pt>
                <c:pt idx="5">
                  <c:v>10</c:v>
                </c:pt>
                <c:pt idx="6">
                  <c:v>6</c:v>
                </c:pt>
                <c:pt idx="7">
                  <c:v>15</c:v>
                </c:pt>
              </c:numCache>
            </c:numRef>
          </c:val>
          <c:extLst>
            <c:ext xmlns:c16="http://schemas.microsoft.com/office/drawing/2014/chart" uri="{C3380CC4-5D6E-409C-BE32-E72D297353CC}">
              <c16:uniqueId val="{00000001-B83E-4BF5-9B61-52C70CD1BBE1}"/>
            </c:ext>
          </c:extLst>
        </c:ser>
        <c:dLbls>
          <c:showLegendKey val="0"/>
          <c:showVal val="0"/>
          <c:showCatName val="0"/>
          <c:showSerName val="0"/>
          <c:showPercent val="0"/>
          <c:showBubbleSize val="0"/>
        </c:dLbls>
        <c:gapWidth val="130"/>
        <c:overlap val="100"/>
        <c:axId val="273284064"/>
        <c:axId val="273283408"/>
      </c:barChart>
      <c:catAx>
        <c:axId val="27328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3283408"/>
        <c:crosses val="autoZero"/>
        <c:auto val="1"/>
        <c:lblAlgn val="ctr"/>
        <c:lblOffset val="100"/>
        <c:noMultiLvlLbl val="0"/>
      </c:catAx>
      <c:valAx>
        <c:axId val="27328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3284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importance of having a quality control mechanism about data analysis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'7b'!$CN$2</c:f>
              <c:strCache>
                <c:ptCount val="1"/>
                <c:pt idx="0">
                  <c:v>Yes</c:v>
                </c:pt>
              </c:strCache>
            </c:strRef>
          </c:tx>
          <c:spPr>
            <a:solidFill>
              <a:schemeClr val="accent1"/>
            </a:solidFill>
            <a:ln>
              <a:noFill/>
            </a:ln>
            <a:effectLst/>
          </c:spPr>
          <c:invertIfNegative val="0"/>
          <c:cat>
            <c:strRef>
              <c:f>'7b'!$CQ$1:$CX$1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'7b'!$CQ$2:$CX$2</c:f>
              <c:numCache>
                <c:formatCode>General</c:formatCode>
                <c:ptCount val="8"/>
                <c:pt idx="0">
                  <c:v>26</c:v>
                </c:pt>
                <c:pt idx="1">
                  <c:v>7</c:v>
                </c:pt>
                <c:pt idx="2">
                  <c:v>1</c:v>
                </c:pt>
                <c:pt idx="3">
                  <c:v>2</c:v>
                </c:pt>
                <c:pt idx="4">
                  <c:v>31</c:v>
                </c:pt>
                <c:pt idx="5">
                  <c:v>4</c:v>
                </c:pt>
                <c:pt idx="6">
                  <c:v>3</c:v>
                </c:pt>
                <c:pt idx="7">
                  <c:v>10</c:v>
                </c:pt>
              </c:numCache>
            </c:numRef>
          </c:val>
          <c:extLst>
            <c:ext xmlns:c16="http://schemas.microsoft.com/office/drawing/2014/chart" uri="{C3380CC4-5D6E-409C-BE32-E72D297353CC}">
              <c16:uniqueId val="{00000000-61E0-4A40-A63A-489F79B01A58}"/>
            </c:ext>
          </c:extLst>
        </c:ser>
        <c:ser>
          <c:idx val="1"/>
          <c:order val="1"/>
          <c:tx>
            <c:strRef>
              <c:f>'7b'!$CN$3</c:f>
              <c:strCache>
                <c:ptCount val="1"/>
                <c:pt idx="0">
                  <c:v>No</c:v>
                </c:pt>
              </c:strCache>
            </c:strRef>
          </c:tx>
          <c:spPr>
            <a:solidFill>
              <a:srgbClr val="FF0000"/>
            </a:solidFill>
            <a:ln>
              <a:noFill/>
            </a:ln>
            <a:effectLst/>
          </c:spPr>
          <c:invertIfNegative val="0"/>
          <c:cat>
            <c:strRef>
              <c:f>'7b'!$CQ$1:$CX$1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'7b'!$CQ$3:$CX$3</c:f>
              <c:numCache>
                <c:formatCode>General</c:formatCode>
                <c:ptCount val="8"/>
                <c:pt idx="0">
                  <c:v>12</c:v>
                </c:pt>
                <c:pt idx="1">
                  <c:v>6</c:v>
                </c:pt>
                <c:pt idx="2">
                  <c:v>4</c:v>
                </c:pt>
                <c:pt idx="3">
                  <c:v>2</c:v>
                </c:pt>
                <c:pt idx="4">
                  <c:v>20</c:v>
                </c:pt>
                <c:pt idx="5">
                  <c:v>4</c:v>
                </c:pt>
                <c:pt idx="6">
                  <c:v>3</c:v>
                </c:pt>
                <c:pt idx="7">
                  <c:v>3</c:v>
                </c:pt>
              </c:numCache>
            </c:numRef>
          </c:val>
          <c:extLst>
            <c:ext xmlns:c16="http://schemas.microsoft.com/office/drawing/2014/chart" uri="{C3380CC4-5D6E-409C-BE32-E72D297353CC}">
              <c16:uniqueId val="{00000001-61E0-4A40-A63A-489F79B01A58}"/>
            </c:ext>
          </c:extLst>
        </c:ser>
        <c:dLbls>
          <c:showLegendKey val="0"/>
          <c:showVal val="0"/>
          <c:showCatName val="0"/>
          <c:showSerName val="0"/>
          <c:showPercent val="0"/>
          <c:showBubbleSize val="0"/>
        </c:dLbls>
        <c:gapWidth val="130"/>
        <c:overlap val="100"/>
        <c:axId val="268456184"/>
        <c:axId val="268456512"/>
      </c:barChart>
      <c:catAx>
        <c:axId val="26845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8456512"/>
        <c:crosses val="autoZero"/>
        <c:auto val="1"/>
        <c:lblAlgn val="ctr"/>
        <c:lblOffset val="100"/>
        <c:noMultiLvlLbl val="0"/>
      </c:catAx>
      <c:valAx>
        <c:axId val="26845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84561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Quality control for data analysis</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'7b'!$CZ$2</c:f>
              <c:strCache>
                <c:ptCount val="1"/>
                <c:pt idx="0">
                  <c:v>yes</c:v>
                </c:pt>
              </c:strCache>
            </c:strRef>
          </c:tx>
          <c:spPr>
            <a:solidFill>
              <a:schemeClr val="accent1"/>
            </a:solidFill>
            <a:ln>
              <a:noFill/>
            </a:ln>
            <a:effectLst/>
          </c:spPr>
          <c:invertIfNegative val="0"/>
          <c:cat>
            <c:strRef>
              <c:f>'7b'!$DF$1:$DM$1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'7b'!$DF$2:$DM$2</c:f>
              <c:numCache>
                <c:formatCode>General</c:formatCode>
                <c:ptCount val="8"/>
                <c:pt idx="0">
                  <c:v>4</c:v>
                </c:pt>
                <c:pt idx="1">
                  <c:v>11</c:v>
                </c:pt>
                <c:pt idx="2">
                  <c:v>3</c:v>
                </c:pt>
                <c:pt idx="3">
                  <c:v>2</c:v>
                </c:pt>
                <c:pt idx="4">
                  <c:v>7</c:v>
                </c:pt>
                <c:pt idx="5">
                  <c:v>3</c:v>
                </c:pt>
                <c:pt idx="6">
                  <c:v>1</c:v>
                </c:pt>
                <c:pt idx="7">
                  <c:v>15</c:v>
                </c:pt>
              </c:numCache>
            </c:numRef>
          </c:val>
          <c:extLst>
            <c:ext xmlns:c16="http://schemas.microsoft.com/office/drawing/2014/chart" uri="{C3380CC4-5D6E-409C-BE32-E72D297353CC}">
              <c16:uniqueId val="{00000000-75A8-4D51-A7A7-D225C6D22ECB}"/>
            </c:ext>
          </c:extLst>
        </c:ser>
        <c:ser>
          <c:idx val="1"/>
          <c:order val="1"/>
          <c:tx>
            <c:strRef>
              <c:f>'7b'!$CZ$3</c:f>
              <c:strCache>
                <c:ptCount val="1"/>
                <c:pt idx="0">
                  <c:v>no, but important</c:v>
                </c:pt>
              </c:strCache>
            </c:strRef>
          </c:tx>
          <c:spPr>
            <a:solidFill>
              <a:srgbClr val="FF7C80"/>
            </a:solidFill>
            <a:ln>
              <a:noFill/>
            </a:ln>
            <a:effectLst/>
          </c:spPr>
          <c:invertIfNegative val="0"/>
          <c:cat>
            <c:strRef>
              <c:f>'7b'!$DF$1:$DM$1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'7b'!$DF$3:$DM$3</c:f>
              <c:numCache>
                <c:formatCode>General</c:formatCode>
                <c:ptCount val="8"/>
                <c:pt idx="0">
                  <c:v>24</c:v>
                </c:pt>
                <c:pt idx="1">
                  <c:v>7</c:v>
                </c:pt>
                <c:pt idx="2">
                  <c:v>0</c:v>
                </c:pt>
                <c:pt idx="3">
                  <c:v>1</c:v>
                </c:pt>
                <c:pt idx="4">
                  <c:v>28</c:v>
                </c:pt>
                <c:pt idx="5">
                  <c:v>3</c:v>
                </c:pt>
                <c:pt idx="6">
                  <c:v>3</c:v>
                </c:pt>
                <c:pt idx="7">
                  <c:v>9</c:v>
                </c:pt>
              </c:numCache>
            </c:numRef>
          </c:val>
          <c:extLst>
            <c:ext xmlns:c16="http://schemas.microsoft.com/office/drawing/2014/chart" uri="{C3380CC4-5D6E-409C-BE32-E72D297353CC}">
              <c16:uniqueId val="{00000001-75A8-4D51-A7A7-D225C6D22ECB}"/>
            </c:ext>
          </c:extLst>
        </c:ser>
        <c:ser>
          <c:idx val="2"/>
          <c:order val="2"/>
          <c:tx>
            <c:strRef>
              <c:f>'7b'!$CZ$4</c:f>
              <c:strCache>
                <c:ptCount val="1"/>
                <c:pt idx="0">
                  <c:v>no, unimportant</c:v>
                </c:pt>
              </c:strCache>
            </c:strRef>
          </c:tx>
          <c:spPr>
            <a:solidFill>
              <a:srgbClr val="FF0000"/>
            </a:solidFill>
            <a:ln>
              <a:noFill/>
            </a:ln>
            <a:effectLst/>
          </c:spPr>
          <c:invertIfNegative val="0"/>
          <c:cat>
            <c:strRef>
              <c:f>'7b'!$DF$1:$DM$1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'7b'!$DF$4:$DM$4</c:f>
              <c:numCache>
                <c:formatCode>General</c:formatCode>
                <c:ptCount val="8"/>
                <c:pt idx="0">
                  <c:v>12</c:v>
                </c:pt>
                <c:pt idx="1">
                  <c:v>6</c:v>
                </c:pt>
                <c:pt idx="2">
                  <c:v>4</c:v>
                </c:pt>
                <c:pt idx="3">
                  <c:v>1</c:v>
                </c:pt>
                <c:pt idx="4">
                  <c:v>15</c:v>
                </c:pt>
                <c:pt idx="5">
                  <c:v>3</c:v>
                </c:pt>
                <c:pt idx="6">
                  <c:v>3</c:v>
                </c:pt>
                <c:pt idx="7">
                  <c:v>3</c:v>
                </c:pt>
              </c:numCache>
            </c:numRef>
          </c:val>
          <c:extLst>
            <c:ext xmlns:c16="http://schemas.microsoft.com/office/drawing/2014/chart" uri="{C3380CC4-5D6E-409C-BE32-E72D297353CC}">
              <c16:uniqueId val="{00000002-75A8-4D51-A7A7-D225C6D22ECB}"/>
            </c:ext>
          </c:extLst>
        </c:ser>
        <c:dLbls>
          <c:showLegendKey val="0"/>
          <c:showVal val="0"/>
          <c:showCatName val="0"/>
          <c:showSerName val="0"/>
          <c:showPercent val="0"/>
          <c:showBubbleSize val="0"/>
        </c:dLbls>
        <c:gapWidth val="130"/>
        <c:overlap val="100"/>
        <c:axId val="551907672"/>
        <c:axId val="442973048"/>
      </c:barChart>
      <c:catAx>
        <c:axId val="55190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2973048"/>
        <c:crosses val="autoZero"/>
        <c:auto val="1"/>
        <c:lblAlgn val="ctr"/>
        <c:lblOffset val="100"/>
        <c:noMultiLvlLbl val="0"/>
      </c:catAx>
      <c:valAx>
        <c:axId val="442973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19076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ubbleChart>
        <c:varyColors val="0"/>
        <c:ser>
          <c:idx val="0"/>
          <c:order val="0"/>
          <c:tx>
            <c:strRef>
              <c:f>'1bis'!$J$1</c:f>
              <c:strCache>
                <c:ptCount val="1"/>
                <c:pt idx="0">
                  <c:v>microscopy</c:v>
                </c:pt>
              </c:strCache>
            </c:strRef>
          </c:tx>
          <c:spPr>
            <a:solidFill>
              <a:schemeClr val="accent1">
                <a:alpha val="75000"/>
              </a:schemeClr>
            </a:solidFill>
            <a:ln>
              <a:noFill/>
            </a:ln>
            <a:effectLst/>
          </c:spPr>
          <c:invertIfNegative val="0"/>
          <c:xVal>
            <c:numRef>
              <c:f>'1bis'!$F$2:$F$31</c:f>
              <c:numCache>
                <c:formatCode>General</c:formatCode>
                <c:ptCount val="30"/>
                <c:pt idx="0">
                  <c:v>2.5</c:v>
                </c:pt>
                <c:pt idx="1">
                  <c:v>2.5</c:v>
                </c:pt>
                <c:pt idx="2">
                  <c:v>2.5</c:v>
                </c:pt>
                <c:pt idx="3">
                  <c:v>2.5</c:v>
                </c:pt>
                <c:pt idx="4">
                  <c:v>2.5</c:v>
                </c:pt>
                <c:pt idx="5">
                  <c:v>2.5</c:v>
                </c:pt>
                <c:pt idx="6">
                  <c:v>6.5</c:v>
                </c:pt>
                <c:pt idx="7">
                  <c:v>6.5</c:v>
                </c:pt>
                <c:pt idx="8">
                  <c:v>6.5</c:v>
                </c:pt>
                <c:pt idx="9">
                  <c:v>6.5</c:v>
                </c:pt>
                <c:pt idx="10">
                  <c:v>6.5</c:v>
                </c:pt>
                <c:pt idx="11">
                  <c:v>6.5</c:v>
                </c:pt>
                <c:pt idx="12">
                  <c:v>10.5</c:v>
                </c:pt>
                <c:pt idx="13">
                  <c:v>10.5</c:v>
                </c:pt>
                <c:pt idx="14">
                  <c:v>10.5</c:v>
                </c:pt>
                <c:pt idx="15">
                  <c:v>10.5</c:v>
                </c:pt>
                <c:pt idx="16">
                  <c:v>10.5</c:v>
                </c:pt>
                <c:pt idx="17">
                  <c:v>10.5</c:v>
                </c:pt>
                <c:pt idx="18">
                  <c:v>14.5</c:v>
                </c:pt>
                <c:pt idx="19">
                  <c:v>14.5</c:v>
                </c:pt>
                <c:pt idx="20">
                  <c:v>14.5</c:v>
                </c:pt>
                <c:pt idx="21">
                  <c:v>14.5</c:v>
                </c:pt>
                <c:pt idx="22">
                  <c:v>14.5</c:v>
                </c:pt>
                <c:pt idx="23">
                  <c:v>14.5</c:v>
                </c:pt>
                <c:pt idx="24">
                  <c:v>18.5</c:v>
                </c:pt>
                <c:pt idx="25">
                  <c:v>18.5</c:v>
                </c:pt>
                <c:pt idx="26">
                  <c:v>18.5</c:v>
                </c:pt>
                <c:pt idx="27">
                  <c:v>18.5</c:v>
                </c:pt>
                <c:pt idx="28">
                  <c:v>18.5</c:v>
                </c:pt>
                <c:pt idx="29">
                  <c:v>18.5</c:v>
                </c:pt>
              </c:numCache>
            </c:numRef>
          </c:xVal>
          <c:yVal>
            <c:numRef>
              <c:f>'1bis'!$G$2:$G$31</c:f>
              <c:numCache>
                <c:formatCode>General</c:formatCode>
                <c:ptCount val="30"/>
                <c:pt idx="0">
                  <c:v>10</c:v>
                </c:pt>
                <c:pt idx="1">
                  <c:v>30</c:v>
                </c:pt>
                <c:pt idx="2">
                  <c:v>50</c:v>
                </c:pt>
                <c:pt idx="3">
                  <c:v>70</c:v>
                </c:pt>
                <c:pt idx="4">
                  <c:v>90</c:v>
                </c:pt>
                <c:pt idx="5">
                  <c:v>110</c:v>
                </c:pt>
                <c:pt idx="6">
                  <c:v>10</c:v>
                </c:pt>
                <c:pt idx="7">
                  <c:v>30</c:v>
                </c:pt>
                <c:pt idx="8">
                  <c:v>50</c:v>
                </c:pt>
                <c:pt idx="9">
                  <c:v>70</c:v>
                </c:pt>
                <c:pt idx="10">
                  <c:v>90</c:v>
                </c:pt>
                <c:pt idx="11">
                  <c:v>110</c:v>
                </c:pt>
                <c:pt idx="12">
                  <c:v>10</c:v>
                </c:pt>
                <c:pt idx="13">
                  <c:v>30</c:v>
                </c:pt>
                <c:pt idx="14">
                  <c:v>50</c:v>
                </c:pt>
                <c:pt idx="15">
                  <c:v>70</c:v>
                </c:pt>
                <c:pt idx="16">
                  <c:v>90</c:v>
                </c:pt>
                <c:pt idx="17">
                  <c:v>110</c:v>
                </c:pt>
                <c:pt idx="18">
                  <c:v>10</c:v>
                </c:pt>
                <c:pt idx="19">
                  <c:v>30</c:v>
                </c:pt>
                <c:pt idx="20">
                  <c:v>50</c:v>
                </c:pt>
                <c:pt idx="21">
                  <c:v>70</c:v>
                </c:pt>
                <c:pt idx="22">
                  <c:v>90</c:v>
                </c:pt>
                <c:pt idx="23">
                  <c:v>110</c:v>
                </c:pt>
                <c:pt idx="24">
                  <c:v>10</c:v>
                </c:pt>
                <c:pt idx="25">
                  <c:v>30</c:v>
                </c:pt>
                <c:pt idx="26">
                  <c:v>50</c:v>
                </c:pt>
                <c:pt idx="27">
                  <c:v>70</c:v>
                </c:pt>
                <c:pt idx="28">
                  <c:v>90</c:v>
                </c:pt>
                <c:pt idx="29">
                  <c:v>110</c:v>
                </c:pt>
              </c:numCache>
            </c:numRef>
          </c:yVal>
          <c:bubbleSize>
            <c:numRef>
              <c:f>'1bis'!$J$2:$J$31</c:f>
              <c:numCache>
                <c:formatCode>General</c:formatCode>
                <c:ptCount val="30"/>
                <c:pt idx="0">
                  <c:v>19</c:v>
                </c:pt>
                <c:pt idx="1">
                  <c:v>8</c:v>
                </c:pt>
                <c:pt idx="2">
                  <c:v>11</c:v>
                </c:pt>
                <c:pt idx="3">
                  <c:v>4</c:v>
                </c:pt>
                <c:pt idx="4">
                  <c:v>5</c:v>
                </c:pt>
                <c:pt idx="5">
                  <c:v>1</c:v>
                </c:pt>
                <c:pt idx="6">
                  <c:v>2</c:v>
                </c:pt>
                <c:pt idx="7">
                  <c:v>3</c:v>
                </c:pt>
                <c:pt idx="8">
                  <c:v>1</c:v>
                </c:pt>
                <c:pt idx="9">
                  <c:v>1</c:v>
                </c:pt>
                <c:pt idx="10">
                  <c:v>0</c:v>
                </c:pt>
                <c:pt idx="11">
                  <c:v>3</c:v>
                </c:pt>
                <c:pt idx="12">
                  <c:v>0</c:v>
                </c:pt>
                <c:pt idx="13">
                  <c:v>0</c:v>
                </c:pt>
                <c:pt idx="14">
                  <c:v>1</c:v>
                </c:pt>
                <c:pt idx="15">
                  <c:v>0</c:v>
                </c:pt>
                <c:pt idx="16">
                  <c:v>0</c:v>
                </c:pt>
                <c:pt idx="17">
                  <c:v>0</c:v>
                </c:pt>
                <c:pt idx="18">
                  <c:v>0</c:v>
                </c:pt>
                <c:pt idx="19">
                  <c:v>0</c:v>
                </c:pt>
                <c:pt idx="20">
                  <c:v>0</c:v>
                </c:pt>
                <c:pt idx="21">
                  <c:v>0</c:v>
                </c:pt>
                <c:pt idx="22">
                  <c:v>1</c:v>
                </c:pt>
                <c:pt idx="23">
                  <c:v>1</c:v>
                </c:pt>
                <c:pt idx="24">
                  <c:v>0</c:v>
                </c:pt>
                <c:pt idx="25">
                  <c:v>0</c:v>
                </c:pt>
                <c:pt idx="26">
                  <c:v>0</c:v>
                </c:pt>
                <c:pt idx="27">
                  <c:v>0</c:v>
                </c:pt>
                <c:pt idx="28">
                  <c:v>0</c:v>
                </c:pt>
                <c:pt idx="29">
                  <c:v>2</c:v>
                </c:pt>
              </c:numCache>
            </c:numRef>
          </c:bubbleSize>
          <c:bubble3D val="0"/>
          <c:extLst>
            <c:ext xmlns:c16="http://schemas.microsoft.com/office/drawing/2014/chart" uri="{C3380CC4-5D6E-409C-BE32-E72D297353CC}">
              <c16:uniqueId val="{00000000-794C-4B07-98ED-BE608B6B284D}"/>
            </c:ext>
          </c:extLst>
        </c:ser>
        <c:dLbls>
          <c:showLegendKey val="0"/>
          <c:showVal val="0"/>
          <c:showCatName val="0"/>
          <c:showSerName val="0"/>
          <c:showPercent val="0"/>
          <c:showBubbleSize val="0"/>
        </c:dLbls>
        <c:bubbleScale val="100"/>
        <c:showNegBubbles val="0"/>
        <c:axId val="502045384"/>
        <c:axId val="502042104"/>
      </c:bubbleChart>
      <c:valAx>
        <c:axId val="5020453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staff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2042104"/>
        <c:crosses val="autoZero"/>
        <c:crossBetween val="midCat"/>
      </c:valAx>
      <c:valAx>
        <c:axId val="502042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users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20453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System to identify raw data behind a figure</a:t>
            </a:r>
            <a:endParaRPr lang="en-GB" sz="1400">
              <a:effectLst/>
            </a:endParaRPr>
          </a:p>
        </c:rich>
      </c:tx>
      <c:layout>
        <c:manualLayout>
          <c:xMode val="edge"/>
          <c:yMode val="edge"/>
          <c:x val="0.14962489924557174"/>
          <c:y val="1.43266734231408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'7b'!$DO$2</c:f>
              <c:strCache>
                <c:ptCount val="1"/>
                <c:pt idx="0">
                  <c:v>Yes</c:v>
                </c:pt>
              </c:strCache>
            </c:strRef>
          </c:tx>
          <c:spPr>
            <a:solidFill>
              <a:schemeClr val="accent1"/>
            </a:solidFill>
            <a:ln>
              <a:noFill/>
            </a:ln>
            <a:effectLst/>
          </c:spPr>
          <c:invertIfNegative val="0"/>
          <c:cat>
            <c:strRef>
              <c:f>'7b'!$DU$1:$EB$1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'7b'!$DU$2:$EB$2</c:f>
              <c:numCache>
                <c:formatCode>General</c:formatCode>
                <c:ptCount val="8"/>
                <c:pt idx="0">
                  <c:v>6</c:v>
                </c:pt>
                <c:pt idx="1">
                  <c:v>10</c:v>
                </c:pt>
                <c:pt idx="2">
                  <c:v>2</c:v>
                </c:pt>
                <c:pt idx="3">
                  <c:v>2</c:v>
                </c:pt>
                <c:pt idx="4">
                  <c:v>14</c:v>
                </c:pt>
                <c:pt idx="5">
                  <c:v>3</c:v>
                </c:pt>
                <c:pt idx="6">
                  <c:v>2</c:v>
                </c:pt>
                <c:pt idx="7">
                  <c:v>19</c:v>
                </c:pt>
              </c:numCache>
            </c:numRef>
          </c:val>
          <c:extLst>
            <c:ext xmlns:c16="http://schemas.microsoft.com/office/drawing/2014/chart" uri="{C3380CC4-5D6E-409C-BE32-E72D297353CC}">
              <c16:uniqueId val="{00000000-552F-4C3F-BB1A-DB69FD8F34C8}"/>
            </c:ext>
          </c:extLst>
        </c:ser>
        <c:ser>
          <c:idx val="1"/>
          <c:order val="1"/>
          <c:tx>
            <c:strRef>
              <c:f>'7b'!$DO$3</c:f>
              <c:strCache>
                <c:ptCount val="1"/>
                <c:pt idx="0">
                  <c:v>No</c:v>
                </c:pt>
              </c:strCache>
            </c:strRef>
          </c:tx>
          <c:spPr>
            <a:solidFill>
              <a:srgbClr val="FF0000"/>
            </a:solidFill>
            <a:ln>
              <a:noFill/>
            </a:ln>
            <a:effectLst/>
          </c:spPr>
          <c:invertIfNegative val="0"/>
          <c:cat>
            <c:strRef>
              <c:f>'7b'!$DU$1:$EB$1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'7b'!$DU$3:$EB$3</c:f>
              <c:numCache>
                <c:formatCode>General</c:formatCode>
                <c:ptCount val="8"/>
                <c:pt idx="0">
                  <c:v>40</c:v>
                </c:pt>
                <c:pt idx="1">
                  <c:v>20</c:v>
                </c:pt>
                <c:pt idx="2">
                  <c:v>9</c:v>
                </c:pt>
                <c:pt idx="3">
                  <c:v>5</c:v>
                </c:pt>
                <c:pt idx="4">
                  <c:v>46</c:v>
                </c:pt>
                <c:pt idx="5">
                  <c:v>10</c:v>
                </c:pt>
                <c:pt idx="6">
                  <c:v>6</c:v>
                </c:pt>
                <c:pt idx="7">
                  <c:v>16</c:v>
                </c:pt>
              </c:numCache>
            </c:numRef>
          </c:val>
          <c:extLst>
            <c:ext xmlns:c16="http://schemas.microsoft.com/office/drawing/2014/chart" uri="{C3380CC4-5D6E-409C-BE32-E72D297353CC}">
              <c16:uniqueId val="{00000001-552F-4C3F-BB1A-DB69FD8F34C8}"/>
            </c:ext>
          </c:extLst>
        </c:ser>
        <c:dLbls>
          <c:showLegendKey val="0"/>
          <c:showVal val="0"/>
          <c:showCatName val="0"/>
          <c:showSerName val="0"/>
          <c:showPercent val="0"/>
          <c:showBubbleSize val="0"/>
        </c:dLbls>
        <c:gapWidth val="130"/>
        <c:overlap val="100"/>
        <c:axId val="444458824"/>
        <c:axId val="267987736"/>
      </c:barChart>
      <c:catAx>
        <c:axId val="444458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7987736"/>
        <c:crosses val="autoZero"/>
        <c:auto val="1"/>
        <c:lblAlgn val="ctr"/>
        <c:lblOffset val="100"/>
        <c:noMultiLvlLbl val="0"/>
      </c:catAx>
      <c:valAx>
        <c:axId val="267987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44588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Quality control for data analysis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5063341036117145"/>
          <c:y val="0.18008583367487788"/>
          <c:w val="0.52034159109751776"/>
          <c:h val="0.63180138177664924"/>
        </c:manualLayout>
      </c:layout>
      <c:barChart>
        <c:barDir val="col"/>
        <c:grouping val="percentStacked"/>
        <c:varyColors val="0"/>
        <c:ser>
          <c:idx val="0"/>
          <c:order val="0"/>
          <c:tx>
            <c:strRef>
              <c:f>'7b'!$CZ$2</c:f>
              <c:strCache>
                <c:ptCount val="1"/>
                <c:pt idx="0">
                  <c:v>yes</c:v>
                </c:pt>
              </c:strCache>
            </c:strRef>
          </c:tx>
          <c:spPr>
            <a:solidFill>
              <a:schemeClr val="accent1"/>
            </a:solidFill>
            <a:ln>
              <a:noFill/>
            </a:ln>
            <a:effectLst/>
          </c:spPr>
          <c:invertIfNegative val="0"/>
          <c:cat>
            <c:strRef>
              <c:f>'7b'!$DB$1:$DD$1</c:f>
              <c:strCache>
                <c:ptCount val="3"/>
                <c:pt idx="0">
                  <c:v>full-service</c:v>
                </c:pt>
                <c:pt idx="1">
                  <c:v>hybrid-service</c:v>
                </c:pt>
                <c:pt idx="2">
                  <c:v>self-service</c:v>
                </c:pt>
              </c:strCache>
            </c:strRef>
          </c:cat>
          <c:val>
            <c:numRef>
              <c:f>'7b'!$DB$2:$DD$2</c:f>
              <c:numCache>
                <c:formatCode>General</c:formatCode>
                <c:ptCount val="3"/>
                <c:pt idx="0">
                  <c:v>23</c:v>
                </c:pt>
                <c:pt idx="1">
                  <c:v>38</c:v>
                </c:pt>
                <c:pt idx="2">
                  <c:v>1</c:v>
                </c:pt>
              </c:numCache>
            </c:numRef>
          </c:val>
          <c:extLst>
            <c:ext xmlns:c16="http://schemas.microsoft.com/office/drawing/2014/chart" uri="{C3380CC4-5D6E-409C-BE32-E72D297353CC}">
              <c16:uniqueId val="{00000000-C939-4C66-AFC7-5A9C3726B410}"/>
            </c:ext>
          </c:extLst>
        </c:ser>
        <c:ser>
          <c:idx val="1"/>
          <c:order val="1"/>
          <c:tx>
            <c:strRef>
              <c:f>'7b'!$CZ$3</c:f>
              <c:strCache>
                <c:ptCount val="1"/>
                <c:pt idx="0">
                  <c:v>no, but important</c:v>
                </c:pt>
              </c:strCache>
            </c:strRef>
          </c:tx>
          <c:spPr>
            <a:solidFill>
              <a:srgbClr val="FF7C80"/>
            </a:solidFill>
            <a:ln>
              <a:noFill/>
            </a:ln>
            <a:effectLst/>
          </c:spPr>
          <c:invertIfNegative val="0"/>
          <c:cat>
            <c:strRef>
              <c:f>'7b'!$DB$1:$DD$1</c:f>
              <c:strCache>
                <c:ptCount val="3"/>
                <c:pt idx="0">
                  <c:v>full-service</c:v>
                </c:pt>
                <c:pt idx="1">
                  <c:v>hybrid-service</c:v>
                </c:pt>
                <c:pt idx="2">
                  <c:v>self-service</c:v>
                </c:pt>
              </c:strCache>
            </c:strRef>
          </c:cat>
          <c:val>
            <c:numRef>
              <c:f>'7b'!$DB$3:$DD$3</c:f>
              <c:numCache>
                <c:formatCode>General</c:formatCode>
                <c:ptCount val="3"/>
                <c:pt idx="0">
                  <c:v>20</c:v>
                </c:pt>
                <c:pt idx="1">
                  <c:v>64</c:v>
                </c:pt>
                <c:pt idx="2">
                  <c:v>5</c:v>
                </c:pt>
              </c:numCache>
            </c:numRef>
          </c:val>
          <c:extLst>
            <c:ext xmlns:c16="http://schemas.microsoft.com/office/drawing/2014/chart" uri="{C3380CC4-5D6E-409C-BE32-E72D297353CC}">
              <c16:uniqueId val="{00000001-C939-4C66-AFC7-5A9C3726B410}"/>
            </c:ext>
          </c:extLst>
        </c:ser>
        <c:ser>
          <c:idx val="2"/>
          <c:order val="2"/>
          <c:tx>
            <c:strRef>
              <c:f>'7b'!$CZ$4</c:f>
              <c:strCache>
                <c:ptCount val="1"/>
                <c:pt idx="0">
                  <c:v>no, unimportant</c:v>
                </c:pt>
              </c:strCache>
            </c:strRef>
          </c:tx>
          <c:spPr>
            <a:solidFill>
              <a:srgbClr val="FF0000"/>
            </a:solidFill>
            <a:ln>
              <a:noFill/>
            </a:ln>
            <a:effectLst/>
          </c:spPr>
          <c:invertIfNegative val="0"/>
          <c:cat>
            <c:strRef>
              <c:f>'7b'!$DB$1:$DD$1</c:f>
              <c:strCache>
                <c:ptCount val="3"/>
                <c:pt idx="0">
                  <c:v>full-service</c:v>
                </c:pt>
                <c:pt idx="1">
                  <c:v>hybrid-service</c:v>
                </c:pt>
                <c:pt idx="2">
                  <c:v>self-service</c:v>
                </c:pt>
              </c:strCache>
            </c:strRef>
          </c:cat>
          <c:val>
            <c:numRef>
              <c:f>'7b'!$DB$4:$DD$4</c:f>
              <c:numCache>
                <c:formatCode>General</c:formatCode>
                <c:ptCount val="3"/>
                <c:pt idx="0">
                  <c:v>13</c:v>
                </c:pt>
                <c:pt idx="1">
                  <c:v>36</c:v>
                </c:pt>
                <c:pt idx="2">
                  <c:v>4</c:v>
                </c:pt>
              </c:numCache>
            </c:numRef>
          </c:val>
          <c:extLst>
            <c:ext xmlns:c16="http://schemas.microsoft.com/office/drawing/2014/chart" uri="{C3380CC4-5D6E-409C-BE32-E72D297353CC}">
              <c16:uniqueId val="{00000002-C939-4C66-AFC7-5A9C3726B410}"/>
            </c:ext>
          </c:extLst>
        </c:ser>
        <c:dLbls>
          <c:showLegendKey val="0"/>
          <c:showVal val="0"/>
          <c:showCatName val="0"/>
          <c:showSerName val="0"/>
          <c:showPercent val="0"/>
          <c:showBubbleSize val="0"/>
        </c:dLbls>
        <c:gapWidth val="130"/>
        <c:overlap val="100"/>
        <c:axId val="315814424"/>
        <c:axId val="315814752"/>
      </c:barChart>
      <c:catAx>
        <c:axId val="315814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5814752"/>
        <c:crosses val="autoZero"/>
        <c:auto val="1"/>
        <c:lblAlgn val="ctr"/>
        <c:lblOffset val="100"/>
        <c:noMultiLvlLbl val="0"/>
      </c:catAx>
      <c:valAx>
        <c:axId val="315814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5814424"/>
        <c:crosses val="autoZero"/>
        <c:crossBetween val="between"/>
      </c:valAx>
      <c:spPr>
        <a:noFill/>
        <a:ln>
          <a:noFill/>
        </a:ln>
        <a:effectLst/>
      </c:spPr>
    </c:plotArea>
    <c:legend>
      <c:legendPos val="r"/>
      <c:layout>
        <c:manualLayout>
          <c:xMode val="edge"/>
          <c:yMode val="edge"/>
          <c:x val="0.7011325534660493"/>
          <c:y val="0.31478654906018982"/>
          <c:w val="0.27301811624192801"/>
          <c:h val="0.341110603374407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Data are backed up</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'7b'!$ED$2</c:f>
              <c:strCache>
                <c:ptCount val="1"/>
                <c:pt idx="0">
                  <c:v>Yes</c:v>
                </c:pt>
              </c:strCache>
            </c:strRef>
          </c:tx>
          <c:spPr>
            <a:solidFill>
              <a:schemeClr val="accent1"/>
            </a:solidFill>
            <a:ln>
              <a:noFill/>
            </a:ln>
            <a:effectLst/>
          </c:spPr>
          <c:invertIfNegative val="0"/>
          <c:cat>
            <c:strRef>
              <c:f>'7b'!$EF$1:$EH$1</c:f>
              <c:strCache>
                <c:ptCount val="3"/>
                <c:pt idx="0">
                  <c:v>full-service</c:v>
                </c:pt>
                <c:pt idx="1">
                  <c:v>hybrid-service</c:v>
                </c:pt>
                <c:pt idx="2">
                  <c:v>self-service</c:v>
                </c:pt>
              </c:strCache>
            </c:strRef>
          </c:cat>
          <c:val>
            <c:numRef>
              <c:f>'7b'!$EF$2:$EH$2</c:f>
              <c:numCache>
                <c:formatCode>General</c:formatCode>
                <c:ptCount val="3"/>
                <c:pt idx="0">
                  <c:v>63</c:v>
                </c:pt>
                <c:pt idx="1">
                  <c:v>144</c:v>
                </c:pt>
                <c:pt idx="2">
                  <c:v>20</c:v>
                </c:pt>
              </c:numCache>
            </c:numRef>
          </c:val>
          <c:extLst>
            <c:ext xmlns:c16="http://schemas.microsoft.com/office/drawing/2014/chart" uri="{C3380CC4-5D6E-409C-BE32-E72D297353CC}">
              <c16:uniqueId val="{00000000-E9C3-4668-B5A4-26D61731B6C6}"/>
            </c:ext>
          </c:extLst>
        </c:ser>
        <c:ser>
          <c:idx val="1"/>
          <c:order val="1"/>
          <c:tx>
            <c:strRef>
              <c:f>'7b'!$ED$3</c:f>
              <c:strCache>
                <c:ptCount val="1"/>
                <c:pt idx="0">
                  <c:v>No</c:v>
                </c:pt>
              </c:strCache>
            </c:strRef>
          </c:tx>
          <c:spPr>
            <a:solidFill>
              <a:srgbClr val="FF0000"/>
            </a:solidFill>
            <a:ln>
              <a:noFill/>
            </a:ln>
            <a:effectLst/>
          </c:spPr>
          <c:invertIfNegative val="0"/>
          <c:cat>
            <c:strRef>
              <c:f>'7b'!$EF$1:$EH$1</c:f>
              <c:strCache>
                <c:ptCount val="3"/>
                <c:pt idx="0">
                  <c:v>full-service</c:v>
                </c:pt>
                <c:pt idx="1">
                  <c:v>hybrid-service</c:v>
                </c:pt>
                <c:pt idx="2">
                  <c:v>self-service</c:v>
                </c:pt>
              </c:strCache>
            </c:strRef>
          </c:cat>
          <c:val>
            <c:numRef>
              <c:f>'7b'!$EF$3:$EH$3</c:f>
              <c:numCache>
                <c:formatCode>General</c:formatCode>
                <c:ptCount val="3"/>
                <c:pt idx="0">
                  <c:v>5</c:v>
                </c:pt>
                <c:pt idx="1">
                  <c:v>22</c:v>
                </c:pt>
                <c:pt idx="2">
                  <c:v>7</c:v>
                </c:pt>
              </c:numCache>
            </c:numRef>
          </c:val>
          <c:extLst>
            <c:ext xmlns:c16="http://schemas.microsoft.com/office/drawing/2014/chart" uri="{C3380CC4-5D6E-409C-BE32-E72D297353CC}">
              <c16:uniqueId val="{00000001-E9C3-4668-B5A4-26D61731B6C6}"/>
            </c:ext>
          </c:extLst>
        </c:ser>
        <c:dLbls>
          <c:showLegendKey val="0"/>
          <c:showVal val="0"/>
          <c:showCatName val="0"/>
          <c:showSerName val="0"/>
          <c:showPercent val="0"/>
          <c:showBubbleSize val="0"/>
        </c:dLbls>
        <c:gapWidth val="130"/>
        <c:overlap val="100"/>
        <c:axId val="471793792"/>
        <c:axId val="589872080"/>
      </c:barChart>
      <c:catAx>
        <c:axId val="47179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9872080"/>
        <c:crosses val="autoZero"/>
        <c:auto val="1"/>
        <c:lblAlgn val="ctr"/>
        <c:lblOffset val="100"/>
        <c:noMultiLvlLbl val="0"/>
      </c:catAx>
      <c:valAx>
        <c:axId val="589872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1793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Data are archived</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'7b'!$ED$2</c:f>
              <c:strCache>
                <c:ptCount val="1"/>
                <c:pt idx="0">
                  <c:v>Yes</c:v>
                </c:pt>
              </c:strCache>
            </c:strRef>
          </c:tx>
          <c:spPr>
            <a:solidFill>
              <a:schemeClr val="accent1"/>
            </a:solidFill>
            <a:ln>
              <a:noFill/>
            </a:ln>
            <a:effectLst/>
          </c:spPr>
          <c:invertIfNegative val="0"/>
          <c:cat>
            <c:strRef>
              <c:f>'7b'!$EL$1:$EN$1</c:f>
              <c:strCache>
                <c:ptCount val="3"/>
                <c:pt idx="0">
                  <c:v>full-service</c:v>
                </c:pt>
                <c:pt idx="1">
                  <c:v>hybrid-service</c:v>
                </c:pt>
                <c:pt idx="2">
                  <c:v>self-service</c:v>
                </c:pt>
              </c:strCache>
            </c:strRef>
          </c:cat>
          <c:val>
            <c:numRef>
              <c:f>'7b'!$EL$2:$EN$2</c:f>
              <c:numCache>
                <c:formatCode>General</c:formatCode>
                <c:ptCount val="3"/>
                <c:pt idx="0">
                  <c:v>56</c:v>
                </c:pt>
                <c:pt idx="1">
                  <c:v>117</c:v>
                </c:pt>
                <c:pt idx="2">
                  <c:v>16</c:v>
                </c:pt>
              </c:numCache>
            </c:numRef>
          </c:val>
          <c:extLst>
            <c:ext xmlns:c16="http://schemas.microsoft.com/office/drawing/2014/chart" uri="{C3380CC4-5D6E-409C-BE32-E72D297353CC}">
              <c16:uniqueId val="{00000000-C90D-4927-99C9-7A8CFE1CF939}"/>
            </c:ext>
          </c:extLst>
        </c:ser>
        <c:ser>
          <c:idx val="1"/>
          <c:order val="1"/>
          <c:tx>
            <c:strRef>
              <c:f>'7b'!$ED$3</c:f>
              <c:strCache>
                <c:ptCount val="1"/>
                <c:pt idx="0">
                  <c:v>No</c:v>
                </c:pt>
              </c:strCache>
            </c:strRef>
          </c:tx>
          <c:spPr>
            <a:solidFill>
              <a:srgbClr val="FF0000"/>
            </a:solidFill>
            <a:ln>
              <a:noFill/>
            </a:ln>
            <a:effectLst/>
          </c:spPr>
          <c:invertIfNegative val="0"/>
          <c:cat>
            <c:strRef>
              <c:f>'7b'!$EL$1:$EN$1</c:f>
              <c:strCache>
                <c:ptCount val="3"/>
                <c:pt idx="0">
                  <c:v>full-service</c:v>
                </c:pt>
                <c:pt idx="1">
                  <c:v>hybrid-service</c:v>
                </c:pt>
                <c:pt idx="2">
                  <c:v>self-service</c:v>
                </c:pt>
              </c:strCache>
            </c:strRef>
          </c:cat>
          <c:val>
            <c:numRef>
              <c:f>'7b'!$EL$3:$EN$3</c:f>
              <c:numCache>
                <c:formatCode>General</c:formatCode>
                <c:ptCount val="3"/>
                <c:pt idx="0">
                  <c:v>12</c:v>
                </c:pt>
                <c:pt idx="1">
                  <c:v>49</c:v>
                </c:pt>
                <c:pt idx="2">
                  <c:v>11</c:v>
                </c:pt>
              </c:numCache>
            </c:numRef>
          </c:val>
          <c:extLst>
            <c:ext xmlns:c16="http://schemas.microsoft.com/office/drawing/2014/chart" uri="{C3380CC4-5D6E-409C-BE32-E72D297353CC}">
              <c16:uniqueId val="{00000001-C90D-4927-99C9-7A8CFE1CF939}"/>
            </c:ext>
          </c:extLst>
        </c:ser>
        <c:dLbls>
          <c:showLegendKey val="0"/>
          <c:showVal val="0"/>
          <c:showCatName val="0"/>
          <c:showSerName val="0"/>
          <c:showPercent val="0"/>
          <c:showBubbleSize val="0"/>
        </c:dLbls>
        <c:gapWidth val="130"/>
        <c:overlap val="100"/>
        <c:axId val="434743072"/>
        <c:axId val="434733888"/>
      </c:barChart>
      <c:catAx>
        <c:axId val="4347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4733888"/>
        <c:crosses val="autoZero"/>
        <c:auto val="1"/>
        <c:lblAlgn val="ctr"/>
        <c:lblOffset val="100"/>
        <c:noMultiLvlLbl val="0"/>
      </c:catAx>
      <c:valAx>
        <c:axId val="434733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4743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Do you provide guidance how to perform statistical analysis?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'7b'!$BJ$2</c:f>
              <c:strCache>
                <c:ptCount val="1"/>
                <c:pt idx="0">
                  <c:v>Yes</c:v>
                </c:pt>
              </c:strCache>
            </c:strRef>
          </c:tx>
          <c:spPr>
            <a:solidFill>
              <a:schemeClr val="accent1"/>
            </a:solidFill>
            <a:ln>
              <a:noFill/>
            </a:ln>
            <a:effectLst/>
          </c:spPr>
          <c:invertIfNegative val="0"/>
          <c:cat>
            <c:strRef>
              <c:f>'7b'!$BP$1:$BW$1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'7b'!$BP$2:$BW$2</c:f>
              <c:numCache>
                <c:formatCode>General</c:formatCode>
                <c:ptCount val="8"/>
                <c:pt idx="0">
                  <c:v>10</c:v>
                </c:pt>
                <c:pt idx="1">
                  <c:v>10</c:v>
                </c:pt>
                <c:pt idx="2">
                  <c:v>1</c:v>
                </c:pt>
                <c:pt idx="3">
                  <c:v>3</c:v>
                </c:pt>
                <c:pt idx="4">
                  <c:v>23</c:v>
                </c:pt>
                <c:pt idx="5">
                  <c:v>4</c:v>
                </c:pt>
                <c:pt idx="6">
                  <c:v>1</c:v>
                </c:pt>
                <c:pt idx="7">
                  <c:v>12</c:v>
                </c:pt>
              </c:numCache>
            </c:numRef>
          </c:val>
          <c:extLst>
            <c:ext xmlns:c16="http://schemas.microsoft.com/office/drawing/2014/chart" uri="{C3380CC4-5D6E-409C-BE32-E72D297353CC}">
              <c16:uniqueId val="{00000000-CA87-4C7F-8852-55B415B95083}"/>
            </c:ext>
          </c:extLst>
        </c:ser>
        <c:ser>
          <c:idx val="1"/>
          <c:order val="1"/>
          <c:tx>
            <c:strRef>
              <c:f>'7b'!$BJ$3</c:f>
              <c:strCache>
                <c:ptCount val="1"/>
                <c:pt idx="0">
                  <c:v>No</c:v>
                </c:pt>
              </c:strCache>
            </c:strRef>
          </c:tx>
          <c:spPr>
            <a:solidFill>
              <a:srgbClr val="FF0000"/>
            </a:solidFill>
            <a:ln>
              <a:noFill/>
            </a:ln>
            <a:effectLst/>
          </c:spPr>
          <c:invertIfNegative val="0"/>
          <c:cat>
            <c:strRef>
              <c:f>'7b'!$BP$1:$BW$1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'7b'!$BP$3:$BW$3</c:f>
              <c:numCache>
                <c:formatCode>General</c:formatCode>
                <c:ptCount val="8"/>
                <c:pt idx="0">
                  <c:v>28</c:v>
                </c:pt>
                <c:pt idx="1">
                  <c:v>8</c:v>
                </c:pt>
                <c:pt idx="2">
                  <c:v>4</c:v>
                </c:pt>
                <c:pt idx="3">
                  <c:v>1</c:v>
                </c:pt>
                <c:pt idx="4">
                  <c:v>24</c:v>
                </c:pt>
                <c:pt idx="5">
                  <c:v>1</c:v>
                </c:pt>
                <c:pt idx="6">
                  <c:v>3</c:v>
                </c:pt>
                <c:pt idx="7">
                  <c:v>8</c:v>
                </c:pt>
              </c:numCache>
            </c:numRef>
          </c:val>
          <c:extLst>
            <c:ext xmlns:c16="http://schemas.microsoft.com/office/drawing/2014/chart" uri="{C3380CC4-5D6E-409C-BE32-E72D297353CC}">
              <c16:uniqueId val="{00000001-CA87-4C7F-8852-55B415B95083}"/>
            </c:ext>
          </c:extLst>
        </c:ser>
        <c:dLbls>
          <c:showLegendKey val="0"/>
          <c:showVal val="0"/>
          <c:showCatName val="0"/>
          <c:showSerName val="0"/>
          <c:showPercent val="0"/>
          <c:showBubbleSize val="0"/>
        </c:dLbls>
        <c:gapWidth val="130"/>
        <c:overlap val="100"/>
        <c:axId val="576382592"/>
        <c:axId val="576382264"/>
      </c:barChart>
      <c:catAx>
        <c:axId val="57638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6382264"/>
        <c:crosses val="autoZero"/>
        <c:auto val="1"/>
        <c:lblAlgn val="ctr"/>
        <c:lblOffset val="100"/>
        <c:noMultiLvlLbl val="0"/>
      </c:catAx>
      <c:valAx>
        <c:axId val="576382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63825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Data are searchable and findable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'7c'!$V$1</c:f>
              <c:strCache>
                <c:ptCount val="1"/>
                <c:pt idx="0">
                  <c:v>currently</c:v>
                </c:pt>
              </c:strCache>
            </c:strRef>
          </c:tx>
          <c:spPr>
            <a:solidFill>
              <a:srgbClr val="88CCEE"/>
            </a:solidFill>
            <a:ln>
              <a:noFill/>
            </a:ln>
            <a:effectLst/>
          </c:spPr>
          <c:invertIfNegative val="0"/>
          <c:cat>
            <c:strRef>
              <c:f>'7c'!$U$2:$U$6</c:f>
              <c:strCache>
                <c:ptCount val="5"/>
                <c:pt idx="0">
                  <c:v>strongly disagree</c:v>
                </c:pt>
                <c:pt idx="1">
                  <c:v>somewhat disagree</c:v>
                </c:pt>
                <c:pt idx="2">
                  <c:v>neither</c:v>
                </c:pt>
                <c:pt idx="3">
                  <c:v>somewhat agree</c:v>
                </c:pt>
                <c:pt idx="4">
                  <c:v>strongly agree</c:v>
                </c:pt>
              </c:strCache>
            </c:strRef>
          </c:cat>
          <c:val>
            <c:numRef>
              <c:f>'7c'!$V$2:$V$6</c:f>
              <c:numCache>
                <c:formatCode>General</c:formatCode>
                <c:ptCount val="5"/>
                <c:pt idx="0">
                  <c:v>25</c:v>
                </c:pt>
                <c:pt idx="1">
                  <c:v>37</c:v>
                </c:pt>
                <c:pt idx="2">
                  <c:v>55</c:v>
                </c:pt>
                <c:pt idx="3">
                  <c:v>59</c:v>
                </c:pt>
                <c:pt idx="4">
                  <c:v>85</c:v>
                </c:pt>
              </c:numCache>
            </c:numRef>
          </c:val>
          <c:extLst>
            <c:ext xmlns:c16="http://schemas.microsoft.com/office/drawing/2014/chart" uri="{C3380CC4-5D6E-409C-BE32-E72D297353CC}">
              <c16:uniqueId val="{00000000-751C-42DF-B6DE-130B2805203B}"/>
            </c:ext>
          </c:extLst>
        </c:ser>
        <c:ser>
          <c:idx val="1"/>
          <c:order val="1"/>
          <c:tx>
            <c:strRef>
              <c:f>'7c'!$W$1</c:f>
              <c:strCache>
                <c:ptCount val="1"/>
                <c:pt idx="0">
                  <c:v>importance</c:v>
                </c:pt>
              </c:strCache>
            </c:strRef>
          </c:tx>
          <c:spPr>
            <a:solidFill>
              <a:srgbClr val="CC6677"/>
            </a:solidFill>
            <a:ln>
              <a:noFill/>
            </a:ln>
            <a:effectLst/>
          </c:spPr>
          <c:invertIfNegative val="0"/>
          <c:cat>
            <c:strRef>
              <c:f>'7c'!$U$2:$U$6</c:f>
              <c:strCache>
                <c:ptCount val="5"/>
                <c:pt idx="0">
                  <c:v>strongly disagree</c:v>
                </c:pt>
                <c:pt idx="1">
                  <c:v>somewhat disagree</c:v>
                </c:pt>
                <c:pt idx="2">
                  <c:v>neither</c:v>
                </c:pt>
                <c:pt idx="3">
                  <c:v>somewhat agree</c:v>
                </c:pt>
                <c:pt idx="4">
                  <c:v>strongly agree</c:v>
                </c:pt>
              </c:strCache>
            </c:strRef>
          </c:cat>
          <c:val>
            <c:numRef>
              <c:f>'7c'!$W$2:$W$6</c:f>
              <c:numCache>
                <c:formatCode>General</c:formatCode>
                <c:ptCount val="5"/>
                <c:pt idx="0">
                  <c:v>33</c:v>
                </c:pt>
                <c:pt idx="1">
                  <c:v>17</c:v>
                </c:pt>
                <c:pt idx="2">
                  <c:v>51</c:v>
                </c:pt>
                <c:pt idx="3">
                  <c:v>51</c:v>
                </c:pt>
                <c:pt idx="4">
                  <c:v>109</c:v>
                </c:pt>
              </c:numCache>
            </c:numRef>
          </c:val>
          <c:extLst>
            <c:ext xmlns:c16="http://schemas.microsoft.com/office/drawing/2014/chart" uri="{C3380CC4-5D6E-409C-BE32-E72D297353CC}">
              <c16:uniqueId val="{00000001-751C-42DF-B6DE-130B2805203B}"/>
            </c:ext>
          </c:extLst>
        </c:ser>
        <c:dLbls>
          <c:showLegendKey val="0"/>
          <c:showVal val="0"/>
          <c:showCatName val="0"/>
          <c:showSerName val="0"/>
          <c:showPercent val="0"/>
          <c:showBubbleSize val="0"/>
        </c:dLbls>
        <c:gapWidth val="130"/>
        <c:overlap val="-27"/>
        <c:axId val="276746336"/>
        <c:axId val="276746664"/>
      </c:barChart>
      <c:catAx>
        <c:axId val="27674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664"/>
        <c:crosses val="autoZero"/>
        <c:auto val="1"/>
        <c:lblAlgn val="ctr"/>
        <c:lblOffset val="100"/>
        <c:noMultiLvlLbl val="0"/>
      </c:catAx>
      <c:valAx>
        <c:axId val="276746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3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Data are compatible /</a:t>
            </a:r>
            <a:r>
              <a:rPr lang="en-GB" baseline="0"/>
              <a:t> interoperable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'7c'!$Z$1</c:f>
              <c:strCache>
                <c:ptCount val="1"/>
                <c:pt idx="0">
                  <c:v>currently</c:v>
                </c:pt>
              </c:strCache>
            </c:strRef>
          </c:tx>
          <c:spPr>
            <a:solidFill>
              <a:srgbClr val="88CCEE"/>
            </a:solidFill>
            <a:ln>
              <a:noFill/>
            </a:ln>
            <a:effectLst/>
          </c:spPr>
          <c:invertIfNegative val="0"/>
          <c:cat>
            <c:strRef>
              <c:f>'7c'!$Y$2:$Y$6</c:f>
              <c:strCache>
                <c:ptCount val="5"/>
                <c:pt idx="0">
                  <c:v>strongly disagree</c:v>
                </c:pt>
                <c:pt idx="1">
                  <c:v>somewhat disagree</c:v>
                </c:pt>
                <c:pt idx="2">
                  <c:v>neither</c:v>
                </c:pt>
                <c:pt idx="3">
                  <c:v>somewhat agree</c:v>
                </c:pt>
                <c:pt idx="4">
                  <c:v>strongly agree</c:v>
                </c:pt>
              </c:strCache>
            </c:strRef>
          </c:cat>
          <c:val>
            <c:numRef>
              <c:f>'7c'!$Z$2:$Z$6</c:f>
              <c:numCache>
                <c:formatCode>General</c:formatCode>
                <c:ptCount val="5"/>
                <c:pt idx="0">
                  <c:v>24</c:v>
                </c:pt>
                <c:pt idx="1">
                  <c:v>30</c:v>
                </c:pt>
                <c:pt idx="2">
                  <c:v>75</c:v>
                </c:pt>
                <c:pt idx="3">
                  <c:v>54</c:v>
                </c:pt>
                <c:pt idx="4">
                  <c:v>78</c:v>
                </c:pt>
              </c:numCache>
            </c:numRef>
          </c:val>
          <c:extLst>
            <c:ext xmlns:c16="http://schemas.microsoft.com/office/drawing/2014/chart" uri="{C3380CC4-5D6E-409C-BE32-E72D297353CC}">
              <c16:uniqueId val="{00000000-5270-4D28-94DF-B40158589CC3}"/>
            </c:ext>
          </c:extLst>
        </c:ser>
        <c:ser>
          <c:idx val="1"/>
          <c:order val="1"/>
          <c:tx>
            <c:strRef>
              <c:f>'7c'!$AA$1</c:f>
              <c:strCache>
                <c:ptCount val="1"/>
                <c:pt idx="0">
                  <c:v>importance</c:v>
                </c:pt>
              </c:strCache>
            </c:strRef>
          </c:tx>
          <c:spPr>
            <a:solidFill>
              <a:srgbClr val="CC6677"/>
            </a:solidFill>
            <a:ln>
              <a:noFill/>
            </a:ln>
            <a:effectLst/>
          </c:spPr>
          <c:invertIfNegative val="0"/>
          <c:cat>
            <c:strRef>
              <c:f>'7c'!$Y$2:$Y$6</c:f>
              <c:strCache>
                <c:ptCount val="5"/>
                <c:pt idx="0">
                  <c:v>strongly disagree</c:v>
                </c:pt>
                <c:pt idx="1">
                  <c:v>somewhat disagree</c:v>
                </c:pt>
                <c:pt idx="2">
                  <c:v>neither</c:v>
                </c:pt>
                <c:pt idx="3">
                  <c:v>somewhat agree</c:v>
                </c:pt>
                <c:pt idx="4">
                  <c:v>strongly agree</c:v>
                </c:pt>
              </c:strCache>
            </c:strRef>
          </c:cat>
          <c:val>
            <c:numRef>
              <c:f>'7c'!$AA$2:$AA$6</c:f>
              <c:numCache>
                <c:formatCode>General</c:formatCode>
                <c:ptCount val="5"/>
                <c:pt idx="0">
                  <c:v>27</c:v>
                </c:pt>
                <c:pt idx="1">
                  <c:v>21</c:v>
                </c:pt>
                <c:pt idx="2">
                  <c:v>85</c:v>
                </c:pt>
                <c:pt idx="3">
                  <c:v>54</c:v>
                </c:pt>
                <c:pt idx="4">
                  <c:v>74</c:v>
                </c:pt>
              </c:numCache>
            </c:numRef>
          </c:val>
          <c:extLst>
            <c:ext xmlns:c16="http://schemas.microsoft.com/office/drawing/2014/chart" uri="{C3380CC4-5D6E-409C-BE32-E72D297353CC}">
              <c16:uniqueId val="{00000001-5270-4D28-94DF-B40158589CC3}"/>
            </c:ext>
          </c:extLst>
        </c:ser>
        <c:dLbls>
          <c:showLegendKey val="0"/>
          <c:showVal val="0"/>
          <c:showCatName val="0"/>
          <c:showSerName val="0"/>
          <c:showPercent val="0"/>
          <c:showBubbleSize val="0"/>
        </c:dLbls>
        <c:gapWidth val="130"/>
        <c:overlap val="-27"/>
        <c:axId val="276746336"/>
        <c:axId val="276746664"/>
      </c:barChart>
      <c:catAx>
        <c:axId val="27674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664"/>
        <c:crosses val="autoZero"/>
        <c:auto val="1"/>
        <c:lblAlgn val="ctr"/>
        <c:lblOffset val="100"/>
        <c:noMultiLvlLbl val="0"/>
      </c:catAx>
      <c:valAx>
        <c:axId val="276746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3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Data are reusable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'7c'!$AD$1</c:f>
              <c:strCache>
                <c:ptCount val="1"/>
                <c:pt idx="0">
                  <c:v>currently</c:v>
                </c:pt>
              </c:strCache>
            </c:strRef>
          </c:tx>
          <c:spPr>
            <a:solidFill>
              <a:srgbClr val="88CCEE"/>
            </a:solidFill>
            <a:ln>
              <a:noFill/>
            </a:ln>
            <a:effectLst/>
          </c:spPr>
          <c:invertIfNegative val="0"/>
          <c:cat>
            <c:strRef>
              <c:f>'7c'!$AC$2:$AC$6</c:f>
              <c:strCache>
                <c:ptCount val="5"/>
                <c:pt idx="0">
                  <c:v>strongly disagree</c:v>
                </c:pt>
                <c:pt idx="1">
                  <c:v>somewhat disagree</c:v>
                </c:pt>
                <c:pt idx="2">
                  <c:v>neither</c:v>
                </c:pt>
                <c:pt idx="3">
                  <c:v>somewhat agree</c:v>
                </c:pt>
                <c:pt idx="4">
                  <c:v>strongly agree</c:v>
                </c:pt>
              </c:strCache>
            </c:strRef>
          </c:cat>
          <c:val>
            <c:numRef>
              <c:f>'7c'!$AD$2:$AD$6</c:f>
              <c:numCache>
                <c:formatCode>General</c:formatCode>
                <c:ptCount val="5"/>
                <c:pt idx="0">
                  <c:v>19</c:v>
                </c:pt>
                <c:pt idx="1">
                  <c:v>18</c:v>
                </c:pt>
                <c:pt idx="2">
                  <c:v>48</c:v>
                </c:pt>
                <c:pt idx="3">
                  <c:v>68</c:v>
                </c:pt>
                <c:pt idx="4">
                  <c:v>108</c:v>
                </c:pt>
              </c:numCache>
            </c:numRef>
          </c:val>
          <c:extLst>
            <c:ext xmlns:c16="http://schemas.microsoft.com/office/drawing/2014/chart" uri="{C3380CC4-5D6E-409C-BE32-E72D297353CC}">
              <c16:uniqueId val="{00000000-B514-436A-A49A-47F4C94C51E1}"/>
            </c:ext>
          </c:extLst>
        </c:ser>
        <c:ser>
          <c:idx val="1"/>
          <c:order val="1"/>
          <c:tx>
            <c:strRef>
              <c:f>'7c'!$AE$1</c:f>
              <c:strCache>
                <c:ptCount val="1"/>
                <c:pt idx="0">
                  <c:v>importance</c:v>
                </c:pt>
              </c:strCache>
            </c:strRef>
          </c:tx>
          <c:spPr>
            <a:solidFill>
              <a:srgbClr val="CC6677"/>
            </a:solidFill>
            <a:ln>
              <a:noFill/>
            </a:ln>
            <a:effectLst/>
          </c:spPr>
          <c:invertIfNegative val="0"/>
          <c:cat>
            <c:strRef>
              <c:f>'7c'!$AC$2:$AC$6</c:f>
              <c:strCache>
                <c:ptCount val="5"/>
                <c:pt idx="0">
                  <c:v>strongly disagree</c:v>
                </c:pt>
                <c:pt idx="1">
                  <c:v>somewhat disagree</c:v>
                </c:pt>
                <c:pt idx="2">
                  <c:v>neither</c:v>
                </c:pt>
                <c:pt idx="3">
                  <c:v>somewhat agree</c:v>
                </c:pt>
                <c:pt idx="4">
                  <c:v>strongly agree</c:v>
                </c:pt>
              </c:strCache>
            </c:strRef>
          </c:cat>
          <c:val>
            <c:numRef>
              <c:f>'7c'!$AE$2:$AE$6</c:f>
              <c:numCache>
                <c:formatCode>General</c:formatCode>
                <c:ptCount val="5"/>
                <c:pt idx="0">
                  <c:v>31</c:v>
                </c:pt>
                <c:pt idx="1">
                  <c:v>18</c:v>
                </c:pt>
                <c:pt idx="2">
                  <c:v>69</c:v>
                </c:pt>
                <c:pt idx="3">
                  <c:v>54</c:v>
                </c:pt>
                <c:pt idx="4">
                  <c:v>89</c:v>
                </c:pt>
              </c:numCache>
            </c:numRef>
          </c:val>
          <c:extLst>
            <c:ext xmlns:c16="http://schemas.microsoft.com/office/drawing/2014/chart" uri="{C3380CC4-5D6E-409C-BE32-E72D297353CC}">
              <c16:uniqueId val="{00000001-B514-436A-A49A-47F4C94C51E1}"/>
            </c:ext>
          </c:extLst>
        </c:ser>
        <c:dLbls>
          <c:showLegendKey val="0"/>
          <c:showVal val="0"/>
          <c:showCatName val="0"/>
          <c:showSerName val="0"/>
          <c:showPercent val="0"/>
          <c:showBubbleSize val="0"/>
        </c:dLbls>
        <c:gapWidth val="130"/>
        <c:overlap val="-27"/>
        <c:axId val="276746336"/>
        <c:axId val="276746664"/>
      </c:barChart>
      <c:catAx>
        <c:axId val="27674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664"/>
        <c:crosses val="autoZero"/>
        <c:auto val="1"/>
        <c:lblAlgn val="ctr"/>
        <c:lblOffset val="100"/>
        <c:noMultiLvlLbl val="0"/>
      </c:catAx>
      <c:valAx>
        <c:axId val="276746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3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Data are attributable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'7c'!$AH$1</c:f>
              <c:strCache>
                <c:ptCount val="1"/>
                <c:pt idx="0">
                  <c:v>currently</c:v>
                </c:pt>
              </c:strCache>
            </c:strRef>
          </c:tx>
          <c:spPr>
            <a:solidFill>
              <a:srgbClr val="88CCEE"/>
            </a:solidFill>
            <a:ln>
              <a:noFill/>
            </a:ln>
            <a:effectLst/>
          </c:spPr>
          <c:invertIfNegative val="0"/>
          <c:cat>
            <c:strRef>
              <c:f>'7c'!$AG$2:$AG$6</c:f>
              <c:strCache>
                <c:ptCount val="5"/>
                <c:pt idx="0">
                  <c:v>strongly disagree</c:v>
                </c:pt>
                <c:pt idx="1">
                  <c:v>somewhat disagree</c:v>
                </c:pt>
                <c:pt idx="2">
                  <c:v>neither</c:v>
                </c:pt>
                <c:pt idx="3">
                  <c:v>somewhat agree</c:v>
                </c:pt>
                <c:pt idx="4">
                  <c:v>strongly agree</c:v>
                </c:pt>
              </c:strCache>
            </c:strRef>
          </c:cat>
          <c:val>
            <c:numRef>
              <c:f>'7c'!$AH$2:$AH$6</c:f>
              <c:numCache>
                <c:formatCode>General</c:formatCode>
                <c:ptCount val="5"/>
                <c:pt idx="0">
                  <c:v>26</c:v>
                </c:pt>
                <c:pt idx="1">
                  <c:v>38</c:v>
                </c:pt>
                <c:pt idx="2">
                  <c:v>75</c:v>
                </c:pt>
                <c:pt idx="3">
                  <c:v>59</c:v>
                </c:pt>
                <c:pt idx="4">
                  <c:v>63</c:v>
                </c:pt>
              </c:numCache>
            </c:numRef>
          </c:val>
          <c:extLst>
            <c:ext xmlns:c16="http://schemas.microsoft.com/office/drawing/2014/chart" uri="{C3380CC4-5D6E-409C-BE32-E72D297353CC}">
              <c16:uniqueId val="{00000000-B4BD-4AA1-B394-7525365C8BD6}"/>
            </c:ext>
          </c:extLst>
        </c:ser>
        <c:ser>
          <c:idx val="1"/>
          <c:order val="1"/>
          <c:tx>
            <c:strRef>
              <c:f>'7c'!$AI$1</c:f>
              <c:strCache>
                <c:ptCount val="1"/>
                <c:pt idx="0">
                  <c:v>importance</c:v>
                </c:pt>
              </c:strCache>
            </c:strRef>
          </c:tx>
          <c:spPr>
            <a:solidFill>
              <a:srgbClr val="CC6677"/>
            </a:solidFill>
            <a:ln>
              <a:noFill/>
            </a:ln>
            <a:effectLst/>
          </c:spPr>
          <c:invertIfNegative val="0"/>
          <c:cat>
            <c:strRef>
              <c:f>'7c'!$AG$2:$AG$6</c:f>
              <c:strCache>
                <c:ptCount val="5"/>
                <c:pt idx="0">
                  <c:v>strongly disagree</c:v>
                </c:pt>
                <c:pt idx="1">
                  <c:v>somewhat disagree</c:v>
                </c:pt>
                <c:pt idx="2">
                  <c:v>neither</c:v>
                </c:pt>
                <c:pt idx="3">
                  <c:v>somewhat agree</c:v>
                </c:pt>
                <c:pt idx="4">
                  <c:v>strongly agree</c:v>
                </c:pt>
              </c:strCache>
            </c:strRef>
          </c:cat>
          <c:val>
            <c:numRef>
              <c:f>'7c'!$AI$2:$AI$6</c:f>
              <c:numCache>
                <c:formatCode>General</c:formatCode>
                <c:ptCount val="5"/>
                <c:pt idx="0">
                  <c:v>28</c:v>
                </c:pt>
                <c:pt idx="1">
                  <c:v>21</c:v>
                </c:pt>
                <c:pt idx="2">
                  <c:v>56</c:v>
                </c:pt>
                <c:pt idx="3">
                  <c:v>65</c:v>
                </c:pt>
                <c:pt idx="4">
                  <c:v>91</c:v>
                </c:pt>
              </c:numCache>
            </c:numRef>
          </c:val>
          <c:extLst>
            <c:ext xmlns:c16="http://schemas.microsoft.com/office/drawing/2014/chart" uri="{C3380CC4-5D6E-409C-BE32-E72D297353CC}">
              <c16:uniqueId val="{00000001-B4BD-4AA1-B394-7525365C8BD6}"/>
            </c:ext>
          </c:extLst>
        </c:ser>
        <c:dLbls>
          <c:showLegendKey val="0"/>
          <c:showVal val="0"/>
          <c:showCatName val="0"/>
          <c:showSerName val="0"/>
          <c:showPercent val="0"/>
          <c:showBubbleSize val="0"/>
        </c:dLbls>
        <c:gapWidth val="130"/>
        <c:overlap val="-27"/>
        <c:axId val="276746336"/>
        <c:axId val="276746664"/>
      </c:barChart>
      <c:catAx>
        <c:axId val="27674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664"/>
        <c:crosses val="autoZero"/>
        <c:auto val="1"/>
        <c:lblAlgn val="ctr"/>
        <c:lblOffset val="100"/>
        <c:noMultiLvlLbl val="0"/>
      </c:catAx>
      <c:valAx>
        <c:axId val="276746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3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Data are complete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'7c'!$AL$1</c:f>
              <c:strCache>
                <c:ptCount val="1"/>
                <c:pt idx="0">
                  <c:v>currently</c:v>
                </c:pt>
              </c:strCache>
            </c:strRef>
          </c:tx>
          <c:spPr>
            <a:solidFill>
              <a:srgbClr val="88CCEE"/>
            </a:solidFill>
            <a:ln>
              <a:noFill/>
            </a:ln>
            <a:effectLst/>
          </c:spPr>
          <c:invertIfNegative val="0"/>
          <c:cat>
            <c:strRef>
              <c:f>'7c'!$AK$2:$AK$6</c:f>
              <c:strCache>
                <c:ptCount val="5"/>
                <c:pt idx="0">
                  <c:v>strongly disagree</c:v>
                </c:pt>
                <c:pt idx="1">
                  <c:v>somewhat disagree</c:v>
                </c:pt>
                <c:pt idx="2">
                  <c:v>neither</c:v>
                </c:pt>
                <c:pt idx="3">
                  <c:v>somewhat agree</c:v>
                </c:pt>
                <c:pt idx="4">
                  <c:v>strongly agree</c:v>
                </c:pt>
              </c:strCache>
            </c:strRef>
          </c:cat>
          <c:val>
            <c:numRef>
              <c:f>'7c'!$AL$2:$AL$6</c:f>
              <c:numCache>
                <c:formatCode>General</c:formatCode>
                <c:ptCount val="5"/>
                <c:pt idx="0">
                  <c:v>19</c:v>
                </c:pt>
                <c:pt idx="1">
                  <c:v>39</c:v>
                </c:pt>
                <c:pt idx="2">
                  <c:v>73</c:v>
                </c:pt>
                <c:pt idx="3">
                  <c:v>72</c:v>
                </c:pt>
                <c:pt idx="4">
                  <c:v>58</c:v>
                </c:pt>
              </c:numCache>
            </c:numRef>
          </c:val>
          <c:extLst>
            <c:ext xmlns:c16="http://schemas.microsoft.com/office/drawing/2014/chart" uri="{C3380CC4-5D6E-409C-BE32-E72D297353CC}">
              <c16:uniqueId val="{00000000-57A7-46DD-8B04-6C142B149133}"/>
            </c:ext>
          </c:extLst>
        </c:ser>
        <c:ser>
          <c:idx val="1"/>
          <c:order val="1"/>
          <c:tx>
            <c:strRef>
              <c:f>'7c'!$AM$1</c:f>
              <c:strCache>
                <c:ptCount val="1"/>
                <c:pt idx="0">
                  <c:v>importance</c:v>
                </c:pt>
              </c:strCache>
            </c:strRef>
          </c:tx>
          <c:spPr>
            <a:solidFill>
              <a:srgbClr val="CC6677"/>
            </a:solidFill>
            <a:ln>
              <a:noFill/>
            </a:ln>
            <a:effectLst/>
          </c:spPr>
          <c:invertIfNegative val="0"/>
          <c:cat>
            <c:strRef>
              <c:f>'7c'!$AK$2:$AK$6</c:f>
              <c:strCache>
                <c:ptCount val="5"/>
                <c:pt idx="0">
                  <c:v>strongly disagree</c:v>
                </c:pt>
                <c:pt idx="1">
                  <c:v>somewhat disagree</c:v>
                </c:pt>
                <c:pt idx="2">
                  <c:v>neither</c:v>
                </c:pt>
                <c:pt idx="3">
                  <c:v>somewhat agree</c:v>
                </c:pt>
                <c:pt idx="4">
                  <c:v>strongly agree</c:v>
                </c:pt>
              </c:strCache>
            </c:strRef>
          </c:cat>
          <c:val>
            <c:numRef>
              <c:f>'7c'!$AM$2:$AM$6</c:f>
              <c:numCache>
                <c:formatCode>General</c:formatCode>
                <c:ptCount val="5"/>
                <c:pt idx="0">
                  <c:v>25</c:v>
                </c:pt>
                <c:pt idx="1">
                  <c:v>20</c:v>
                </c:pt>
                <c:pt idx="2">
                  <c:v>56</c:v>
                </c:pt>
                <c:pt idx="3">
                  <c:v>68</c:v>
                </c:pt>
                <c:pt idx="4">
                  <c:v>92</c:v>
                </c:pt>
              </c:numCache>
            </c:numRef>
          </c:val>
          <c:extLst>
            <c:ext xmlns:c16="http://schemas.microsoft.com/office/drawing/2014/chart" uri="{C3380CC4-5D6E-409C-BE32-E72D297353CC}">
              <c16:uniqueId val="{00000001-57A7-46DD-8B04-6C142B149133}"/>
            </c:ext>
          </c:extLst>
        </c:ser>
        <c:dLbls>
          <c:showLegendKey val="0"/>
          <c:showVal val="0"/>
          <c:showCatName val="0"/>
          <c:showSerName val="0"/>
          <c:showPercent val="0"/>
          <c:showBubbleSize val="0"/>
        </c:dLbls>
        <c:gapWidth val="130"/>
        <c:overlap val="-27"/>
        <c:axId val="276746336"/>
        <c:axId val="276746664"/>
      </c:barChart>
      <c:catAx>
        <c:axId val="27674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664"/>
        <c:crosses val="autoZero"/>
        <c:auto val="1"/>
        <c:lblAlgn val="ctr"/>
        <c:lblOffset val="100"/>
        <c:noMultiLvlLbl val="0"/>
      </c:catAx>
      <c:valAx>
        <c:axId val="276746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3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ubbleChart>
        <c:varyColors val="0"/>
        <c:ser>
          <c:idx val="1"/>
          <c:order val="0"/>
          <c:tx>
            <c:strRef>
              <c:f>'1bis'!$K$1</c:f>
              <c:strCache>
                <c:ptCount val="1"/>
                <c:pt idx="0">
                  <c:v>mouse</c:v>
                </c:pt>
              </c:strCache>
            </c:strRef>
          </c:tx>
          <c:spPr>
            <a:solidFill>
              <a:schemeClr val="accent1">
                <a:shade val="76000"/>
                <a:alpha val="75000"/>
              </a:schemeClr>
            </a:solidFill>
            <a:ln>
              <a:noFill/>
            </a:ln>
            <a:effectLst/>
          </c:spPr>
          <c:invertIfNegative val="0"/>
          <c:xVal>
            <c:numRef>
              <c:f>'1bis'!$F$2:$F$31</c:f>
              <c:numCache>
                <c:formatCode>General</c:formatCode>
                <c:ptCount val="30"/>
                <c:pt idx="0">
                  <c:v>2.5</c:v>
                </c:pt>
                <c:pt idx="1">
                  <c:v>2.5</c:v>
                </c:pt>
                <c:pt idx="2">
                  <c:v>2.5</c:v>
                </c:pt>
                <c:pt idx="3">
                  <c:v>2.5</c:v>
                </c:pt>
                <c:pt idx="4">
                  <c:v>2.5</c:v>
                </c:pt>
                <c:pt idx="5">
                  <c:v>2.5</c:v>
                </c:pt>
                <c:pt idx="6">
                  <c:v>6.5</c:v>
                </c:pt>
                <c:pt idx="7">
                  <c:v>6.5</c:v>
                </c:pt>
                <c:pt idx="8">
                  <c:v>6.5</c:v>
                </c:pt>
                <c:pt idx="9">
                  <c:v>6.5</c:v>
                </c:pt>
                <c:pt idx="10">
                  <c:v>6.5</c:v>
                </c:pt>
                <c:pt idx="11">
                  <c:v>6.5</c:v>
                </c:pt>
                <c:pt idx="12">
                  <c:v>10.5</c:v>
                </c:pt>
                <c:pt idx="13">
                  <c:v>10.5</c:v>
                </c:pt>
                <c:pt idx="14">
                  <c:v>10.5</c:v>
                </c:pt>
                <c:pt idx="15">
                  <c:v>10.5</c:v>
                </c:pt>
                <c:pt idx="16">
                  <c:v>10.5</c:v>
                </c:pt>
                <c:pt idx="17">
                  <c:v>10.5</c:v>
                </c:pt>
                <c:pt idx="18">
                  <c:v>14.5</c:v>
                </c:pt>
                <c:pt idx="19">
                  <c:v>14.5</c:v>
                </c:pt>
                <c:pt idx="20">
                  <c:v>14.5</c:v>
                </c:pt>
                <c:pt idx="21">
                  <c:v>14.5</c:v>
                </c:pt>
                <c:pt idx="22">
                  <c:v>14.5</c:v>
                </c:pt>
                <c:pt idx="23">
                  <c:v>14.5</c:v>
                </c:pt>
                <c:pt idx="24">
                  <c:v>18.5</c:v>
                </c:pt>
                <c:pt idx="25">
                  <c:v>18.5</c:v>
                </c:pt>
                <c:pt idx="26">
                  <c:v>18.5</c:v>
                </c:pt>
                <c:pt idx="27">
                  <c:v>18.5</c:v>
                </c:pt>
                <c:pt idx="28">
                  <c:v>18.5</c:v>
                </c:pt>
                <c:pt idx="29">
                  <c:v>18.5</c:v>
                </c:pt>
              </c:numCache>
            </c:numRef>
          </c:xVal>
          <c:yVal>
            <c:numRef>
              <c:f>'1bis'!$G$2:$G$31</c:f>
              <c:numCache>
                <c:formatCode>General</c:formatCode>
                <c:ptCount val="30"/>
                <c:pt idx="0">
                  <c:v>10</c:v>
                </c:pt>
                <c:pt idx="1">
                  <c:v>30</c:v>
                </c:pt>
                <c:pt idx="2">
                  <c:v>50</c:v>
                </c:pt>
                <c:pt idx="3">
                  <c:v>70</c:v>
                </c:pt>
                <c:pt idx="4">
                  <c:v>90</c:v>
                </c:pt>
                <c:pt idx="5">
                  <c:v>110</c:v>
                </c:pt>
                <c:pt idx="6">
                  <c:v>10</c:v>
                </c:pt>
                <c:pt idx="7">
                  <c:v>30</c:v>
                </c:pt>
                <c:pt idx="8">
                  <c:v>50</c:v>
                </c:pt>
                <c:pt idx="9">
                  <c:v>70</c:v>
                </c:pt>
                <c:pt idx="10">
                  <c:v>90</c:v>
                </c:pt>
                <c:pt idx="11">
                  <c:v>110</c:v>
                </c:pt>
                <c:pt idx="12">
                  <c:v>10</c:v>
                </c:pt>
                <c:pt idx="13">
                  <c:v>30</c:v>
                </c:pt>
                <c:pt idx="14">
                  <c:v>50</c:v>
                </c:pt>
                <c:pt idx="15">
                  <c:v>70</c:v>
                </c:pt>
                <c:pt idx="16">
                  <c:v>90</c:v>
                </c:pt>
                <c:pt idx="17">
                  <c:v>110</c:v>
                </c:pt>
                <c:pt idx="18">
                  <c:v>10</c:v>
                </c:pt>
                <c:pt idx="19">
                  <c:v>30</c:v>
                </c:pt>
                <c:pt idx="20">
                  <c:v>50</c:v>
                </c:pt>
                <c:pt idx="21">
                  <c:v>70</c:v>
                </c:pt>
                <c:pt idx="22">
                  <c:v>90</c:v>
                </c:pt>
                <c:pt idx="23">
                  <c:v>110</c:v>
                </c:pt>
                <c:pt idx="24">
                  <c:v>10</c:v>
                </c:pt>
                <c:pt idx="25">
                  <c:v>30</c:v>
                </c:pt>
                <c:pt idx="26">
                  <c:v>50</c:v>
                </c:pt>
                <c:pt idx="27">
                  <c:v>70</c:v>
                </c:pt>
                <c:pt idx="28">
                  <c:v>90</c:v>
                </c:pt>
                <c:pt idx="29">
                  <c:v>110</c:v>
                </c:pt>
              </c:numCache>
            </c:numRef>
          </c:yVal>
          <c:bubbleSize>
            <c:numRef>
              <c:f>'1bis'!$K$2:$K$31</c:f>
              <c:numCache>
                <c:formatCode>General</c:formatCode>
                <c:ptCount val="30"/>
                <c:pt idx="0">
                  <c:v>6</c:v>
                </c:pt>
                <c:pt idx="1">
                  <c:v>5</c:v>
                </c:pt>
                <c:pt idx="2">
                  <c:v>0</c:v>
                </c:pt>
                <c:pt idx="3">
                  <c:v>0</c:v>
                </c:pt>
                <c:pt idx="4">
                  <c:v>0</c:v>
                </c:pt>
                <c:pt idx="5">
                  <c:v>0</c:v>
                </c:pt>
                <c:pt idx="6">
                  <c:v>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0</c:v>
                </c:pt>
              </c:numCache>
            </c:numRef>
          </c:bubbleSize>
          <c:bubble3D val="0"/>
          <c:extLst>
            <c:ext xmlns:c16="http://schemas.microsoft.com/office/drawing/2014/chart" uri="{C3380CC4-5D6E-409C-BE32-E72D297353CC}">
              <c16:uniqueId val="{00000000-0D28-47F8-A7F3-BCED766F50BF}"/>
            </c:ext>
          </c:extLst>
        </c:ser>
        <c:dLbls>
          <c:showLegendKey val="0"/>
          <c:showVal val="0"/>
          <c:showCatName val="0"/>
          <c:showSerName val="0"/>
          <c:showPercent val="0"/>
          <c:showBubbleSize val="0"/>
        </c:dLbls>
        <c:bubbleScale val="100"/>
        <c:showNegBubbles val="0"/>
        <c:axId val="502056536"/>
        <c:axId val="502054240"/>
      </c:bubbleChart>
      <c:valAx>
        <c:axId val="5020565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staff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2054240"/>
        <c:crosses val="autoZero"/>
        <c:crossBetween val="midCat"/>
      </c:valAx>
      <c:valAx>
        <c:axId val="50205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users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2056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Data cannot get lost / orphaned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'7c'!$R$1</c:f>
              <c:strCache>
                <c:ptCount val="1"/>
                <c:pt idx="0">
                  <c:v>currently</c:v>
                </c:pt>
              </c:strCache>
            </c:strRef>
          </c:tx>
          <c:spPr>
            <a:solidFill>
              <a:srgbClr val="88CCEE"/>
            </a:solidFill>
            <a:ln>
              <a:noFill/>
            </a:ln>
            <a:effectLst/>
          </c:spPr>
          <c:invertIfNegative val="0"/>
          <c:cat>
            <c:strRef>
              <c:f>'7c'!$Q$2:$Q$6</c:f>
              <c:strCache>
                <c:ptCount val="5"/>
                <c:pt idx="0">
                  <c:v>strongly disagree</c:v>
                </c:pt>
                <c:pt idx="1">
                  <c:v>somewhat disagree</c:v>
                </c:pt>
                <c:pt idx="2">
                  <c:v>neither</c:v>
                </c:pt>
                <c:pt idx="3">
                  <c:v>somewhat agree</c:v>
                </c:pt>
                <c:pt idx="4">
                  <c:v>strongly agree</c:v>
                </c:pt>
              </c:strCache>
            </c:strRef>
          </c:cat>
          <c:val>
            <c:numRef>
              <c:f>'7c'!$R$2:$R$6</c:f>
              <c:numCache>
                <c:formatCode>General</c:formatCode>
                <c:ptCount val="5"/>
                <c:pt idx="0">
                  <c:v>19</c:v>
                </c:pt>
                <c:pt idx="1">
                  <c:v>23</c:v>
                </c:pt>
                <c:pt idx="2">
                  <c:v>38</c:v>
                </c:pt>
                <c:pt idx="3">
                  <c:v>55</c:v>
                </c:pt>
                <c:pt idx="4">
                  <c:v>69</c:v>
                </c:pt>
              </c:numCache>
            </c:numRef>
          </c:val>
          <c:extLst>
            <c:ext xmlns:c16="http://schemas.microsoft.com/office/drawing/2014/chart" uri="{C3380CC4-5D6E-409C-BE32-E72D297353CC}">
              <c16:uniqueId val="{00000000-5725-48CA-B977-940281EB29DC}"/>
            </c:ext>
          </c:extLst>
        </c:ser>
        <c:ser>
          <c:idx val="1"/>
          <c:order val="1"/>
          <c:tx>
            <c:strRef>
              <c:f>'7c'!$S$1</c:f>
              <c:strCache>
                <c:ptCount val="1"/>
                <c:pt idx="0">
                  <c:v>importance</c:v>
                </c:pt>
              </c:strCache>
            </c:strRef>
          </c:tx>
          <c:spPr>
            <a:solidFill>
              <a:srgbClr val="CC6677"/>
            </a:solidFill>
            <a:ln>
              <a:noFill/>
            </a:ln>
            <a:effectLst/>
          </c:spPr>
          <c:invertIfNegative val="0"/>
          <c:cat>
            <c:strRef>
              <c:f>'7c'!$Q$2:$Q$6</c:f>
              <c:strCache>
                <c:ptCount val="5"/>
                <c:pt idx="0">
                  <c:v>strongly disagree</c:v>
                </c:pt>
                <c:pt idx="1">
                  <c:v>somewhat disagree</c:v>
                </c:pt>
                <c:pt idx="2">
                  <c:v>neither</c:v>
                </c:pt>
                <c:pt idx="3">
                  <c:v>somewhat agree</c:v>
                </c:pt>
                <c:pt idx="4">
                  <c:v>strongly agree</c:v>
                </c:pt>
              </c:strCache>
            </c:strRef>
          </c:cat>
          <c:val>
            <c:numRef>
              <c:f>'7c'!$S$2:$S$6</c:f>
              <c:numCache>
                <c:formatCode>General</c:formatCode>
                <c:ptCount val="5"/>
                <c:pt idx="0">
                  <c:v>27</c:v>
                </c:pt>
                <c:pt idx="1">
                  <c:v>16</c:v>
                </c:pt>
                <c:pt idx="2">
                  <c:v>29</c:v>
                </c:pt>
                <c:pt idx="3">
                  <c:v>32</c:v>
                </c:pt>
                <c:pt idx="4">
                  <c:v>100</c:v>
                </c:pt>
              </c:numCache>
            </c:numRef>
          </c:val>
          <c:extLst>
            <c:ext xmlns:c16="http://schemas.microsoft.com/office/drawing/2014/chart" uri="{C3380CC4-5D6E-409C-BE32-E72D297353CC}">
              <c16:uniqueId val="{00000001-5725-48CA-B977-940281EB29DC}"/>
            </c:ext>
          </c:extLst>
        </c:ser>
        <c:dLbls>
          <c:showLegendKey val="0"/>
          <c:showVal val="0"/>
          <c:showCatName val="0"/>
          <c:showSerName val="0"/>
          <c:showPercent val="0"/>
          <c:showBubbleSize val="0"/>
        </c:dLbls>
        <c:gapWidth val="130"/>
        <c:overlap val="-27"/>
        <c:axId val="276746336"/>
        <c:axId val="276746664"/>
      </c:barChart>
      <c:catAx>
        <c:axId val="27674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664"/>
        <c:crosses val="autoZero"/>
        <c:auto val="1"/>
        <c:lblAlgn val="ctr"/>
        <c:lblOffset val="100"/>
        <c:noMultiLvlLbl val="0"/>
      </c:catAx>
      <c:valAx>
        <c:axId val="276746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3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Data management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'7c'!$AO$2</c:f>
              <c:strCache>
                <c:ptCount val="1"/>
                <c:pt idx="0">
                  <c:v>strongly disagree</c:v>
                </c:pt>
              </c:strCache>
            </c:strRef>
          </c:tx>
          <c:spPr>
            <a:solidFill>
              <a:srgbClr val="FF0000"/>
            </a:solidFill>
            <a:ln>
              <a:noFill/>
            </a:ln>
            <a:effectLst/>
          </c:spPr>
          <c:invertIfNegative val="0"/>
          <c:cat>
            <c:strRef>
              <c:f>'7c'!$AP$1:$AU$1</c:f>
              <c:strCache>
                <c:ptCount val="6"/>
                <c:pt idx="0">
                  <c:v>Data cannot get lost / orphaned</c:v>
                </c:pt>
                <c:pt idx="1">
                  <c:v>Data are searchable and findable</c:v>
                </c:pt>
                <c:pt idx="2">
                  <c:v>Data are compatible / interoperable on another device/software </c:v>
                </c:pt>
                <c:pt idx="3">
                  <c:v>Data are reusable</c:v>
                </c:pt>
                <c:pt idx="4">
                  <c:v>Data are attributable</c:v>
                </c:pt>
                <c:pt idx="5">
                  <c:v>Data are complete and all data included</c:v>
                </c:pt>
              </c:strCache>
            </c:strRef>
          </c:cat>
          <c:val>
            <c:numRef>
              <c:f>'7c'!$AP$2:$AU$2</c:f>
              <c:numCache>
                <c:formatCode>General</c:formatCode>
                <c:ptCount val="6"/>
                <c:pt idx="0">
                  <c:v>19</c:v>
                </c:pt>
                <c:pt idx="1">
                  <c:v>25</c:v>
                </c:pt>
                <c:pt idx="2">
                  <c:v>24</c:v>
                </c:pt>
                <c:pt idx="3">
                  <c:v>19</c:v>
                </c:pt>
                <c:pt idx="4">
                  <c:v>26</c:v>
                </c:pt>
                <c:pt idx="5">
                  <c:v>19</c:v>
                </c:pt>
              </c:numCache>
            </c:numRef>
          </c:val>
          <c:extLst>
            <c:ext xmlns:c16="http://schemas.microsoft.com/office/drawing/2014/chart" uri="{C3380CC4-5D6E-409C-BE32-E72D297353CC}">
              <c16:uniqueId val="{00000000-C44A-4A3A-ABB3-3E157221088F}"/>
            </c:ext>
          </c:extLst>
        </c:ser>
        <c:ser>
          <c:idx val="1"/>
          <c:order val="1"/>
          <c:tx>
            <c:strRef>
              <c:f>'7c'!$AO$3</c:f>
              <c:strCache>
                <c:ptCount val="1"/>
                <c:pt idx="0">
                  <c:v>somewhat disagree</c:v>
                </c:pt>
              </c:strCache>
            </c:strRef>
          </c:tx>
          <c:spPr>
            <a:solidFill>
              <a:srgbClr val="FF9933"/>
            </a:solidFill>
            <a:ln>
              <a:noFill/>
            </a:ln>
            <a:effectLst/>
          </c:spPr>
          <c:invertIfNegative val="0"/>
          <c:cat>
            <c:strRef>
              <c:f>'7c'!$AP$1:$AU$1</c:f>
              <c:strCache>
                <c:ptCount val="6"/>
                <c:pt idx="0">
                  <c:v>Data cannot get lost / orphaned</c:v>
                </c:pt>
                <c:pt idx="1">
                  <c:v>Data are searchable and findable</c:v>
                </c:pt>
                <c:pt idx="2">
                  <c:v>Data are compatible / interoperable on another device/software </c:v>
                </c:pt>
                <c:pt idx="3">
                  <c:v>Data are reusable</c:v>
                </c:pt>
                <c:pt idx="4">
                  <c:v>Data are attributable</c:v>
                </c:pt>
                <c:pt idx="5">
                  <c:v>Data are complete and all data included</c:v>
                </c:pt>
              </c:strCache>
            </c:strRef>
          </c:cat>
          <c:val>
            <c:numRef>
              <c:f>'7c'!$AP$3:$AU$3</c:f>
              <c:numCache>
                <c:formatCode>General</c:formatCode>
                <c:ptCount val="6"/>
                <c:pt idx="0">
                  <c:v>23</c:v>
                </c:pt>
                <c:pt idx="1">
                  <c:v>37</c:v>
                </c:pt>
                <c:pt idx="2">
                  <c:v>30</c:v>
                </c:pt>
                <c:pt idx="3">
                  <c:v>18</c:v>
                </c:pt>
                <c:pt idx="4">
                  <c:v>38</c:v>
                </c:pt>
                <c:pt idx="5">
                  <c:v>39</c:v>
                </c:pt>
              </c:numCache>
            </c:numRef>
          </c:val>
          <c:extLst>
            <c:ext xmlns:c16="http://schemas.microsoft.com/office/drawing/2014/chart" uri="{C3380CC4-5D6E-409C-BE32-E72D297353CC}">
              <c16:uniqueId val="{00000001-C44A-4A3A-ABB3-3E157221088F}"/>
            </c:ext>
          </c:extLst>
        </c:ser>
        <c:ser>
          <c:idx val="2"/>
          <c:order val="2"/>
          <c:tx>
            <c:strRef>
              <c:f>'7c'!$AO$4</c:f>
              <c:strCache>
                <c:ptCount val="1"/>
                <c:pt idx="0">
                  <c:v>neither</c:v>
                </c:pt>
              </c:strCache>
            </c:strRef>
          </c:tx>
          <c:spPr>
            <a:solidFill>
              <a:srgbClr val="FFC000"/>
            </a:solidFill>
            <a:ln>
              <a:noFill/>
            </a:ln>
            <a:effectLst/>
          </c:spPr>
          <c:invertIfNegative val="0"/>
          <c:cat>
            <c:strRef>
              <c:f>'7c'!$AP$1:$AU$1</c:f>
              <c:strCache>
                <c:ptCount val="6"/>
                <c:pt idx="0">
                  <c:v>Data cannot get lost / orphaned</c:v>
                </c:pt>
                <c:pt idx="1">
                  <c:v>Data are searchable and findable</c:v>
                </c:pt>
                <c:pt idx="2">
                  <c:v>Data are compatible / interoperable on another device/software </c:v>
                </c:pt>
                <c:pt idx="3">
                  <c:v>Data are reusable</c:v>
                </c:pt>
                <c:pt idx="4">
                  <c:v>Data are attributable</c:v>
                </c:pt>
                <c:pt idx="5">
                  <c:v>Data are complete and all data included</c:v>
                </c:pt>
              </c:strCache>
            </c:strRef>
          </c:cat>
          <c:val>
            <c:numRef>
              <c:f>'7c'!$AP$4:$AU$4</c:f>
              <c:numCache>
                <c:formatCode>General</c:formatCode>
                <c:ptCount val="6"/>
                <c:pt idx="0">
                  <c:v>38</c:v>
                </c:pt>
                <c:pt idx="1">
                  <c:v>55</c:v>
                </c:pt>
                <c:pt idx="2">
                  <c:v>75</c:v>
                </c:pt>
                <c:pt idx="3">
                  <c:v>48</c:v>
                </c:pt>
                <c:pt idx="4">
                  <c:v>75</c:v>
                </c:pt>
                <c:pt idx="5">
                  <c:v>73</c:v>
                </c:pt>
              </c:numCache>
            </c:numRef>
          </c:val>
          <c:extLst>
            <c:ext xmlns:c16="http://schemas.microsoft.com/office/drawing/2014/chart" uri="{C3380CC4-5D6E-409C-BE32-E72D297353CC}">
              <c16:uniqueId val="{00000002-C44A-4A3A-ABB3-3E157221088F}"/>
            </c:ext>
          </c:extLst>
        </c:ser>
        <c:ser>
          <c:idx val="3"/>
          <c:order val="3"/>
          <c:tx>
            <c:strRef>
              <c:f>'7c'!$AO$5</c:f>
              <c:strCache>
                <c:ptCount val="1"/>
                <c:pt idx="0">
                  <c:v>somewhat agree</c:v>
                </c:pt>
              </c:strCache>
            </c:strRef>
          </c:tx>
          <c:spPr>
            <a:solidFill>
              <a:schemeClr val="accent5">
                <a:lumMod val="40000"/>
                <a:lumOff val="60000"/>
              </a:schemeClr>
            </a:solidFill>
            <a:ln>
              <a:noFill/>
            </a:ln>
            <a:effectLst/>
          </c:spPr>
          <c:invertIfNegative val="0"/>
          <c:cat>
            <c:strRef>
              <c:f>'7c'!$AP$1:$AU$1</c:f>
              <c:strCache>
                <c:ptCount val="6"/>
                <c:pt idx="0">
                  <c:v>Data cannot get lost / orphaned</c:v>
                </c:pt>
                <c:pt idx="1">
                  <c:v>Data are searchable and findable</c:v>
                </c:pt>
                <c:pt idx="2">
                  <c:v>Data are compatible / interoperable on another device/software </c:v>
                </c:pt>
                <c:pt idx="3">
                  <c:v>Data are reusable</c:v>
                </c:pt>
                <c:pt idx="4">
                  <c:v>Data are attributable</c:v>
                </c:pt>
                <c:pt idx="5">
                  <c:v>Data are complete and all data included</c:v>
                </c:pt>
              </c:strCache>
            </c:strRef>
          </c:cat>
          <c:val>
            <c:numRef>
              <c:f>'7c'!$AP$5:$AU$5</c:f>
              <c:numCache>
                <c:formatCode>General</c:formatCode>
                <c:ptCount val="6"/>
                <c:pt idx="0">
                  <c:v>55</c:v>
                </c:pt>
                <c:pt idx="1">
                  <c:v>59</c:v>
                </c:pt>
                <c:pt idx="2">
                  <c:v>54</c:v>
                </c:pt>
                <c:pt idx="3">
                  <c:v>68</c:v>
                </c:pt>
                <c:pt idx="4">
                  <c:v>59</c:v>
                </c:pt>
                <c:pt idx="5">
                  <c:v>72</c:v>
                </c:pt>
              </c:numCache>
            </c:numRef>
          </c:val>
          <c:extLst>
            <c:ext xmlns:c16="http://schemas.microsoft.com/office/drawing/2014/chart" uri="{C3380CC4-5D6E-409C-BE32-E72D297353CC}">
              <c16:uniqueId val="{00000003-C44A-4A3A-ABB3-3E157221088F}"/>
            </c:ext>
          </c:extLst>
        </c:ser>
        <c:ser>
          <c:idx val="4"/>
          <c:order val="4"/>
          <c:tx>
            <c:strRef>
              <c:f>'7c'!$AO$6</c:f>
              <c:strCache>
                <c:ptCount val="1"/>
                <c:pt idx="0">
                  <c:v>strongly agree</c:v>
                </c:pt>
              </c:strCache>
            </c:strRef>
          </c:tx>
          <c:spPr>
            <a:solidFill>
              <a:schemeClr val="accent1"/>
            </a:solidFill>
            <a:ln>
              <a:noFill/>
            </a:ln>
            <a:effectLst/>
          </c:spPr>
          <c:invertIfNegative val="0"/>
          <c:cat>
            <c:strRef>
              <c:f>'7c'!$AP$1:$AU$1</c:f>
              <c:strCache>
                <c:ptCount val="6"/>
                <c:pt idx="0">
                  <c:v>Data cannot get lost / orphaned</c:v>
                </c:pt>
                <c:pt idx="1">
                  <c:v>Data are searchable and findable</c:v>
                </c:pt>
                <c:pt idx="2">
                  <c:v>Data are compatible / interoperable on another device/software </c:v>
                </c:pt>
                <c:pt idx="3">
                  <c:v>Data are reusable</c:v>
                </c:pt>
                <c:pt idx="4">
                  <c:v>Data are attributable</c:v>
                </c:pt>
                <c:pt idx="5">
                  <c:v>Data are complete and all data included</c:v>
                </c:pt>
              </c:strCache>
            </c:strRef>
          </c:cat>
          <c:val>
            <c:numRef>
              <c:f>'7c'!$AP$6:$AU$6</c:f>
              <c:numCache>
                <c:formatCode>General</c:formatCode>
                <c:ptCount val="6"/>
                <c:pt idx="0">
                  <c:v>69</c:v>
                </c:pt>
                <c:pt idx="1">
                  <c:v>85</c:v>
                </c:pt>
                <c:pt idx="2">
                  <c:v>78</c:v>
                </c:pt>
                <c:pt idx="3">
                  <c:v>108</c:v>
                </c:pt>
                <c:pt idx="4">
                  <c:v>63</c:v>
                </c:pt>
                <c:pt idx="5">
                  <c:v>58</c:v>
                </c:pt>
              </c:numCache>
            </c:numRef>
          </c:val>
          <c:extLst>
            <c:ext xmlns:c16="http://schemas.microsoft.com/office/drawing/2014/chart" uri="{C3380CC4-5D6E-409C-BE32-E72D297353CC}">
              <c16:uniqueId val="{00000004-C44A-4A3A-ABB3-3E157221088F}"/>
            </c:ext>
          </c:extLst>
        </c:ser>
        <c:dLbls>
          <c:showLegendKey val="0"/>
          <c:showVal val="0"/>
          <c:showCatName val="0"/>
          <c:showSerName val="0"/>
          <c:showPercent val="0"/>
          <c:showBubbleSize val="0"/>
        </c:dLbls>
        <c:gapWidth val="130"/>
        <c:overlap val="100"/>
        <c:axId val="1322153072"/>
        <c:axId val="1292029328"/>
      </c:barChart>
      <c:catAx>
        <c:axId val="1322153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92029328"/>
        <c:crosses val="autoZero"/>
        <c:auto val="1"/>
        <c:lblAlgn val="ctr"/>
        <c:lblOffset val="100"/>
        <c:noMultiLvlLbl val="0"/>
      </c:catAx>
      <c:valAx>
        <c:axId val="12920293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221530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Lab book maintained by: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6CCEE"/>
              </a:solidFill>
              <a:ln>
                <a:noFill/>
              </a:ln>
              <a:effectLst/>
            </c:spPr>
            <c:extLst>
              <c:ext xmlns:c16="http://schemas.microsoft.com/office/drawing/2014/chart" uri="{C3380CC4-5D6E-409C-BE32-E72D297353CC}">
                <c16:uniqueId val="{00000000-5639-40BB-84EC-3456AFA5982D}"/>
              </c:ext>
            </c:extLst>
          </c:dPt>
          <c:dPt>
            <c:idx val="1"/>
            <c:invertIfNegative val="0"/>
            <c:bubble3D val="0"/>
            <c:spPr>
              <a:solidFill>
                <a:srgbClr val="AA3377"/>
              </a:solidFill>
              <a:ln>
                <a:noFill/>
              </a:ln>
              <a:effectLst/>
            </c:spPr>
            <c:extLst>
              <c:ext xmlns:c16="http://schemas.microsoft.com/office/drawing/2014/chart" uri="{C3380CC4-5D6E-409C-BE32-E72D297353CC}">
                <c16:uniqueId val="{00000001-5639-40BB-84EC-3456AFA5982D}"/>
              </c:ext>
            </c:extLst>
          </c:dPt>
          <c:dPt>
            <c:idx val="2"/>
            <c:invertIfNegative val="0"/>
            <c:bubble3D val="0"/>
            <c:spPr>
              <a:solidFill>
                <a:srgbClr val="FF7C80"/>
              </a:solidFill>
              <a:ln>
                <a:noFill/>
              </a:ln>
              <a:effectLst/>
            </c:spPr>
            <c:extLst>
              <c:ext xmlns:c16="http://schemas.microsoft.com/office/drawing/2014/chart" uri="{C3380CC4-5D6E-409C-BE32-E72D297353CC}">
                <c16:uniqueId val="{00000002-5639-40BB-84EC-3456AFA5982D}"/>
              </c:ext>
            </c:extLst>
          </c:dPt>
          <c:cat>
            <c:strRef>
              <c:f>'8'!$G$2:$G$4</c:f>
              <c:strCache>
                <c:ptCount val="3"/>
                <c:pt idx="0">
                  <c:v>the core facility</c:v>
                </c:pt>
                <c:pt idx="1">
                  <c:v>both</c:v>
                </c:pt>
                <c:pt idx="2">
                  <c:v>the user</c:v>
                </c:pt>
              </c:strCache>
            </c:strRef>
          </c:cat>
          <c:val>
            <c:numRef>
              <c:f>'8'!$H$2:$H$4</c:f>
              <c:numCache>
                <c:formatCode>General</c:formatCode>
                <c:ptCount val="3"/>
                <c:pt idx="0">
                  <c:v>99</c:v>
                </c:pt>
                <c:pt idx="1">
                  <c:v>80</c:v>
                </c:pt>
                <c:pt idx="2">
                  <c:v>81</c:v>
                </c:pt>
              </c:numCache>
            </c:numRef>
          </c:val>
          <c:extLst>
            <c:ext xmlns:c16="http://schemas.microsoft.com/office/drawing/2014/chart" uri="{C3380CC4-5D6E-409C-BE32-E72D297353CC}">
              <c16:uniqueId val="{00000000-0688-4CAE-8E33-339B2AE9B6F5}"/>
            </c:ext>
          </c:extLst>
        </c:ser>
        <c:dLbls>
          <c:showLegendKey val="0"/>
          <c:showVal val="0"/>
          <c:showCatName val="0"/>
          <c:showSerName val="0"/>
          <c:showPercent val="0"/>
          <c:showBubbleSize val="0"/>
        </c:dLbls>
        <c:gapWidth val="130"/>
        <c:overlap val="-27"/>
        <c:axId val="468362768"/>
        <c:axId val="468363752"/>
      </c:barChart>
      <c:catAx>
        <c:axId val="46836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8363752"/>
        <c:crosses val="autoZero"/>
        <c:auto val="1"/>
        <c:lblAlgn val="ctr"/>
        <c:lblOffset val="100"/>
        <c:noMultiLvlLbl val="0"/>
      </c:catAx>
      <c:valAx>
        <c:axId val="4683637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8362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Is there</a:t>
            </a:r>
            <a:r>
              <a:rPr lang="en-GB" baseline="0"/>
              <a:t> enough documentation?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'8'!$V$2:$V$4</c:f>
              <c:strCache>
                <c:ptCount val="3"/>
                <c:pt idx="0">
                  <c:v>Yes</c:v>
                </c:pt>
                <c:pt idx="1">
                  <c:v>No</c:v>
                </c:pt>
                <c:pt idx="2">
                  <c:v>I do not know</c:v>
                </c:pt>
              </c:strCache>
            </c:strRef>
          </c:cat>
          <c:val>
            <c:numRef>
              <c:f>'8'!$W$2:$W$4</c:f>
              <c:numCache>
                <c:formatCode>General</c:formatCode>
                <c:ptCount val="3"/>
                <c:pt idx="0">
                  <c:v>121</c:v>
                </c:pt>
                <c:pt idx="1">
                  <c:v>56</c:v>
                </c:pt>
                <c:pt idx="2">
                  <c:v>83</c:v>
                </c:pt>
              </c:numCache>
            </c:numRef>
          </c:val>
          <c:extLst>
            <c:ext xmlns:c16="http://schemas.microsoft.com/office/drawing/2014/chart" uri="{C3380CC4-5D6E-409C-BE32-E72D297353CC}">
              <c16:uniqueId val="{00000000-2B19-4C22-B024-964A7A102905}"/>
            </c:ext>
          </c:extLst>
        </c:ser>
        <c:dLbls>
          <c:showLegendKey val="0"/>
          <c:showVal val="0"/>
          <c:showCatName val="0"/>
          <c:showSerName val="0"/>
          <c:showPercent val="0"/>
          <c:showBubbleSize val="0"/>
        </c:dLbls>
        <c:gapWidth val="130"/>
        <c:overlap val="-27"/>
        <c:axId val="468385400"/>
        <c:axId val="468379496"/>
      </c:barChart>
      <c:catAx>
        <c:axId val="468385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8379496"/>
        <c:crosses val="autoZero"/>
        <c:auto val="1"/>
        <c:lblAlgn val="ctr"/>
        <c:lblOffset val="100"/>
        <c:noMultiLvlLbl val="0"/>
      </c:catAx>
      <c:valAx>
        <c:axId val="468379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83854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Lab book maintained by:</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rgbClr val="66CCEE"/>
              </a:solidFill>
              <a:ln w="19050">
                <a:solidFill>
                  <a:schemeClr val="lt1"/>
                </a:solidFill>
              </a:ln>
              <a:effectLst/>
            </c:spPr>
            <c:extLst>
              <c:ext xmlns:c16="http://schemas.microsoft.com/office/drawing/2014/chart" uri="{C3380CC4-5D6E-409C-BE32-E72D297353CC}">
                <c16:uniqueId val="{00000001-4D6D-481D-8556-872F6C6F6441}"/>
              </c:ext>
            </c:extLst>
          </c:dPt>
          <c:dPt>
            <c:idx val="1"/>
            <c:bubble3D val="0"/>
            <c:spPr>
              <a:solidFill>
                <a:srgbClr val="AA3377"/>
              </a:solidFill>
              <a:ln w="19050">
                <a:solidFill>
                  <a:schemeClr val="lt1"/>
                </a:solidFill>
              </a:ln>
              <a:effectLst/>
            </c:spPr>
            <c:extLst>
              <c:ext xmlns:c16="http://schemas.microsoft.com/office/drawing/2014/chart" uri="{C3380CC4-5D6E-409C-BE32-E72D297353CC}">
                <c16:uniqueId val="{00000003-4D6D-481D-8556-872F6C6F6441}"/>
              </c:ext>
            </c:extLst>
          </c:dPt>
          <c:dPt>
            <c:idx val="2"/>
            <c:bubble3D val="0"/>
            <c:spPr>
              <a:solidFill>
                <a:srgbClr val="FF7C80"/>
              </a:solidFill>
              <a:ln w="19050">
                <a:solidFill>
                  <a:schemeClr val="lt1"/>
                </a:solidFill>
              </a:ln>
              <a:effectLst/>
            </c:spPr>
            <c:extLst>
              <c:ext xmlns:c16="http://schemas.microsoft.com/office/drawing/2014/chart" uri="{C3380CC4-5D6E-409C-BE32-E72D297353CC}">
                <c16:uniqueId val="{00000005-4D6D-481D-8556-872F6C6F6441}"/>
              </c:ext>
            </c:extLst>
          </c:dPt>
          <c:dLbls>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dLblPos val="bestFit"/>
              <c:showLegendKey val="0"/>
              <c:showVal val="0"/>
              <c:showCatName val="0"/>
              <c:showSerName val="0"/>
              <c:showPercent val="1"/>
              <c:showBubbleSize val="0"/>
              <c:extLst>
                <c:ext xmlns:c16="http://schemas.microsoft.com/office/drawing/2014/chart" uri="{C3380CC4-5D6E-409C-BE32-E72D297353CC}">
                  <c16:uniqueId val="{00000003-4D6D-481D-8556-872F6C6F64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'8'!$G$2:$G$4</c:f>
              <c:strCache>
                <c:ptCount val="3"/>
                <c:pt idx="0">
                  <c:v>the core facility</c:v>
                </c:pt>
                <c:pt idx="1">
                  <c:v>both</c:v>
                </c:pt>
                <c:pt idx="2">
                  <c:v>the user</c:v>
                </c:pt>
              </c:strCache>
            </c:strRef>
          </c:cat>
          <c:val>
            <c:numRef>
              <c:f>'8'!$H$2:$H$4</c:f>
              <c:numCache>
                <c:formatCode>General</c:formatCode>
                <c:ptCount val="3"/>
                <c:pt idx="0">
                  <c:v>99</c:v>
                </c:pt>
                <c:pt idx="1">
                  <c:v>80</c:v>
                </c:pt>
                <c:pt idx="2">
                  <c:v>81</c:v>
                </c:pt>
              </c:numCache>
            </c:numRef>
          </c:val>
          <c:extLst>
            <c:ext xmlns:c16="http://schemas.microsoft.com/office/drawing/2014/chart" uri="{C3380CC4-5D6E-409C-BE32-E72D297353CC}">
              <c16:uniqueId val="{00000006-4D6D-481D-8556-872F6C6F6441}"/>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Is there enough documentation?</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F2-4FB3-8BE9-538F91B067F8}"/>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76F2-4FB3-8BE9-538F91B067F8}"/>
              </c:ext>
            </c:extLst>
          </c:dPt>
          <c:dPt>
            <c:idx val="2"/>
            <c:bubble3D val="0"/>
            <c:spPr>
              <a:solidFill>
                <a:srgbClr val="BBBBBB"/>
              </a:solidFill>
              <a:ln w="19050">
                <a:solidFill>
                  <a:schemeClr val="lt1"/>
                </a:solidFill>
              </a:ln>
              <a:effectLst/>
            </c:spPr>
            <c:extLst>
              <c:ext xmlns:c16="http://schemas.microsoft.com/office/drawing/2014/chart" uri="{C3380CC4-5D6E-409C-BE32-E72D297353CC}">
                <c16:uniqueId val="{00000005-76F2-4FB3-8BE9-538F91B067F8}"/>
              </c:ext>
            </c:extLst>
          </c:dPt>
          <c:cat>
            <c:strRef>
              <c:f>'8'!$V$2:$V$4</c:f>
              <c:strCache>
                <c:ptCount val="3"/>
                <c:pt idx="0">
                  <c:v>Yes</c:v>
                </c:pt>
                <c:pt idx="1">
                  <c:v>No</c:v>
                </c:pt>
                <c:pt idx="2">
                  <c:v>I do not know</c:v>
                </c:pt>
              </c:strCache>
            </c:strRef>
          </c:cat>
          <c:val>
            <c:numRef>
              <c:f>'8'!$W$2:$W$4</c:f>
              <c:numCache>
                <c:formatCode>General</c:formatCode>
                <c:ptCount val="3"/>
                <c:pt idx="0">
                  <c:v>121</c:v>
                </c:pt>
                <c:pt idx="1">
                  <c:v>56</c:v>
                </c:pt>
                <c:pt idx="2">
                  <c:v>83</c:v>
                </c:pt>
              </c:numCache>
            </c:numRef>
          </c:val>
          <c:extLst>
            <c:ext xmlns:c16="http://schemas.microsoft.com/office/drawing/2014/chart" uri="{C3380CC4-5D6E-409C-BE32-E72D297353CC}">
              <c16:uniqueId val="{00000006-76F2-4FB3-8BE9-538F91B067F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Lab book maintained by:</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'8'!$G$2</c:f>
              <c:strCache>
                <c:ptCount val="1"/>
                <c:pt idx="0">
                  <c:v>the core facility</c:v>
                </c:pt>
              </c:strCache>
            </c:strRef>
          </c:tx>
          <c:spPr>
            <a:solidFill>
              <a:srgbClr val="66CCEE"/>
            </a:solidFill>
            <a:ln>
              <a:noFill/>
            </a:ln>
            <a:effectLst/>
          </c:spPr>
          <c:invertIfNegative val="0"/>
          <c:cat>
            <c:strRef>
              <c:f>'8'!$I$1:$K$1</c:f>
              <c:strCache>
                <c:ptCount val="3"/>
                <c:pt idx="0">
                  <c:v>full-service</c:v>
                </c:pt>
                <c:pt idx="1">
                  <c:v>hybrid-service</c:v>
                </c:pt>
                <c:pt idx="2">
                  <c:v>self-service</c:v>
                </c:pt>
              </c:strCache>
            </c:strRef>
          </c:cat>
          <c:val>
            <c:numRef>
              <c:f>'8'!$I$2:$K$2</c:f>
              <c:numCache>
                <c:formatCode>General</c:formatCode>
                <c:ptCount val="3"/>
                <c:pt idx="0">
                  <c:v>56</c:v>
                </c:pt>
                <c:pt idx="1">
                  <c:v>42</c:v>
                </c:pt>
                <c:pt idx="2">
                  <c:v>1</c:v>
                </c:pt>
              </c:numCache>
            </c:numRef>
          </c:val>
          <c:extLst>
            <c:ext xmlns:c16="http://schemas.microsoft.com/office/drawing/2014/chart" uri="{C3380CC4-5D6E-409C-BE32-E72D297353CC}">
              <c16:uniqueId val="{00000000-1349-43F6-BD85-799452D273DE}"/>
            </c:ext>
          </c:extLst>
        </c:ser>
        <c:ser>
          <c:idx val="1"/>
          <c:order val="1"/>
          <c:tx>
            <c:strRef>
              <c:f>'8'!$G$3</c:f>
              <c:strCache>
                <c:ptCount val="1"/>
                <c:pt idx="0">
                  <c:v>both</c:v>
                </c:pt>
              </c:strCache>
            </c:strRef>
          </c:tx>
          <c:spPr>
            <a:solidFill>
              <a:srgbClr val="AA3377"/>
            </a:solidFill>
            <a:ln>
              <a:noFill/>
            </a:ln>
            <a:effectLst/>
          </c:spPr>
          <c:invertIfNegative val="0"/>
          <c:cat>
            <c:strRef>
              <c:f>'8'!$I$1:$K$1</c:f>
              <c:strCache>
                <c:ptCount val="3"/>
                <c:pt idx="0">
                  <c:v>full-service</c:v>
                </c:pt>
                <c:pt idx="1">
                  <c:v>hybrid-service</c:v>
                </c:pt>
                <c:pt idx="2">
                  <c:v>self-service</c:v>
                </c:pt>
              </c:strCache>
            </c:strRef>
          </c:cat>
          <c:val>
            <c:numRef>
              <c:f>'8'!$I$3:$K$3</c:f>
              <c:numCache>
                <c:formatCode>General</c:formatCode>
                <c:ptCount val="3"/>
                <c:pt idx="0">
                  <c:v>9</c:v>
                </c:pt>
                <c:pt idx="1">
                  <c:v>65</c:v>
                </c:pt>
                <c:pt idx="2">
                  <c:v>6</c:v>
                </c:pt>
              </c:numCache>
            </c:numRef>
          </c:val>
          <c:extLst>
            <c:ext xmlns:c16="http://schemas.microsoft.com/office/drawing/2014/chart" uri="{C3380CC4-5D6E-409C-BE32-E72D297353CC}">
              <c16:uniqueId val="{00000001-1349-43F6-BD85-799452D273DE}"/>
            </c:ext>
          </c:extLst>
        </c:ser>
        <c:ser>
          <c:idx val="2"/>
          <c:order val="2"/>
          <c:tx>
            <c:strRef>
              <c:f>'8'!$G$4</c:f>
              <c:strCache>
                <c:ptCount val="1"/>
                <c:pt idx="0">
                  <c:v>the user</c:v>
                </c:pt>
              </c:strCache>
            </c:strRef>
          </c:tx>
          <c:spPr>
            <a:solidFill>
              <a:srgbClr val="FF7C80"/>
            </a:solidFill>
            <a:ln>
              <a:noFill/>
            </a:ln>
            <a:effectLst/>
          </c:spPr>
          <c:invertIfNegative val="0"/>
          <c:cat>
            <c:strRef>
              <c:f>'8'!$I$1:$K$1</c:f>
              <c:strCache>
                <c:ptCount val="3"/>
                <c:pt idx="0">
                  <c:v>full-service</c:v>
                </c:pt>
                <c:pt idx="1">
                  <c:v>hybrid-service</c:v>
                </c:pt>
                <c:pt idx="2">
                  <c:v>self-service</c:v>
                </c:pt>
              </c:strCache>
            </c:strRef>
          </c:cat>
          <c:val>
            <c:numRef>
              <c:f>'8'!$I$4:$K$4</c:f>
              <c:numCache>
                <c:formatCode>General</c:formatCode>
                <c:ptCount val="3"/>
                <c:pt idx="0">
                  <c:v>3</c:v>
                </c:pt>
                <c:pt idx="1">
                  <c:v>58</c:v>
                </c:pt>
                <c:pt idx="2">
                  <c:v>20</c:v>
                </c:pt>
              </c:numCache>
            </c:numRef>
          </c:val>
          <c:extLst>
            <c:ext xmlns:c16="http://schemas.microsoft.com/office/drawing/2014/chart" uri="{C3380CC4-5D6E-409C-BE32-E72D297353CC}">
              <c16:uniqueId val="{00000002-1349-43F6-BD85-799452D273DE}"/>
            </c:ext>
          </c:extLst>
        </c:ser>
        <c:dLbls>
          <c:showLegendKey val="0"/>
          <c:showVal val="0"/>
          <c:showCatName val="0"/>
          <c:showSerName val="0"/>
          <c:showPercent val="0"/>
          <c:showBubbleSize val="0"/>
        </c:dLbls>
        <c:gapWidth val="130"/>
        <c:overlap val="100"/>
        <c:axId val="572273704"/>
        <c:axId val="572278624"/>
      </c:barChart>
      <c:catAx>
        <c:axId val="57227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2278624"/>
        <c:crosses val="autoZero"/>
        <c:auto val="1"/>
        <c:lblAlgn val="ctr"/>
        <c:lblOffset val="100"/>
        <c:noMultiLvlLbl val="0"/>
      </c:catAx>
      <c:valAx>
        <c:axId val="572278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2273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Is there enough documentation?</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'8'!$V$2</c:f>
              <c:strCache>
                <c:ptCount val="1"/>
                <c:pt idx="0">
                  <c:v>Yes</c:v>
                </c:pt>
              </c:strCache>
            </c:strRef>
          </c:tx>
          <c:spPr>
            <a:solidFill>
              <a:schemeClr val="accent1"/>
            </a:solidFill>
            <a:ln>
              <a:noFill/>
            </a:ln>
            <a:effectLst/>
          </c:spPr>
          <c:invertIfNegative val="0"/>
          <c:cat>
            <c:strRef>
              <c:f>'8'!$X$1:$Z$1</c:f>
              <c:strCache>
                <c:ptCount val="3"/>
                <c:pt idx="0">
                  <c:v>full-service</c:v>
                </c:pt>
                <c:pt idx="1">
                  <c:v>hybrid-service</c:v>
                </c:pt>
                <c:pt idx="2">
                  <c:v>self-service</c:v>
                </c:pt>
              </c:strCache>
            </c:strRef>
          </c:cat>
          <c:val>
            <c:numRef>
              <c:f>'8'!$X$2:$Z$2</c:f>
              <c:numCache>
                <c:formatCode>General</c:formatCode>
                <c:ptCount val="3"/>
                <c:pt idx="0">
                  <c:v>46</c:v>
                </c:pt>
                <c:pt idx="1">
                  <c:v>69</c:v>
                </c:pt>
                <c:pt idx="2">
                  <c:v>6</c:v>
                </c:pt>
              </c:numCache>
            </c:numRef>
          </c:val>
          <c:extLst>
            <c:ext xmlns:c16="http://schemas.microsoft.com/office/drawing/2014/chart" uri="{C3380CC4-5D6E-409C-BE32-E72D297353CC}">
              <c16:uniqueId val="{00000000-4F6F-4799-84EF-AE73CA33A1CB}"/>
            </c:ext>
          </c:extLst>
        </c:ser>
        <c:ser>
          <c:idx val="1"/>
          <c:order val="1"/>
          <c:tx>
            <c:strRef>
              <c:f>'8'!$V$3</c:f>
              <c:strCache>
                <c:ptCount val="1"/>
                <c:pt idx="0">
                  <c:v>No</c:v>
                </c:pt>
              </c:strCache>
            </c:strRef>
          </c:tx>
          <c:spPr>
            <a:solidFill>
              <a:srgbClr val="FF0000"/>
            </a:solidFill>
            <a:ln>
              <a:noFill/>
            </a:ln>
            <a:effectLst/>
          </c:spPr>
          <c:invertIfNegative val="0"/>
          <c:cat>
            <c:strRef>
              <c:f>'8'!$X$1:$Z$1</c:f>
              <c:strCache>
                <c:ptCount val="3"/>
                <c:pt idx="0">
                  <c:v>full-service</c:v>
                </c:pt>
                <c:pt idx="1">
                  <c:v>hybrid-service</c:v>
                </c:pt>
                <c:pt idx="2">
                  <c:v>self-service</c:v>
                </c:pt>
              </c:strCache>
            </c:strRef>
          </c:cat>
          <c:val>
            <c:numRef>
              <c:f>'8'!$X$3:$Z$3</c:f>
              <c:numCache>
                <c:formatCode>General</c:formatCode>
                <c:ptCount val="3"/>
                <c:pt idx="0">
                  <c:v>13</c:v>
                </c:pt>
                <c:pt idx="1">
                  <c:v>35</c:v>
                </c:pt>
                <c:pt idx="2">
                  <c:v>8</c:v>
                </c:pt>
              </c:numCache>
            </c:numRef>
          </c:val>
          <c:extLst>
            <c:ext xmlns:c16="http://schemas.microsoft.com/office/drawing/2014/chart" uri="{C3380CC4-5D6E-409C-BE32-E72D297353CC}">
              <c16:uniqueId val="{00000001-4F6F-4799-84EF-AE73CA33A1CB}"/>
            </c:ext>
          </c:extLst>
        </c:ser>
        <c:ser>
          <c:idx val="2"/>
          <c:order val="2"/>
          <c:tx>
            <c:strRef>
              <c:f>'8'!$V$4</c:f>
              <c:strCache>
                <c:ptCount val="1"/>
                <c:pt idx="0">
                  <c:v>I do not know</c:v>
                </c:pt>
              </c:strCache>
            </c:strRef>
          </c:tx>
          <c:spPr>
            <a:solidFill>
              <a:srgbClr val="BBBBBB"/>
            </a:solidFill>
            <a:ln>
              <a:noFill/>
            </a:ln>
            <a:effectLst/>
          </c:spPr>
          <c:invertIfNegative val="0"/>
          <c:cat>
            <c:strRef>
              <c:f>'8'!$X$1:$Z$1</c:f>
              <c:strCache>
                <c:ptCount val="3"/>
                <c:pt idx="0">
                  <c:v>full-service</c:v>
                </c:pt>
                <c:pt idx="1">
                  <c:v>hybrid-service</c:v>
                </c:pt>
                <c:pt idx="2">
                  <c:v>self-service</c:v>
                </c:pt>
              </c:strCache>
            </c:strRef>
          </c:cat>
          <c:val>
            <c:numRef>
              <c:f>'8'!$X$4:$Z$4</c:f>
              <c:numCache>
                <c:formatCode>General</c:formatCode>
                <c:ptCount val="3"/>
                <c:pt idx="0">
                  <c:v>9</c:v>
                </c:pt>
                <c:pt idx="1">
                  <c:v>61</c:v>
                </c:pt>
                <c:pt idx="2">
                  <c:v>13</c:v>
                </c:pt>
              </c:numCache>
            </c:numRef>
          </c:val>
          <c:extLst>
            <c:ext xmlns:c16="http://schemas.microsoft.com/office/drawing/2014/chart" uri="{C3380CC4-5D6E-409C-BE32-E72D297353CC}">
              <c16:uniqueId val="{00000002-4F6F-4799-84EF-AE73CA33A1CB}"/>
            </c:ext>
          </c:extLst>
        </c:ser>
        <c:dLbls>
          <c:showLegendKey val="0"/>
          <c:showVal val="0"/>
          <c:showCatName val="0"/>
          <c:showSerName val="0"/>
          <c:showPercent val="0"/>
          <c:showBubbleSize val="0"/>
        </c:dLbls>
        <c:gapWidth val="130"/>
        <c:overlap val="100"/>
        <c:axId val="354026440"/>
        <c:axId val="354027424"/>
      </c:barChart>
      <c:catAx>
        <c:axId val="354026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54027424"/>
        <c:crosses val="autoZero"/>
        <c:auto val="1"/>
        <c:lblAlgn val="ctr"/>
        <c:lblOffset val="100"/>
        <c:noMultiLvlLbl val="0"/>
      </c:catAx>
      <c:valAx>
        <c:axId val="354027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540264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Lab book maintained by:</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'8'!$G$2</c:f>
              <c:strCache>
                <c:ptCount val="1"/>
                <c:pt idx="0">
                  <c:v>the core facility</c:v>
                </c:pt>
              </c:strCache>
            </c:strRef>
          </c:tx>
          <c:spPr>
            <a:solidFill>
              <a:srgbClr val="66CCEE"/>
            </a:solidFill>
            <a:ln>
              <a:noFill/>
            </a:ln>
            <a:effectLst/>
          </c:spPr>
          <c:invertIfNegative val="0"/>
          <c:cat>
            <c:strRef>
              <c:f>'8'!$M$1:$T$1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'8'!$M$2:$T$2</c:f>
              <c:numCache>
                <c:formatCode>General</c:formatCode>
                <c:ptCount val="8"/>
                <c:pt idx="0">
                  <c:v>6</c:v>
                </c:pt>
                <c:pt idx="1">
                  <c:v>18</c:v>
                </c:pt>
                <c:pt idx="2">
                  <c:v>4</c:v>
                </c:pt>
                <c:pt idx="3">
                  <c:v>4</c:v>
                </c:pt>
                <c:pt idx="4">
                  <c:v>9</c:v>
                </c:pt>
                <c:pt idx="5">
                  <c:v>6</c:v>
                </c:pt>
                <c:pt idx="6">
                  <c:v>5</c:v>
                </c:pt>
                <c:pt idx="7">
                  <c:v>25</c:v>
                </c:pt>
              </c:numCache>
            </c:numRef>
          </c:val>
          <c:extLst>
            <c:ext xmlns:c16="http://schemas.microsoft.com/office/drawing/2014/chart" uri="{C3380CC4-5D6E-409C-BE32-E72D297353CC}">
              <c16:uniqueId val="{00000000-82DA-4729-BA3C-CD8F9CF3A28F}"/>
            </c:ext>
          </c:extLst>
        </c:ser>
        <c:ser>
          <c:idx val="1"/>
          <c:order val="1"/>
          <c:tx>
            <c:strRef>
              <c:f>'8'!$G$3</c:f>
              <c:strCache>
                <c:ptCount val="1"/>
                <c:pt idx="0">
                  <c:v>both</c:v>
                </c:pt>
              </c:strCache>
            </c:strRef>
          </c:tx>
          <c:spPr>
            <a:solidFill>
              <a:srgbClr val="AA3377"/>
            </a:solidFill>
            <a:ln>
              <a:noFill/>
            </a:ln>
            <a:effectLst/>
          </c:spPr>
          <c:invertIfNegative val="0"/>
          <c:cat>
            <c:strRef>
              <c:f>'8'!$M$1:$T$1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'8'!$M$3:$T$3</c:f>
              <c:numCache>
                <c:formatCode>General</c:formatCode>
                <c:ptCount val="8"/>
                <c:pt idx="0">
                  <c:v>15</c:v>
                </c:pt>
                <c:pt idx="1">
                  <c:v>12</c:v>
                </c:pt>
                <c:pt idx="2">
                  <c:v>3</c:v>
                </c:pt>
                <c:pt idx="3">
                  <c:v>2</c:v>
                </c:pt>
                <c:pt idx="4">
                  <c:v>17</c:v>
                </c:pt>
                <c:pt idx="5">
                  <c:v>3</c:v>
                </c:pt>
                <c:pt idx="6">
                  <c:v>2</c:v>
                </c:pt>
                <c:pt idx="7">
                  <c:v>8</c:v>
                </c:pt>
              </c:numCache>
            </c:numRef>
          </c:val>
          <c:extLst>
            <c:ext xmlns:c16="http://schemas.microsoft.com/office/drawing/2014/chart" uri="{C3380CC4-5D6E-409C-BE32-E72D297353CC}">
              <c16:uniqueId val="{00000001-82DA-4729-BA3C-CD8F9CF3A28F}"/>
            </c:ext>
          </c:extLst>
        </c:ser>
        <c:ser>
          <c:idx val="2"/>
          <c:order val="2"/>
          <c:tx>
            <c:strRef>
              <c:f>'8'!$G$4</c:f>
              <c:strCache>
                <c:ptCount val="1"/>
                <c:pt idx="0">
                  <c:v>the user</c:v>
                </c:pt>
              </c:strCache>
            </c:strRef>
          </c:tx>
          <c:spPr>
            <a:solidFill>
              <a:srgbClr val="FF7C80"/>
            </a:solidFill>
            <a:ln>
              <a:noFill/>
            </a:ln>
            <a:effectLst/>
          </c:spPr>
          <c:invertIfNegative val="0"/>
          <c:cat>
            <c:strRef>
              <c:f>'8'!$M$1:$T$1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'8'!$M$4:$T$4</c:f>
              <c:numCache>
                <c:formatCode>General</c:formatCode>
                <c:ptCount val="8"/>
                <c:pt idx="0">
                  <c:v>25</c:v>
                </c:pt>
                <c:pt idx="1">
                  <c:v>0</c:v>
                </c:pt>
                <c:pt idx="2">
                  <c:v>4</c:v>
                </c:pt>
                <c:pt idx="3">
                  <c:v>1</c:v>
                </c:pt>
                <c:pt idx="4">
                  <c:v>34</c:v>
                </c:pt>
                <c:pt idx="5">
                  <c:v>4</c:v>
                </c:pt>
                <c:pt idx="6">
                  <c:v>1</c:v>
                </c:pt>
                <c:pt idx="7">
                  <c:v>2</c:v>
                </c:pt>
              </c:numCache>
            </c:numRef>
          </c:val>
          <c:extLst>
            <c:ext xmlns:c16="http://schemas.microsoft.com/office/drawing/2014/chart" uri="{C3380CC4-5D6E-409C-BE32-E72D297353CC}">
              <c16:uniqueId val="{00000002-82DA-4729-BA3C-CD8F9CF3A28F}"/>
            </c:ext>
          </c:extLst>
        </c:ser>
        <c:dLbls>
          <c:showLegendKey val="0"/>
          <c:showVal val="0"/>
          <c:showCatName val="0"/>
          <c:showSerName val="0"/>
          <c:showPercent val="0"/>
          <c:showBubbleSize val="0"/>
        </c:dLbls>
        <c:gapWidth val="130"/>
        <c:overlap val="100"/>
        <c:axId val="570471616"/>
        <c:axId val="437328224"/>
      </c:barChart>
      <c:catAx>
        <c:axId val="57047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7328224"/>
        <c:crosses val="autoZero"/>
        <c:auto val="1"/>
        <c:lblAlgn val="ctr"/>
        <c:lblOffset val="100"/>
        <c:noMultiLvlLbl val="0"/>
      </c:catAx>
      <c:valAx>
        <c:axId val="437328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471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Is there enough documentation?</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'8'!$V$2</c:f>
              <c:strCache>
                <c:ptCount val="1"/>
                <c:pt idx="0">
                  <c:v>Yes</c:v>
                </c:pt>
              </c:strCache>
            </c:strRef>
          </c:tx>
          <c:spPr>
            <a:solidFill>
              <a:schemeClr val="accent1"/>
            </a:solidFill>
            <a:ln>
              <a:noFill/>
            </a:ln>
            <a:effectLst/>
          </c:spPr>
          <c:invertIfNegative val="0"/>
          <c:cat>
            <c:strRef>
              <c:f>'8'!$AC$1:$AJ$1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'8'!$AC$2:$AJ$2</c:f>
              <c:numCache>
                <c:formatCode>General</c:formatCode>
                <c:ptCount val="8"/>
                <c:pt idx="0">
                  <c:v>10</c:v>
                </c:pt>
                <c:pt idx="1">
                  <c:v>20</c:v>
                </c:pt>
                <c:pt idx="2">
                  <c:v>6</c:v>
                </c:pt>
                <c:pt idx="3">
                  <c:v>3</c:v>
                </c:pt>
                <c:pt idx="4">
                  <c:v>24</c:v>
                </c:pt>
                <c:pt idx="5">
                  <c:v>8</c:v>
                </c:pt>
                <c:pt idx="6">
                  <c:v>4</c:v>
                </c:pt>
                <c:pt idx="7">
                  <c:v>22</c:v>
                </c:pt>
              </c:numCache>
            </c:numRef>
          </c:val>
          <c:extLst>
            <c:ext xmlns:c16="http://schemas.microsoft.com/office/drawing/2014/chart" uri="{C3380CC4-5D6E-409C-BE32-E72D297353CC}">
              <c16:uniqueId val="{00000000-29FE-4E9B-9830-59A8F1495ACA}"/>
            </c:ext>
          </c:extLst>
        </c:ser>
        <c:ser>
          <c:idx val="1"/>
          <c:order val="1"/>
          <c:tx>
            <c:strRef>
              <c:f>'8'!$V$3</c:f>
              <c:strCache>
                <c:ptCount val="1"/>
                <c:pt idx="0">
                  <c:v>No</c:v>
                </c:pt>
              </c:strCache>
            </c:strRef>
          </c:tx>
          <c:spPr>
            <a:solidFill>
              <a:srgbClr val="FF0000"/>
            </a:solidFill>
            <a:ln>
              <a:noFill/>
            </a:ln>
            <a:effectLst/>
          </c:spPr>
          <c:invertIfNegative val="0"/>
          <c:cat>
            <c:strRef>
              <c:f>'8'!$AC$1:$AJ$1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'8'!$AC$3:$AJ$3</c:f>
              <c:numCache>
                <c:formatCode>General</c:formatCode>
                <c:ptCount val="8"/>
                <c:pt idx="0">
                  <c:v>8</c:v>
                </c:pt>
                <c:pt idx="1">
                  <c:v>4</c:v>
                </c:pt>
                <c:pt idx="2">
                  <c:v>2</c:v>
                </c:pt>
                <c:pt idx="3">
                  <c:v>1</c:v>
                </c:pt>
                <c:pt idx="4">
                  <c:v>12</c:v>
                </c:pt>
                <c:pt idx="5">
                  <c:v>2</c:v>
                </c:pt>
                <c:pt idx="6">
                  <c:v>2</c:v>
                </c:pt>
                <c:pt idx="7">
                  <c:v>10</c:v>
                </c:pt>
              </c:numCache>
            </c:numRef>
          </c:val>
          <c:extLst>
            <c:ext xmlns:c16="http://schemas.microsoft.com/office/drawing/2014/chart" uri="{C3380CC4-5D6E-409C-BE32-E72D297353CC}">
              <c16:uniqueId val="{00000001-29FE-4E9B-9830-59A8F1495ACA}"/>
            </c:ext>
          </c:extLst>
        </c:ser>
        <c:ser>
          <c:idx val="2"/>
          <c:order val="2"/>
          <c:tx>
            <c:strRef>
              <c:f>'8'!$V$4</c:f>
              <c:strCache>
                <c:ptCount val="1"/>
                <c:pt idx="0">
                  <c:v>I do not know</c:v>
                </c:pt>
              </c:strCache>
            </c:strRef>
          </c:tx>
          <c:spPr>
            <a:solidFill>
              <a:srgbClr val="BBBBBB"/>
            </a:solidFill>
            <a:ln>
              <a:noFill/>
            </a:ln>
            <a:effectLst/>
          </c:spPr>
          <c:invertIfNegative val="0"/>
          <c:cat>
            <c:strRef>
              <c:f>'8'!$AC$1:$AJ$1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'8'!$AC$4:$AJ$4</c:f>
              <c:numCache>
                <c:formatCode>General</c:formatCode>
                <c:ptCount val="8"/>
                <c:pt idx="0">
                  <c:v>28</c:v>
                </c:pt>
                <c:pt idx="1">
                  <c:v>6</c:v>
                </c:pt>
                <c:pt idx="2">
                  <c:v>3</c:v>
                </c:pt>
                <c:pt idx="3">
                  <c:v>3</c:v>
                </c:pt>
                <c:pt idx="4">
                  <c:v>24</c:v>
                </c:pt>
                <c:pt idx="5">
                  <c:v>3</c:v>
                </c:pt>
                <c:pt idx="6">
                  <c:v>2</c:v>
                </c:pt>
                <c:pt idx="7">
                  <c:v>3</c:v>
                </c:pt>
              </c:numCache>
            </c:numRef>
          </c:val>
          <c:extLst>
            <c:ext xmlns:c16="http://schemas.microsoft.com/office/drawing/2014/chart" uri="{C3380CC4-5D6E-409C-BE32-E72D297353CC}">
              <c16:uniqueId val="{00000002-29FE-4E9B-9830-59A8F1495ACA}"/>
            </c:ext>
          </c:extLst>
        </c:ser>
        <c:dLbls>
          <c:showLegendKey val="0"/>
          <c:showVal val="0"/>
          <c:showCatName val="0"/>
          <c:showSerName val="0"/>
          <c:showPercent val="0"/>
          <c:showBubbleSize val="0"/>
        </c:dLbls>
        <c:gapWidth val="130"/>
        <c:overlap val="100"/>
        <c:axId val="572880360"/>
        <c:axId val="572880688"/>
      </c:barChart>
      <c:catAx>
        <c:axId val="57288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2880688"/>
        <c:crosses val="autoZero"/>
        <c:auto val="1"/>
        <c:lblAlgn val="ctr"/>
        <c:lblOffset val="100"/>
        <c:noMultiLvlLbl val="0"/>
      </c:catAx>
      <c:valAx>
        <c:axId val="572880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2880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ubbleChart>
        <c:varyColors val="0"/>
        <c:ser>
          <c:idx val="0"/>
          <c:order val="0"/>
          <c:tx>
            <c:strRef>
              <c:f>'1bis'!$L$1</c:f>
              <c:strCache>
                <c:ptCount val="1"/>
                <c:pt idx="0">
                  <c:v>proteomics</c:v>
                </c:pt>
              </c:strCache>
            </c:strRef>
          </c:tx>
          <c:spPr>
            <a:solidFill>
              <a:schemeClr val="accent1">
                <a:alpha val="75000"/>
              </a:schemeClr>
            </a:solidFill>
            <a:ln>
              <a:noFill/>
            </a:ln>
            <a:effectLst/>
          </c:spPr>
          <c:invertIfNegative val="0"/>
          <c:xVal>
            <c:numRef>
              <c:f>'1bis'!$F$2:$F$31</c:f>
              <c:numCache>
                <c:formatCode>General</c:formatCode>
                <c:ptCount val="30"/>
                <c:pt idx="0">
                  <c:v>2.5</c:v>
                </c:pt>
                <c:pt idx="1">
                  <c:v>2.5</c:v>
                </c:pt>
                <c:pt idx="2">
                  <c:v>2.5</c:v>
                </c:pt>
                <c:pt idx="3">
                  <c:v>2.5</c:v>
                </c:pt>
                <c:pt idx="4">
                  <c:v>2.5</c:v>
                </c:pt>
                <c:pt idx="5">
                  <c:v>2.5</c:v>
                </c:pt>
                <c:pt idx="6">
                  <c:v>6.5</c:v>
                </c:pt>
                <c:pt idx="7">
                  <c:v>6.5</c:v>
                </c:pt>
                <c:pt idx="8">
                  <c:v>6.5</c:v>
                </c:pt>
                <c:pt idx="9">
                  <c:v>6.5</c:v>
                </c:pt>
                <c:pt idx="10">
                  <c:v>6.5</c:v>
                </c:pt>
                <c:pt idx="11">
                  <c:v>6.5</c:v>
                </c:pt>
                <c:pt idx="12">
                  <c:v>10.5</c:v>
                </c:pt>
                <c:pt idx="13">
                  <c:v>10.5</c:v>
                </c:pt>
                <c:pt idx="14">
                  <c:v>10.5</c:v>
                </c:pt>
                <c:pt idx="15">
                  <c:v>10.5</c:v>
                </c:pt>
                <c:pt idx="16">
                  <c:v>10.5</c:v>
                </c:pt>
                <c:pt idx="17">
                  <c:v>10.5</c:v>
                </c:pt>
                <c:pt idx="18">
                  <c:v>14.5</c:v>
                </c:pt>
                <c:pt idx="19">
                  <c:v>14.5</c:v>
                </c:pt>
                <c:pt idx="20">
                  <c:v>14.5</c:v>
                </c:pt>
                <c:pt idx="21">
                  <c:v>14.5</c:v>
                </c:pt>
                <c:pt idx="22">
                  <c:v>14.5</c:v>
                </c:pt>
                <c:pt idx="23">
                  <c:v>14.5</c:v>
                </c:pt>
                <c:pt idx="24">
                  <c:v>18.5</c:v>
                </c:pt>
                <c:pt idx="25">
                  <c:v>18.5</c:v>
                </c:pt>
                <c:pt idx="26">
                  <c:v>18.5</c:v>
                </c:pt>
                <c:pt idx="27">
                  <c:v>18.5</c:v>
                </c:pt>
                <c:pt idx="28">
                  <c:v>18.5</c:v>
                </c:pt>
                <c:pt idx="29">
                  <c:v>18.5</c:v>
                </c:pt>
              </c:numCache>
            </c:numRef>
          </c:xVal>
          <c:yVal>
            <c:numRef>
              <c:f>'1bis'!$G$2:$G$31</c:f>
              <c:numCache>
                <c:formatCode>General</c:formatCode>
                <c:ptCount val="30"/>
                <c:pt idx="0">
                  <c:v>10</c:v>
                </c:pt>
                <c:pt idx="1">
                  <c:v>30</c:v>
                </c:pt>
                <c:pt idx="2">
                  <c:v>50</c:v>
                </c:pt>
                <c:pt idx="3">
                  <c:v>70</c:v>
                </c:pt>
                <c:pt idx="4">
                  <c:v>90</c:v>
                </c:pt>
                <c:pt idx="5">
                  <c:v>110</c:v>
                </c:pt>
                <c:pt idx="6">
                  <c:v>10</c:v>
                </c:pt>
                <c:pt idx="7">
                  <c:v>30</c:v>
                </c:pt>
                <c:pt idx="8">
                  <c:v>50</c:v>
                </c:pt>
                <c:pt idx="9">
                  <c:v>70</c:v>
                </c:pt>
                <c:pt idx="10">
                  <c:v>90</c:v>
                </c:pt>
                <c:pt idx="11">
                  <c:v>110</c:v>
                </c:pt>
                <c:pt idx="12">
                  <c:v>10</c:v>
                </c:pt>
                <c:pt idx="13">
                  <c:v>30</c:v>
                </c:pt>
                <c:pt idx="14">
                  <c:v>50</c:v>
                </c:pt>
                <c:pt idx="15">
                  <c:v>70</c:v>
                </c:pt>
                <c:pt idx="16">
                  <c:v>90</c:v>
                </c:pt>
                <c:pt idx="17">
                  <c:v>110</c:v>
                </c:pt>
                <c:pt idx="18">
                  <c:v>10</c:v>
                </c:pt>
                <c:pt idx="19">
                  <c:v>30</c:v>
                </c:pt>
                <c:pt idx="20">
                  <c:v>50</c:v>
                </c:pt>
                <c:pt idx="21">
                  <c:v>70</c:v>
                </c:pt>
                <c:pt idx="22">
                  <c:v>90</c:v>
                </c:pt>
                <c:pt idx="23">
                  <c:v>110</c:v>
                </c:pt>
                <c:pt idx="24">
                  <c:v>10</c:v>
                </c:pt>
                <c:pt idx="25">
                  <c:v>30</c:v>
                </c:pt>
                <c:pt idx="26">
                  <c:v>50</c:v>
                </c:pt>
                <c:pt idx="27">
                  <c:v>70</c:v>
                </c:pt>
                <c:pt idx="28">
                  <c:v>90</c:v>
                </c:pt>
                <c:pt idx="29">
                  <c:v>110</c:v>
                </c:pt>
              </c:numCache>
            </c:numRef>
          </c:yVal>
          <c:bubbleSize>
            <c:numRef>
              <c:f>'1bis'!$L$2:$L$31</c:f>
              <c:numCache>
                <c:formatCode>General</c:formatCode>
                <c:ptCount val="30"/>
                <c:pt idx="0">
                  <c:v>16</c:v>
                </c:pt>
                <c:pt idx="1">
                  <c:v>4</c:v>
                </c:pt>
                <c:pt idx="2">
                  <c:v>0</c:v>
                </c:pt>
                <c:pt idx="3">
                  <c:v>0</c:v>
                </c:pt>
                <c:pt idx="4">
                  <c:v>0</c:v>
                </c:pt>
                <c:pt idx="5">
                  <c:v>0</c:v>
                </c:pt>
                <c:pt idx="6">
                  <c:v>5</c:v>
                </c:pt>
                <c:pt idx="7">
                  <c:v>4</c:v>
                </c:pt>
                <c:pt idx="8">
                  <c:v>0</c:v>
                </c:pt>
                <c:pt idx="9">
                  <c:v>0</c:v>
                </c:pt>
                <c:pt idx="10">
                  <c:v>0</c:v>
                </c:pt>
                <c:pt idx="11">
                  <c:v>0</c:v>
                </c:pt>
                <c:pt idx="12">
                  <c:v>1</c:v>
                </c:pt>
                <c:pt idx="13">
                  <c:v>1</c:v>
                </c:pt>
                <c:pt idx="14">
                  <c:v>2</c:v>
                </c:pt>
                <c:pt idx="15">
                  <c:v>0</c:v>
                </c:pt>
                <c:pt idx="16">
                  <c:v>0</c:v>
                </c:pt>
                <c:pt idx="17">
                  <c:v>0</c:v>
                </c:pt>
                <c:pt idx="18">
                  <c:v>0</c:v>
                </c:pt>
                <c:pt idx="19">
                  <c:v>0</c:v>
                </c:pt>
                <c:pt idx="20">
                  <c:v>0</c:v>
                </c:pt>
                <c:pt idx="21">
                  <c:v>0</c:v>
                </c:pt>
                <c:pt idx="22">
                  <c:v>0</c:v>
                </c:pt>
                <c:pt idx="23">
                  <c:v>1</c:v>
                </c:pt>
                <c:pt idx="24">
                  <c:v>1</c:v>
                </c:pt>
                <c:pt idx="25">
                  <c:v>0</c:v>
                </c:pt>
                <c:pt idx="26">
                  <c:v>0</c:v>
                </c:pt>
                <c:pt idx="27">
                  <c:v>0</c:v>
                </c:pt>
                <c:pt idx="28">
                  <c:v>0</c:v>
                </c:pt>
                <c:pt idx="29">
                  <c:v>0</c:v>
                </c:pt>
              </c:numCache>
            </c:numRef>
          </c:bubbleSize>
          <c:bubble3D val="0"/>
          <c:extLst>
            <c:ext xmlns:c16="http://schemas.microsoft.com/office/drawing/2014/chart" uri="{C3380CC4-5D6E-409C-BE32-E72D297353CC}">
              <c16:uniqueId val="{00000000-33FD-4F76-95FE-355A0ED822B7}"/>
            </c:ext>
          </c:extLst>
        </c:ser>
        <c:dLbls>
          <c:showLegendKey val="0"/>
          <c:showVal val="0"/>
          <c:showCatName val="0"/>
          <c:showSerName val="0"/>
          <c:showPercent val="0"/>
          <c:showBubbleSize val="0"/>
        </c:dLbls>
        <c:bubbleScale val="100"/>
        <c:showNegBubbles val="0"/>
        <c:axId val="502054568"/>
        <c:axId val="502054896"/>
      </c:bubbleChart>
      <c:valAx>
        <c:axId val="5020545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staff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2054896"/>
        <c:crosses val="autoZero"/>
        <c:crossBetween val="midCat"/>
      </c:valAx>
      <c:valAx>
        <c:axId val="502054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users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20545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provides support for writing</a:t>
            </a:r>
            <a:r>
              <a:rPr lang="en-GB" baseline="0"/>
              <a:t> the materials &amp; methods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151-494A-8B0E-7D7C5419F4D3}"/>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D151-494A-8B0E-7D7C5419F4D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'9'!$H$2:$H$3</c:f>
              <c:strCache>
                <c:ptCount val="2"/>
                <c:pt idx="0">
                  <c:v>Yes</c:v>
                </c:pt>
                <c:pt idx="1">
                  <c:v>No</c:v>
                </c:pt>
              </c:strCache>
            </c:strRef>
          </c:cat>
          <c:val>
            <c:numRef>
              <c:f>'9'!$I$2:$I$3</c:f>
              <c:numCache>
                <c:formatCode>General</c:formatCode>
                <c:ptCount val="2"/>
                <c:pt idx="0">
                  <c:v>242</c:v>
                </c:pt>
                <c:pt idx="1">
                  <c:v>18</c:v>
                </c:pt>
              </c:numCache>
            </c:numRef>
          </c:val>
          <c:extLst>
            <c:ext xmlns:c16="http://schemas.microsoft.com/office/drawing/2014/chart" uri="{C3380CC4-5D6E-409C-BE32-E72D297353CC}">
              <c16:uniqueId val="{00000004-D151-494A-8B0E-7D7C5419F4D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The users contact CF when writing publication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'9'!$W$2:$W$6</c:f>
              <c:strCache>
                <c:ptCount val="5"/>
                <c:pt idx="0">
                  <c:v>never</c:v>
                </c:pt>
                <c:pt idx="1">
                  <c:v>rarely</c:v>
                </c:pt>
                <c:pt idx="2">
                  <c:v>sometimes</c:v>
                </c:pt>
                <c:pt idx="3">
                  <c:v>often</c:v>
                </c:pt>
                <c:pt idx="4">
                  <c:v>always</c:v>
                </c:pt>
              </c:strCache>
            </c:strRef>
          </c:cat>
          <c:val>
            <c:numRef>
              <c:f>'9'!$X$2:$X$6</c:f>
              <c:numCache>
                <c:formatCode>General</c:formatCode>
                <c:ptCount val="5"/>
                <c:pt idx="0">
                  <c:v>3</c:v>
                </c:pt>
                <c:pt idx="1">
                  <c:v>27</c:v>
                </c:pt>
                <c:pt idx="2">
                  <c:v>115</c:v>
                </c:pt>
                <c:pt idx="3">
                  <c:v>88</c:v>
                </c:pt>
                <c:pt idx="4">
                  <c:v>27</c:v>
                </c:pt>
              </c:numCache>
            </c:numRef>
          </c:val>
          <c:extLst>
            <c:ext xmlns:c16="http://schemas.microsoft.com/office/drawing/2014/chart" uri="{C3380CC4-5D6E-409C-BE32-E72D297353CC}">
              <c16:uniqueId val="{00000000-5821-4611-8F21-1A7EBFADC0C2}"/>
            </c:ext>
          </c:extLst>
        </c:ser>
        <c:dLbls>
          <c:showLegendKey val="0"/>
          <c:showVal val="0"/>
          <c:showCatName val="0"/>
          <c:showSerName val="0"/>
          <c:showPercent val="0"/>
          <c:showBubbleSize val="0"/>
        </c:dLbls>
        <c:gapWidth val="130"/>
        <c:overlap val="-27"/>
        <c:axId val="350273064"/>
        <c:axId val="350268144"/>
      </c:barChart>
      <c:catAx>
        <c:axId val="35027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50268144"/>
        <c:crosses val="autoZero"/>
        <c:auto val="1"/>
        <c:lblAlgn val="ctr"/>
        <c:lblOffset val="100"/>
        <c:noMultiLvlLbl val="0"/>
      </c:catAx>
      <c:valAx>
        <c:axId val="350268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50273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Involving the</a:t>
            </a:r>
            <a:r>
              <a:rPr lang="en-GB" baseline="0"/>
              <a:t> CF in the publication would improve the quality of published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99-4317-ABA3-C9EE1AE202ED}"/>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1899-4317-ABA3-C9EE1AE202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'9'!$AL$2:$AL$3</c:f>
              <c:strCache>
                <c:ptCount val="2"/>
                <c:pt idx="0">
                  <c:v>Yes</c:v>
                </c:pt>
                <c:pt idx="1">
                  <c:v>No</c:v>
                </c:pt>
              </c:strCache>
            </c:strRef>
          </c:cat>
          <c:val>
            <c:numRef>
              <c:f>'9'!$AM$2:$AM$3</c:f>
              <c:numCache>
                <c:formatCode>General</c:formatCode>
                <c:ptCount val="2"/>
                <c:pt idx="0">
                  <c:v>223</c:v>
                </c:pt>
                <c:pt idx="1">
                  <c:v>21</c:v>
                </c:pt>
              </c:numCache>
            </c:numRef>
          </c:val>
          <c:extLst>
            <c:ext xmlns:c16="http://schemas.microsoft.com/office/drawing/2014/chart" uri="{C3380CC4-5D6E-409C-BE32-E72D297353CC}">
              <c16:uniqueId val="{00000004-1899-4317-ABA3-C9EE1AE202E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Involving the CF in the publication would improve the quality of published data</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'9'!$AL$2</c:f>
              <c:strCache>
                <c:ptCount val="1"/>
                <c:pt idx="0">
                  <c:v>Yes</c:v>
                </c:pt>
              </c:strCache>
            </c:strRef>
          </c:tx>
          <c:spPr>
            <a:solidFill>
              <a:schemeClr val="accent1"/>
            </a:solidFill>
            <a:ln>
              <a:noFill/>
            </a:ln>
            <a:effectLst/>
          </c:spPr>
          <c:invertIfNegative val="0"/>
          <c:cat>
            <c:strRef>
              <c:f>'9'!$AN$1:$AP$1</c:f>
              <c:strCache>
                <c:ptCount val="3"/>
                <c:pt idx="0">
                  <c:v>full-service</c:v>
                </c:pt>
                <c:pt idx="1">
                  <c:v>hybrid-service</c:v>
                </c:pt>
                <c:pt idx="2">
                  <c:v>self-service</c:v>
                </c:pt>
              </c:strCache>
            </c:strRef>
          </c:cat>
          <c:val>
            <c:numRef>
              <c:f>'9'!$AN$2:$AP$2</c:f>
              <c:numCache>
                <c:formatCode>General</c:formatCode>
                <c:ptCount val="3"/>
                <c:pt idx="0">
                  <c:v>56</c:v>
                </c:pt>
                <c:pt idx="1">
                  <c:v>146</c:v>
                </c:pt>
                <c:pt idx="2">
                  <c:v>21</c:v>
                </c:pt>
              </c:numCache>
            </c:numRef>
          </c:val>
          <c:extLst>
            <c:ext xmlns:c16="http://schemas.microsoft.com/office/drawing/2014/chart" uri="{C3380CC4-5D6E-409C-BE32-E72D297353CC}">
              <c16:uniqueId val="{00000000-EF74-4CE0-8362-B232D04ABA15}"/>
            </c:ext>
          </c:extLst>
        </c:ser>
        <c:ser>
          <c:idx val="1"/>
          <c:order val="1"/>
          <c:tx>
            <c:strRef>
              <c:f>'9'!$AL$3</c:f>
              <c:strCache>
                <c:ptCount val="1"/>
                <c:pt idx="0">
                  <c:v>No</c:v>
                </c:pt>
              </c:strCache>
            </c:strRef>
          </c:tx>
          <c:spPr>
            <a:solidFill>
              <a:srgbClr val="FF0000"/>
            </a:solidFill>
            <a:ln>
              <a:noFill/>
            </a:ln>
            <a:effectLst/>
          </c:spPr>
          <c:invertIfNegative val="0"/>
          <c:cat>
            <c:strRef>
              <c:f>'9'!$AN$1:$AP$1</c:f>
              <c:strCache>
                <c:ptCount val="3"/>
                <c:pt idx="0">
                  <c:v>full-service</c:v>
                </c:pt>
                <c:pt idx="1">
                  <c:v>hybrid-service</c:v>
                </c:pt>
                <c:pt idx="2">
                  <c:v>self-service</c:v>
                </c:pt>
              </c:strCache>
            </c:strRef>
          </c:cat>
          <c:val>
            <c:numRef>
              <c:f>'9'!$AN$3:$AP$3</c:f>
              <c:numCache>
                <c:formatCode>General</c:formatCode>
                <c:ptCount val="3"/>
                <c:pt idx="0">
                  <c:v>8</c:v>
                </c:pt>
                <c:pt idx="1">
                  <c:v>12</c:v>
                </c:pt>
                <c:pt idx="2">
                  <c:v>1</c:v>
                </c:pt>
              </c:numCache>
            </c:numRef>
          </c:val>
          <c:extLst>
            <c:ext xmlns:c16="http://schemas.microsoft.com/office/drawing/2014/chart" uri="{C3380CC4-5D6E-409C-BE32-E72D297353CC}">
              <c16:uniqueId val="{00000001-EF74-4CE0-8362-B232D04ABA15}"/>
            </c:ext>
          </c:extLst>
        </c:ser>
        <c:dLbls>
          <c:showLegendKey val="0"/>
          <c:showVal val="0"/>
          <c:showCatName val="0"/>
          <c:showSerName val="0"/>
          <c:showPercent val="0"/>
          <c:showBubbleSize val="0"/>
        </c:dLbls>
        <c:gapWidth val="130"/>
        <c:overlap val="100"/>
        <c:axId val="563102168"/>
        <c:axId val="563098232"/>
      </c:barChart>
      <c:catAx>
        <c:axId val="563102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3098232"/>
        <c:crosses val="autoZero"/>
        <c:auto val="1"/>
        <c:lblAlgn val="ctr"/>
        <c:lblOffset val="100"/>
        <c:noMultiLvlLbl val="0"/>
      </c:catAx>
      <c:valAx>
        <c:axId val="5630982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3102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The users contact CF</a:t>
            </a:r>
            <a:r>
              <a:rPr lang="en-GB" baseline="0"/>
              <a:t> when writing publication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9323502264841796"/>
          <c:y val="0.19769224614078654"/>
          <c:w val="0.48083390062798803"/>
          <c:h val="0.56282487244171231"/>
        </c:manualLayout>
      </c:layout>
      <c:barChart>
        <c:barDir val="col"/>
        <c:grouping val="percentStacked"/>
        <c:varyColors val="0"/>
        <c:ser>
          <c:idx val="4"/>
          <c:order val="0"/>
          <c:tx>
            <c:strRef>
              <c:f>'9'!$W$6</c:f>
              <c:strCache>
                <c:ptCount val="1"/>
                <c:pt idx="0">
                  <c:v>always</c:v>
                </c:pt>
              </c:strCache>
            </c:strRef>
          </c:tx>
          <c:spPr>
            <a:solidFill>
              <a:schemeClr val="accent1"/>
            </a:solidFill>
            <a:ln>
              <a:noFill/>
            </a:ln>
            <a:effectLst/>
          </c:spPr>
          <c:invertIfNegative val="0"/>
          <c:cat>
            <c:strRef>
              <c:f>'9'!$Y$1:$AA$1</c:f>
              <c:strCache>
                <c:ptCount val="3"/>
                <c:pt idx="0">
                  <c:v>full-service</c:v>
                </c:pt>
                <c:pt idx="1">
                  <c:v>hybrid-service</c:v>
                </c:pt>
                <c:pt idx="2">
                  <c:v>self-service</c:v>
                </c:pt>
              </c:strCache>
            </c:strRef>
          </c:cat>
          <c:val>
            <c:numRef>
              <c:f>'9'!$Y$6:$AA$6</c:f>
              <c:numCache>
                <c:formatCode>General</c:formatCode>
                <c:ptCount val="3"/>
                <c:pt idx="0">
                  <c:v>11</c:v>
                </c:pt>
                <c:pt idx="1">
                  <c:v>14</c:v>
                </c:pt>
                <c:pt idx="2">
                  <c:v>2</c:v>
                </c:pt>
              </c:numCache>
            </c:numRef>
          </c:val>
          <c:extLst>
            <c:ext xmlns:c16="http://schemas.microsoft.com/office/drawing/2014/chart" uri="{C3380CC4-5D6E-409C-BE32-E72D297353CC}">
              <c16:uniqueId val="{00000004-735C-4984-A74F-351A53C9ABB4}"/>
            </c:ext>
          </c:extLst>
        </c:ser>
        <c:ser>
          <c:idx val="3"/>
          <c:order val="1"/>
          <c:tx>
            <c:strRef>
              <c:f>'9'!$W$5</c:f>
              <c:strCache>
                <c:ptCount val="1"/>
                <c:pt idx="0">
                  <c:v>often</c:v>
                </c:pt>
              </c:strCache>
            </c:strRef>
          </c:tx>
          <c:spPr>
            <a:solidFill>
              <a:schemeClr val="accent5">
                <a:lumMod val="40000"/>
                <a:lumOff val="60000"/>
              </a:schemeClr>
            </a:solidFill>
            <a:ln>
              <a:noFill/>
            </a:ln>
            <a:effectLst/>
          </c:spPr>
          <c:invertIfNegative val="0"/>
          <c:cat>
            <c:strRef>
              <c:f>'9'!$Y$1:$AA$1</c:f>
              <c:strCache>
                <c:ptCount val="3"/>
                <c:pt idx="0">
                  <c:v>full-service</c:v>
                </c:pt>
                <c:pt idx="1">
                  <c:v>hybrid-service</c:v>
                </c:pt>
                <c:pt idx="2">
                  <c:v>self-service</c:v>
                </c:pt>
              </c:strCache>
            </c:strRef>
          </c:cat>
          <c:val>
            <c:numRef>
              <c:f>'9'!$Y$5:$AA$5</c:f>
              <c:numCache>
                <c:formatCode>General</c:formatCode>
                <c:ptCount val="3"/>
                <c:pt idx="0">
                  <c:v>32</c:v>
                </c:pt>
                <c:pt idx="1">
                  <c:v>53</c:v>
                </c:pt>
                <c:pt idx="2">
                  <c:v>3</c:v>
                </c:pt>
              </c:numCache>
            </c:numRef>
          </c:val>
          <c:extLst>
            <c:ext xmlns:c16="http://schemas.microsoft.com/office/drawing/2014/chart" uri="{C3380CC4-5D6E-409C-BE32-E72D297353CC}">
              <c16:uniqueId val="{00000003-735C-4984-A74F-351A53C9ABB4}"/>
            </c:ext>
          </c:extLst>
        </c:ser>
        <c:ser>
          <c:idx val="2"/>
          <c:order val="2"/>
          <c:tx>
            <c:strRef>
              <c:f>'9'!$W$4</c:f>
              <c:strCache>
                <c:ptCount val="1"/>
                <c:pt idx="0">
                  <c:v>sometimes</c:v>
                </c:pt>
              </c:strCache>
            </c:strRef>
          </c:tx>
          <c:spPr>
            <a:solidFill>
              <a:srgbClr val="FFC000"/>
            </a:solidFill>
            <a:ln>
              <a:noFill/>
            </a:ln>
            <a:effectLst/>
          </c:spPr>
          <c:invertIfNegative val="0"/>
          <c:cat>
            <c:strRef>
              <c:f>'9'!$Y$1:$AA$1</c:f>
              <c:strCache>
                <c:ptCount val="3"/>
                <c:pt idx="0">
                  <c:v>full-service</c:v>
                </c:pt>
                <c:pt idx="1">
                  <c:v>hybrid-service</c:v>
                </c:pt>
                <c:pt idx="2">
                  <c:v>self-service</c:v>
                </c:pt>
              </c:strCache>
            </c:strRef>
          </c:cat>
          <c:val>
            <c:numRef>
              <c:f>'9'!$Y$4:$AA$4</c:f>
              <c:numCache>
                <c:formatCode>General</c:formatCode>
                <c:ptCount val="3"/>
                <c:pt idx="0">
                  <c:v>23</c:v>
                </c:pt>
                <c:pt idx="1">
                  <c:v>77</c:v>
                </c:pt>
                <c:pt idx="2">
                  <c:v>15</c:v>
                </c:pt>
              </c:numCache>
            </c:numRef>
          </c:val>
          <c:extLst>
            <c:ext xmlns:c16="http://schemas.microsoft.com/office/drawing/2014/chart" uri="{C3380CC4-5D6E-409C-BE32-E72D297353CC}">
              <c16:uniqueId val="{00000002-735C-4984-A74F-351A53C9ABB4}"/>
            </c:ext>
          </c:extLst>
        </c:ser>
        <c:ser>
          <c:idx val="1"/>
          <c:order val="3"/>
          <c:tx>
            <c:strRef>
              <c:f>'9'!$W$3</c:f>
              <c:strCache>
                <c:ptCount val="1"/>
                <c:pt idx="0">
                  <c:v>rarely</c:v>
                </c:pt>
              </c:strCache>
            </c:strRef>
          </c:tx>
          <c:spPr>
            <a:solidFill>
              <a:srgbClr val="FF9933"/>
            </a:solidFill>
            <a:ln>
              <a:noFill/>
            </a:ln>
            <a:effectLst/>
          </c:spPr>
          <c:invertIfNegative val="0"/>
          <c:cat>
            <c:strRef>
              <c:f>'9'!$Y$1:$AA$1</c:f>
              <c:strCache>
                <c:ptCount val="3"/>
                <c:pt idx="0">
                  <c:v>full-service</c:v>
                </c:pt>
                <c:pt idx="1">
                  <c:v>hybrid-service</c:v>
                </c:pt>
                <c:pt idx="2">
                  <c:v>self-service</c:v>
                </c:pt>
              </c:strCache>
            </c:strRef>
          </c:cat>
          <c:val>
            <c:numRef>
              <c:f>'9'!$Y$3:$AA$3</c:f>
              <c:numCache>
                <c:formatCode>General</c:formatCode>
                <c:ptCount val="3"/>
                <c:pt idx="0">
                  <c:v>2</c:v>
                </c:pt>
                <c:pt idx="1">
                  <c:v>19</c:v>
                </c:pt>
                <c:pt idx="2">
                  <c:v>6</c:v>
                </c:pt>
              </c:numCache>
            </c:numRef>
          </c:val>
          <c:extLst>
            <c:ext xmlns:c16="http://schemas.microsoft.com/office/drawing/2014/chart" uri="{C3380CC4-5D6E-409C-BE32-E72D297353CC}">
              <c16:uniqueId val="{00000001-735C-4984-A74F-351A53C9ABB4}"/>
            </c:ext>
          </c:extLst>
        </c:ser>
        <c:ser>
          <c:idx val="0"/>
          <c:order val="4"/>
          <c:tx>
            <c:strRef>
              <c:f>'9'!$W$2</c:f>
              <c:strCache>
                <c:ptCount val="1"/>
                <c:pt idx="0">
                  <c:v>never</c:v>
                </c:pt>
              </c:strCache>
            </c:strRef>
          </c:tx>
          <c:spPr>
            <a:solidFill>
              <a:srgbClr val="FF0000"/>
            </a:solidFill>
            <a:ln>
              <a:noFill/>
            </a:ln>
            <a:effectLst/>
          </c:spPr>
          <c:invertIfNegative val="0"/>
          <c:cat>
            <c:strRef>
              <c:f>'9'!$Y$1:$AA$1</c:f>
              <c:strCache>
                <c:ptCount val="3"/>
                <c:pt idx="0">
                  <c:v>full-service</c:v>
                </c:pt>
                <c:pt idx="1">
                  <c:v>hybrid-service</c:v>
                </c:pt>
                <c:pt idx="2">
                  <c:v>self-service</c:v>
                </c:pt>
              </c:strCache>
            </c:strRef>
          </c:cat>
          <c:val>
            <c:numRef>
              <c:f>'9'!$Y$2:$AA$2</c:f>
              <c:numCache>
                <c:formatCode>General</c:formatCode>
                <c:ptCount val="3"/>
                <c:pt idx="0">
                  <c:v>0</c:v>
                </c:pt>
                <c:pt idx="1">
                  <c:v>2</c:v>
                </c:pt>
                <c:pt idx="2">
                  <c:v>1</c:v>
                </c:pt>
              </c:numCache>
            </c:numRef>
          </c:val>
          <c:extLst>
            <c:ext xmlns:c16="http://schemas.microsoft.com/office/drawing/2014/chart" uri="{C3380CC4-5D6E-409C-BE32-E72D297353CC}">
              <c16:uniqueId val="{00000000-735C-4984-A74F-351A53C9ABB4}"/>
            </c:ext>
          </c:extLst>
        </c:ser>
        <c:dLbls>
          <c:showLegendKey val="0"/>
          <c:showVal val="0"/>
          <c:showCatName val="0"/>
          <c:showSerName val="0"/>
          <c:showPercent val="0"/>
          <c:showBubbleSize val="0"/>
        </c:dLbls>
        <c:gapWidth val="130"/>
        <c:overlap val="100"/>
        <c:axId val="388327656"/>
        <c:axId val="388325360"/>
      </c:barChart>
      <c:catAx>
        <c:axId val="388327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8325360"/>
        <c:crosses val="autoZero"/>
        <c:auto val="1"/>
        <c:lblAlgn val="ctr"/>
        <c:lblOffset val="100"/>
        <c:noMultiLvlLbl val="0"/>
      </c:catAx>
      <c:valAx>
        <c:axId val="38832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8327656"/>
        <c:crosses val="autoZero"/>
        <c:crossBetween val="between"/>
      </c:valAx>
      <c:spPr>
        <a:noFill/>
        <a:ln>
          <a:noFill/>
        </a:ln>
        <a:effectLst/>
      </c:spPr>
    </c:plotArea>
    <c:legend>
      <c:legendPos val="r"/>
      <c:layout>
        <c:manualLayout>
          <c:xMode val="edge"/>
          <c:yMode val="edge"/>
          <c:x val="0.69799429444168581"/>
          <c:y val="0.32463369485485483"/>
          <c:w val="0.29160814628301585"/>
          <c:h val="0.320755681406115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CF provides support for writing the materials &amp; methods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'9'!$H$2</c:f>
              <c:strCache>
                <c:ptCount val="1"/>
                <c:pt idx="0">
                  <c:v>Yes</c:v>
                </c:pt>
              </c:strCache>
            </c:strRef>
          </c:tx>
          <c:spPr>
            <a:solidFill>
              <a:schemeClr val="accent1"/>
            </a:solidFill>
            <a:ln>
              <a:noFill/>
            </a:ln>
            <a:effectLst/>
          </c:spPr>
          <c:invertIfNegative val="0"/>
          <c:cat>
            <c:strRef>
              <c:f>'9'!$N$1:$U$1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'9'!$N$2:$U$2</c:f>
              <c:numCache>
                <c:formatCode>General</c:formatCode>
                <c:ptCount val="8"/>
                <c:pt idx="0">
                  <c:v>39</c:v>
                </c:pt>
                <c:pt idx="1">
                  <c:v>27</c:v>
                </c:pt>
                <c:pt idx="2">
                  <c:v>10</c:v>
                </c:pt>
                <c:pt idx="3">
                  <c:v>7</c:v>
                </c:pt>
                <c:pt idx="4">
                  <c:v>58</c:v>
                </c:pt>
                <c:pt idx="5">
                  <c:v>13</c:v>
                </c:pt>
                <c:pt idx="6">
                  <c:v>8</c:v>
                </c:pt>
                <c:pt idx="7">
                  <c:v>35</c:v>
                </c:pt>
              </c:numCache>
            </c:numRef>
          </c:val>
          <c:extLst>
            <c:ext xmlns:c16="http://schemas.microsoft.com/office/drawing/2014/chart" uri="{C3380CC4-5D6E-409C-BE32-E72D297353CC}">
              <c16:uniqueId val="{00000000-6264-4631-A3AC-7FFF81F9595A}"/>
            </c:ext>
          </c:extLst>
        </c:ser>
        <c:ser>
          <c:idx val="1"/>
          <c:order val="1"/>
          <c:tx>
            <c:strRef>
              <c:f>'9'!$H$3</c:f>
              <c:strCache>
                <c:ptCount val="1"/>
                <c:pt idx="0">
                  <c:v>No</c:v>
                </c:pt>
              </c:strCache>
            </c:strRef>
          </c:tx>
          <c:spPr>
            <a:solidFill>
              <a:srgbClr val="FF0000"/>
            </a:solidFill>
            <a:ln>
              <a:noFill/>
            </a:ln>
            <a:effectLst/>
          </c:spPr>
          <c:invertIfNegative val="0"/>
          <c:cat>
            <c:strRef>
              <c:f>'9'!$N$1:$U$1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'9'!$N$3:$U$3</c:f>
              <c:numCache>
                <c:formatCode>General</c:formatCode>
                <c:ptCount val="8"/>
                <c:pt idx="0">
                  <c:v>7</c:v>
                </c:pt>
                <c:pt idx="1">
                  <c:v>3</c:v>
                </c:pt>
                <c:pt idx="2">
                  <c:v>1</c:v>
                </c:pt>
                <c:pt idx="3">
                  <c:v>0</c:v>
                </c:pt>
                <c:pt idx="4">
                  <c:v>2</c:v>
                </c:pt>
                <c:pt idx="5">
                  <c:v>0</c:v>
                </c:pt>
                <c:pt idx="6">
                  <c:v>0</c:v>
                </c:pt>
                <c:pt idx="7">
                  <c:v>0</c:v>
                </c:pt>
              </c:numCache>
            </c:numRef>
          </c:val>
          <c:extLst>
            <c:ext xmlns:c16="http://schemas.microsoft.com/office/drawing/2014/chart" uri="{C3380CC4-5D6E-409C-BE32-E72D297353CC}">
              <c16:uniqueId val="{00000001-6264-4631-A3AC-7FFF81F9595A}"/>
            </c:ext>
          </c:extLst>
        </c:ser>
        <c:dLbls>
          <c:showLegendKey val="0"/>
          <c:showVal val="0"/>
          <c:showCatName val="0"/>
          <c:showSerName val="0"/>
          <c:showPercent val="0"/>
          <c:showBubbleSize val="0"/>
        </c:dLbls>
        <c:gapWidth val="130"/>
        <c:overlap val="100"/>
        <c:axId val="558421344"/>
        <c:axId val="552521960"/>
      </c:barChart>
      <c:catAx>
        <c:axId val="55842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2521960"/>
        <c:crosses val="autoZero"/>
        <c:auto val="1"/>
        <c:lblAlgn val="ctr"/>
        <c:lblOffset val="100"/>
        <c:noMultiLvlLbl val="0"/>
      </c:catAx>
      <c:valAx>
        <c:axId val="552521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421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CF provides support for writing the materials &amp; methods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'9'!$H$2</c:f>
              <c:strCache>
                <c:ptCount val="1"/>
                <c:pt idx="0">
                  <c:v>Yes</c:v>
                </c:pt>
              </c:strCache>
            </c:strRef>
          </c:tx>
          <c:spPr>
            <a:solidFill>
              <a:schemeClr val="accent1"/>
            </a:solidFill>
            <a:ln>
              <a:noFill/>
            </a:ln>
            <a:effectLst/>
          </c:spPr>
          <c:invertIfNegative val="0"/>
          <c:cat>
            <c:strRef>
              <c:f>'9'!$J$1:$L$1</c:f>
              <c:strCache>
                <c:ptCount val="3"/>
                <c:pt idx="0">
                  <c:v>full-service</c:v>
                </c:pt>
                <c:pt idx="1">
                  <c:v>hybrid-service</c:v>
                </c:pt>
                <c:pt idx="2">
                  <c:v>self-service</c:v>
                </c:pt>
              </c:strCache>
            </c:strRef>
          </c:cat>
          <c:val>
            <c:numRef>
              <c:f>'9'!$J$2:$L$2</c:f>
              <c:numCache>
                <c:formatCode>General</c:formatCode>
                <c:ptCount val="3"/>
                <c:pt idx="0">
                  <c:v>66</c:v>
                </c:pt>
                <c:pt idx="1">
                  <c:v>155</c:v>
                </c:pt>
                <c:pt idx="2">
                  <c:v>21</c:v>
                </c:pt>
              </c:numCache>
            </c:numRef>
          </c:val>
          <c:extLst>
            <c:ext xmlns:c16="http://schemas.microsoft.com/office/drawing/2014/chart" uri="{C3380CC4-5D6E-409C-BE32-E72D297353CC}">
              <c16:uniqueId val="{00000000-5BFA-43FB-B5CC-1F07EE766DC2}"/>
            </c:ext>
          </c:extLst>
        </c:ser>
        <c:ser>
          <c:idx val="1"/>
          <c:order val="1"/>
          <c:tx>
            <c:strRef>
              <c:f>'9'!$H$3</c:f>
              <c:strCache>
                <c:ptCount val="1"/>
                <c:pt idx="0">
                  <c:v>No</c:v>
                </c:pt>
              </c:strCache>
            </c:strRef>
          </c:tx>
          <c:spPr>
            <a:solidFill>
              <a:srgbClr val="FF0000"/>
            </a:solidFill>
            <a:ln>
              <a:noFill/>
            </a:ln>
            <a:effectLst/>
          </c:spPr>
          <c:invertIfNegative val="0"/>
          <c:cat>
            <c:strRef>
              <c:f>'9'!$J$1:$L$1</c:f>
              <c:strCache>
                <c:ptCount val="3"/>
                <c:pt idx="0">
                  <c:v>full-service</c:v>
                </c:pt>
                <c:pt idx="1">
                  <c:v>hybrid-service</c:v>
                </c:pt>
                <c:pt idx="2">
                  <c:v>self-service</c:v>
                </c:pt>
              </c:strCache>
            </c:strRef>
          </c:cat>
          <c:val>
            <c:numRef>
              <c:f>'9'!$J$3:$L$3</c:f>
              <c:numCache>
                <c:formatCode>General</c:formatCode>
                <c:ptCount val="3"/>
                <c:pt idx="0">
                  <c:v>2</c:v>
                </c:pt>
                <c:pt idx="1">
                  <c:v>10</c:v>
                </c:pt>
                <c:pt idx="2">
                  <c:v>6</c:v>
                </c:pt>
              </c:numCache>
            </c:numRef>
          </c:val>
          <c:extLst>
            <c:ext xmlns:c16="http://schemas.microsoft.com/office/drawing/2014/chart" uri="{C3380CC4-5D6E-409C-BE32-E72D297353CC}">
              <c16:uniqueId val="{00000001-5BFA-43FB-B5CC-1F07EE766DC2}"/>
            </c:ext>
          </c:extLst>
        </c:ser>
        <c:dLbls>
          <c:showLegendKey val="0"/>
          <c:showVal val="0"/>
          <c:showCatName val="0"/>
          <c:showSerName val="0"/>
          <c:showPercent val="0"/>
          <c:showBubbleSize val="0"/>
        </c:dLbls>
        <c:gapWidth val="130"/>
        <c:overlap val="100"/>
        <c:axId val="570474568"/>
        <c:axId val="570474896"/>
      </c:barChart>
      <c:catAx>
        <c:axId val="570474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474896"/>
        <c:crosses val="autoZero"/>
        <c:auto val="1"/>
        <c:lblAlgn val="ctr"/>
        <c:lblOffset val="100"/>
        <c:noMultiLvlLbl val="0"/>
      </c:catAx>
      <c:valAx>
        <c:axId val="570474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474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The users contact CF when writing publication</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4"/>
          <c:order val="0"/>
          <c:tx>
            <c:strRef>
              <c:f>'9'!$W$6</c:f>
              <c:strCache>
                <c:ptCount val="1"/>
                <c:pt idx="0">
                  <c:v>always</c:v>
                </c:pt>
              </c:strCache>
            </c:strRef>
          </c:tx>
          <c:spPr>
            <a:solidFill>
              <a:schemeClr val="accent1"/>
            </a:solidFill>
            <a:ln>
              <a:noFill/>
            </a:ln>
            <a:effectLst/>
          </c:spPr>
          <c:invertIfNegative val="0"/>
          <c:cat>
            <c:strRef>
              <c:f>'9'!$AC$1:$AJ$1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'9'!$AC$6:$AJ$6</c:f>
              <c:numCache>
                <c:formatCode>General</c:formatCode>
                <c:ptCount val="8"/>
                <c:pt idx="0">
                  <c:v>0</c:v>
                </c:pt>
                <c:pt idx="1">
                  <c:v>2</c:v>
                </c:pt>
                <c:pt idx="2">
                  <c:v>0</c:v>
                </c:pt>
                <c:pt idx="3">
                  <c:v>1</c:v>
                </c:pt>
                <c:pt idx="4">
                  <c:v>2</c:v>
                </c:pt>
                <c:pt idx="5">
                  <c:v>3</c:v>
                </c:pt>
                <c:pt idx="6">
                  <c:v>0</c:v>
                </c:pt>
                <c:pt idx="7">
                  <c:v>11</c:v>
                </c:pt>
              </c:numCache>
            </c:numRef>
          </c:val>
          <c:extLst>
            <c:ext xmlns:c16="http://schemas.microsoft.com/office/drawing/2014/chart" uri="{C3380CC4-5D6E-409C-BE32-E72D297353CC}">
              <c16:uniqueId val="{00000004-E64D-43F6-AE63-1968DC0BB8B4}"/>
            </c:ext>
          </c:extLst>
        </c:ser>
        <c:ser>
          <c:idx val="3"/>
          <c:order val="1"/>
          <c:tx>
            <c:strRef>
              <c:f>'9'!$W$5</c:f>
              <c:strCache>
                <c:ptCount val="1"/>
                <c:pt idx="0">
                  <c:v>often</c:v>
                </c:pt>
              </c:strCache>
            </c:strRef>
          </c:tx>
          <c:spPr>
            <a:solidFill>
              <a:schemeClr val="accent5">
                <a:lumMod val="40000"/>
                <a:lumOff val="60000"/>
              </a:schemeClr>
            </a:solidFill>
            <a:ln>
              <a:noFill/>
            </a:ln>
            <a:effectLst/>
          </c:spPr>
          <c:invertIfNegative val="0"/>
          <c:cat>
            <c:strRef>
              <c:f>'9'!$AC$1:$AJ$1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'9'!$AC$5:$AJ$5</c:f>
              <c:numCache>
                <c:formatCode>General</c:formatCode>
                <c:ptCount val="8"/>
                <c:pt idx="0">
                  <c:v>7</c:v>
                </c:pt>
                <c:pt idx="1">
                  <c:v>15</c:v>
                </c:pt>
                <c:pt idx="2">
                  <c:v>5</c:v>
                </c:pt>
                <c:pt idx="3">
                  <c:v>4</c:v>
                </c:pt>
                <c:pt idx="4">
                  <c:v>19</c:v>
                </c:pt>
                <c:pt idx="5">
                  <c:v>4</c:v>
                </c:pt>
                <c:pt idx="6">
                  <c:v>2</c:v>
                </c:pt>
                <c:pt idx="7">
                  <c:v>17</c:v>
                </c:pt>
              </c:numCache>
            </c:numRef>
          </c:val>
          <c:extLst>
            <c:ext xmlns:c16="http://schemas.microsoft.com/office/drawing/2014/chart" uri="{C3380CC4-5D6E-409C-BE32-E72D297353CC}">
              <c16:uniqueId val="{00000003-E64D-43F6-AE63-1968DC0BB8B4}"/>
            </c:ext>
          </c:extLst>
        </c:ser>
        <c:ser>
          <c:idx val="2"/>
          <c:order val="2"/>
          <c:tx>
            <c:strRef>
              <c:f>'9'!$W$4</c:f>
              <c:strCache>
                <c:ptCount val="1"/>
                <c:pt idx="0">
                  <c:v>sometimes</c:v>
                </c:pt>
              </c:strCache>
            </c:strRef>
          </c:tx>
          <c:spPr>
            <a:solidFill>
              <a:srgbClr val="FFC000"/>
            </a:solidFill>
            <a:ln>
              <a:noFill/>
            </a:ln>
            <a:effectLst/>
          </c:spPr>
          <c:invertIfNegative val="0"/>
          <c:cat>
            <c:strRef>
              <c:f>'9'!$AC$1:$AJ$1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'9'!$AC$4:$AJ$4</c:f>
              <c:numCache>
                <c:formatCode>General</c:formatCode>
                <c:ptCount val="8"/>
                <c:pt idx="0">
                  <c:v>22</c:v>
                </c:pt>
                <c:pt idx="1">
                  <c:v>11</c:v>
                </c:pt>
                <c:pt idx="2">
                  <c:v>6</c:v>
                </c:pt>
                <c:pt idx="3">
                  <c:v>2</c:v>
                </c:pt>
                <c:pt idx="4">
                  <c:v>32</c:v>
                </c:pt>
                <c:pt idx="5">
                  <c:v>5</c:v>
                </c:pt>
                <c:pt idx="6">
                  <c:v>5</c:v>
                </c:pt>
                <c:pt idx="7">
                  <c:v>7</c:v>
                </c:pt>
              </c:numCache>
            </c:numRef>
          </c:val>
          <c:extLst>
            <c:ext xmlns:c16="http://schemas.microsoft.com/office/drawing/2014/chart" uri="{C3380CC4-5D6E-409C-BE32-E72D297353CC}">
              <c16:uniqueId val="{00000002-E64D-43F6-AE63-1968DC0BB8B4}"/>
            </c:ext>
          </c:extLst>
        </c:ser>
        <c:ser>
          <c:idx val="1"/>
          <c:order val="3"/>
          <c:tx>
            <c:strRef>
              <c:f>'9'!$W$3</c:f>
              <c:strCache>
                <c:ptCount val="1"/>
                <c:pt idx="0">
                  <c:v>rarely</c:v>
                </c:pt>
              </c:strCache>
            </c:strRef>
          </c:tx>
          <c:spPr>
            <a:solidFill>
              <a:srgbClr val="FF9933"/>
            </a:solidFill>
            <a:ln>
              <a:noFill/>
            </a:ln>
            <a:effectLst/>
          </c:spPr>
          <c:invertIfNegative val="0"/>
          <c:cat>
            <c:strRef>
              <c:f>'9'!$AC$1:$AJ$1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'9'!$AC$3:$AJ$3</c:f>
              <c:numCache>
                <c:formatCode>General</c:formatCode>
                <c:ptCount val="8"/>
                <c:pt idx="0">
                  <c:v>14</c:v>
                </c:pt>
                <c:pt idx="1">
                  <c:v>2</c:v>
                </c:pt>
                <c:pt idx="2">
                  <c:v>0</c:v>
                </c:pt>
                <c:pt idx="3">
                  <c:v>0</c:v>
                </c:pt>
                <c:pt idx="4">
                  <c:v>7</c:v>
                </c:pt>
                <c:pt idx="5">
                  <c:v>1</c:v>
                </c:pt>
                <c:pt idx="6">
                  <c:v>1</c:v>
                </c:pt>
                <c:pt idx="7">
                  <c:v>0</c:v>
                </c:pt>
              </c:numCache>
            </c:numRef>
          </c:val>
          <c:extLst>
            <c:ext xmlns:c16="http://schemas.microsoft.com/office/drawing/2014/chart" uri="{C3380CC4-5D6E-409C-BE32-E72D297353CC}">
              <c16:uniqueId val="{00000001-E64D-43F6-AE63-1968DC0BB8B4}"/>
            </c:ext>
          </c:extLst>
        </c:ser>
        <c:ser>
          <c:idx val="0"/>
          <c:order val="4"/>
          <c:tx>
            <c:strRef>
              <c:f>'9'!$W$2</c:f>
              <c:strCache>
                <c:ptCount val="1"/>
                <c:pt idx="0">
                  <c:v>never</c:v>
                </c:pt>
              </c:strCache>
            </c:strRef>
          </c:tx>
          <c:spPr>
            <a:solidFill>
              <a:srgbClr val="FF0000"/>
            </a:solidFill>
            <a:ln>
              <a:noFill/>
            </a:ln>
            <a:effectLst/>
          </c:spPr>
          <c:invertIfNegative val="0"/>
          <c:cat>
            <c:strRef>
              <c:f>'9'!$AC$1:$AJ$1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'9'!$AC$2:$AJ$2</c:f>
              <c:numCache>
                <c:formatCode>General</c:formatCode>
                <c:ptCount val="8"/>
                <c:pt idx="0">
                  <c:v>3</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E64D-43F6-AE63-1968DC0BB8B4}"/>
            </c:ext>
          </c:extLst>
        </c:ser>
        <c:dLbls>
          <c:showLegendKey val="0"/>
          <c:showVal val="0"/>
          <c:showCatName val="0"/>
          <c:showSerName val="0"/>
          <c:showPercent val="0"/>
          <c:showBubbleSize val="0"/>
        </c:dLbls>
        <c:gapWidth val="130"/>
        <c:overlap val="100"/>
        <c:axId val="572334192"/>
        <c:axId val="572334848"/>
      </c:barChart>
      <c:catAx>
        <c:axId val="57233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2334848"/>
        <c:crosses val="autoZero"/>
        <c:auto val="1"/>
        <c:lblAlgn val="ctr"/>
        <c:lblOffset val="100"/>
        <c:noMultiLvlLbl val="0"/>
      </c:catAx>
      <c:valAx>
        <c:axId val="57233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2334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Involving the CF in the publication would improve the quality of published data</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'9'!$AL$2</c:f>
              <c:strCache>
                <c:ptCount val="1"/>
                <c:pt idx="0">
                  <c:v>Yes</c:v>
                </c:pt>
              </c:strCache>
            </c:strRef>
          </c:tx>
          <c:spPr>
            <a:solidFill>
              <a:schemeClr val="accent1"/>
            </a:solidFill>
            <a:ln>
              <a:noFill/>
            </a:ln>
            <a:effectLst/>
          </c:spPr>
          <c:invertIfNegative val="0"/>
          <c:cat>
            <c:strRef>
              <c:f>'9'!$AR$1:$AY$1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'9'!$AR$2:$AY$2</c:f>
              <c:numCache>
                <c:formatCode>General</c:formatCode>
                <c:ptCount val="8"/>
                <c:pt idx="0">
                  <c:v>41</c:v>
                </c:pt>
                <c:pt idx="1">
                  <c:v>24</c:v>
                </c:pt>
                <c:pt idx="2">
                  <c:v>8</c:v>
                </c:pt>
                <c:pt idx="3">
                  <c:v>7</c:v>
                </c:pt>
                <c:pt idx="4">
                  <c:v>55</c:v>
                </c:pt>
                <c:pt idx="5">
                  <c:v>12</c:v>
                </c:pt>
                <c:pt idx="6">
                  <c:v>7</c:v>
                </c:pt>
                <c:pt idx="7">
                  <c:v>29</c:v>
                </c:pt>
              </c:numCache>
            </c:numRef>
          </c:val>
          <c:extLst>
            <c:ext xmlns:c16="http://schemas.microsoft.com/office/drawing/2014/chart" uri="{C3380CC4-5D6E-409C-BE32-E72D297353CC}">
              <c16:uniqueId val="{00000000-3C35-4763-8702-5F1544196600}"/>
            </c:ext>
          </c:extLst>
        </c:ser>
        <c:ser>
          <c:idx val="1"/>
          <c:order val="1"/>
          <c:tx>
            <c:strRef>
              <c:f>'9'!$AL$3</c:f>
              <c:strCache>
                <c:ptCount val="1"/>
                <c:pt idx="0">
                  <c:v>No</c:v>
                </c:pt>
              </c:strCache>
            </c:strRef>
          </c:tx>
          <c:spPr>
            <a:solidFill>
              <a:srgbClr val="FF0000"/>
            </a:solidFill>
            <a:ln>
              <a:noFill/>
            </a:ln>
            <a:effectLst/>
          </c:spPr>
          <c:invertIfNegative val="0"/>
          <c:cat>
            <c:strRef>
              <c:f>'9'!$AR$1:$AY$1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'9'!$AR$3:$AY$3</c:f>
              <c:numCache>
                <c:formatCode>General</c:formatCode>
                <c:ptCount val="8"/>
                <c:pt idx="0">
                  <c:v>4</c:v>
                </c:pt>
                <c:pt idx="1">
                  <c:v>3</c:v>
                </c:pt>
                <c:pt idx="2">
                  <c:v>2</c:v>
                </c:pt>
                <c:pt idx="3">
                  <c:v>0</c:v>
                </c:pt>
                <c:pt idx="4">
                  <c:v>1</c:v>
                </c:pt>
                <c:pt idx="5">
                  <c:v>0</c:v>
                </c:pt>
                <c:pt idx="6">
                  <c:v>0</c:v>
                </c:pt>
                <c:pt idx="7">
                  <c:v>5</c:v>
                </c:pt>
              </c:numCache>
            </c:numRef>
          </c:val>
          <c:extLst>
            <c:ext xmlns:c16="http://schemas.microsoft.com/office/drawing/2014/chart" uri="{C3380CC4-5D6E-409C-BE32-E72D297353CC}">
              <c16:uniqueId val="{00000001-3C35-4763-8702-5F1544196600}"/>
            </c:ext>
          </c:extLst>
        </c:ser>
        <c:dLbls>
          <c:showLegendKey val="0"/>
          <c:showVal val="0"/>
          <c:showCatName val="0"/>
          <c:showSerName val="0"/>
          <c:showPercent val="0"/>
          <c:showBubbleSize val="0"/>
        </c:dLbls>
        <c:gapWidth val="130"/>
        <c:overlap val="100"/>
        <c:axId val="553846896"/>
        <c:axId val="553847880"/>
      </c:barChart>
      <c:catAx>
        <c:axId val="55384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3847880"/>
        <c:crosses val="autoZero"/>
        <c:auto val="1"/>
        <c:lblAlgn val="ctr"/>
        <c:lblOffset val="100"/>
        <c:noMultiLvlLbl val="0"/>
      </c:catAx>
      <c:valAx>
        <c:axId val="553847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3846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The users use the information provided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'10'!$U$2:$U$6</c:f>
              <c:strCache>
                <c:ptCount val="5"/>
                <c:pt idx="0">
                  <c:v>never</c:v>
                </c:pt>
                <c:pt idx="1">
                  <c:v>rarely</c:v>
                </c:pt>
                <c:pt idx="2">
                  <c:v>sometimes</c:v>
                </c:pt>
                <c:pt idx="3">
                  <c:v>often</c:v>
                </c:pt>
                <c:pt idx="4">
                  <c:v>always</c:v>
                </c:pt>
              </c:strCache>
            </c:strRef>
          </c:cat>
          <c:val>
            <c:numRef>
              <c:f>'10'!$V$2:$V$6</c:f>
              <c:numCache>
                <c:formatCode>General</c:formatCode>
                <c:ptCount val="5"/>
                <c:pt idx="0">
                  <c:v>0</c:v>
                </c:pt>
                <c:pt idx="1">
                  <c:v>1</c:v>
                </c:pt>
                <c:pt idx="2">
                  <c:v>60</c:v>
                </c:pt>
                <c:pt idx="3">
                  <c:v>145</c:v>
                </c:pt>
                <c:pt idx="4">
                  <c:v>47</c:v>
                </c:pt>
              </c:numCache>
            </c:numRef>
          </c:val>
          <c:extLst>
            <c:ext xmlns:c16="http://schemas.microsoft.com/office/drawing/2014/chart" uri="{C3380CC4-5D6E-409C-BE32-E72D297353CC}">
              <c16:uniqueId val="{00000000-2BE4-4247-AE42-60FC8D9FE16B}"/>
            </c:ext>
          </c:extLst>
        </c:ser>
        <c:dLbls>
          <c:showLegendKey val="0"/>
          <c:showVal val="0"/>
          <c:showCatName val="0"/>
          <c:showSerName val="0"/>
          <c:showPercent val="0"/>
          <c:showBubbleSize val="0"/>
        </c:dLbls>
        <c:gapWidth val="130"/>
        <c:overlap val="-27"/>
        <c:axId val="350279952"/>
        <c:axId val="350280280"/>
      </c:barChart>
      <c:catAx>
        <c:axId val="35027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50280280"/>
        <c:crosses val="autoZero"/>
        <c:auto val="1"/>
        <c:lblAlgn val="ctr"/>
        <c:lblOffset val="100"/>
        <c:noMultiLvlLbl val="0"/>
      </c:catAx>
      <c:valAx>
        <c:axId val="350280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50279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ubbleChart>
        <c:varyColors val="0"/>
        <c:ser>
          <c:idx val="0"/>
          <c:order val="0"/>
          <c:tx>
            <c:strRef>
              <c:f>'1bis'!$M$1</c:f>
              <c:strCache>
                <c:ptCount val="1"/>
                <c:pt idx="0">
                  <c:v>histology</c:v>
                </c:pt>
              </c:strCache>
            </c:strRef>
          </c:tx>
          <c:spPr>
            <a:solidFill>
              <a:schemeClr val="accent1">
                <a:alpha val="75000"/>
              </a:schemeClr>
            </a:solidFill>
            <a:ln>
              <a:noFill/>
            </a:ln>
            <a:effectLst/>
          </c:spPr>
          <c:invertIfNegative val="0"/>
          <c:xVal>
            <c:numRef>
              <c:f>'1bis'!$F$2:$F$31</c:f>
              <c:numCache>
                <c:formatCode>General</c:formatCode>
                <c:ptCount val="30"/>
                <c:pt idx="0">
                  <c:v>2.5</c:v>
                </c:pt>
                <c:pt idx="1">
                  <c:v>2.5</c:v>
                </c:pt>
                <c:pt idx="2">
                  <c:v>2.5</c:v>
                </c:pt>
                <c:pt idx="3">
                  <c:v>2.5</c:v>
                </c:pt>
                <c:pt idx="4">
                  <c:v>2.5</c:v>
                </c:pt>
                <c:pt idx="5">
                  <c:v>2.5</c:v>
                </c:pt>
                <c:pt idx="6">
                  <c:v>6.5</c:v>
                </c:pt>
                <c:pt idx="7">
                  <c:v>6.5</c:v>
                </c:pt>
                <c:pt idx="8">
                  <c:v>6.5</c:v>
                </c:pt>
                <c:pt idx="9">
                  <c:v>6.5</c:v>
                </c:pt>
                <c:pt idx="10">
                  <c:v>6.5</c:v>
                </c:pt>
                <c:pt idx="11">
                  <c:v>6.5</c:v>
                </c:pt>
                <c:pt idx="12">
                  <c:v>10.5</c:v>
                </c:pt>
                <c:pt idx="13">
                  <c:v>10.5</c:v>
                </c:pt>
                <c:pt idx="14">
                  <c:v>10.5</c:v>
                </c:pt>
                <c:pt idx="15">
                  <c:v>10.5</c:v>
                </c:pt>
                <c:pt idx="16">
                  <c:v>10.5</c:v>
                </c:pt>
                <c:pt idx="17">
                  <c:v>10.5</c:v>
                </c:pt>
                <c:pt idx="18">
                  <c:v>14.5</c:v>
                </c:pt>
                <c:pt idx="19">
                  <c:v>14.5</c:v>
                </c:pt>
                <c:pt idx="20">
                  <c:v>14.5</c:v>
                </c:pt>
                <c:pt idx="21">
                  <c:v>14.5</c:v>
                </c:pt>
                <c:pt idx="22">
                  <c:v>14.5</c:v>
                </c:pt>
                <c:pt idx="23">
                  <c:v>14.5</c:v>
                </c:pt>
                <c:pt idx="24">
                  <c:v>18.5</c:v>
                </c:pt>
                <c:pt idx="25">
                  <c:v>18.5</c:v>
                </c:pt>
                <c:pt idx="26">
                  <c:v>18.5</c:v>
                </c:pt>
                <c:pt idx="27">
                  <c:v>18.5</c:v>
                </c:pt>
                <c:pt idx="28">
                  <c:v>18.5</c:v>
                </c:pt>
                <c:pt idx="29">
                  <c:v>18.5</c:v>
                </c:pt>
              </c:numCache>
            </c:numRef>
          </c:xVal>
          <c:yVal>
            <c:numRef>
              <c:f>'1bis'!$G$2:$G$31</c:f>
              <c:numCache>
                <c:formatCode>General</c:formatCode>
                <c:ptCount val="30"/>
                <c:pt idx="0">
                  <c:v>10</c:v>
                </c:pt>
                <c:pt idx="1">
                  <c:v>30</c:v>
                </c:pt>
                <c:pt idx="2">
                  <c:v>50</c:v>
                </c:pt>
                <c:pt idx="3">
                  <c:v>70</c:v>
                </c:pt>
                <c:pt idx="4">
                  <c:v>90</c:v>
                </c:pt>
                <c:pt idx="5">
                  <c:v>110</c:v>
                </c:pt>
                <c:pt idx="6">
                  <c:v>10</c:v>
                </c:pt>
                <c:pt idx="7">
                  <c:v>30</c:v>
                </c:pt>
                <c:pt idx="8">
                  <c:v>50</c:v>
                </c:pt>
                <c:pt idx="9">
                  <c:v>70</c:v>
                </c:pt>
                <c:pt idx="10">
                  <c:v>90</c:v>
                </c:pt>
                <c:pt idx="11">
                  <c:v>110</c:v>
                </c:pt>
                <c:pt idx="12">
                  <c:v>10</c:v>
                </c:pt>
                <c:pt idx="13">
                  <c:v>30</c:v>
                </c:pt>
                <c:pt idx="14">
                  <c:v>50</c:v>
                </c:pt>
                <c:pt idx="15">
                  <c:v>70</c:v>
                </c:pt>
                <c:pt idx="16">
                  <c:v>90</c:v>
                </c:pt>
                <c:pt idx="17">
                  <c:v>110</c:v>
                </c:pt>
                <c:pt idx="18">
                  <c:v>10</c:v>
                </c:pt>
                <c:pt idx="19">
                  <c:v>30</c:v>
                </c:pt>
                <c:pt idx="20">
                  <c:v>50</c:v>
                </c:pt>
                <c:pt idx="21">
                  <c:v>70</c:v>
                </c:pt>
                <c:pt idx="22">
                  <c:v>90</c:v>
                </c:pt>
                <c:pt idx="23">
                  <c:v>110</c:v>
                </c:pt>
                <c:pt idx="24">
                  <c:v>10</c:v>
                </c:pt>
                <c:pt idx="25">
                  <c:v>30</c:v>
                </c:pt>
                <c:pt idx="26">
                  <c:v>50</c:v>
                </c:pt>
                <c:pt idx="27">
                  <c:v>70</c:v>
                </c:pt>
                <c:pt idx="28">
                  <c:v>90</c:v>
                </c:pt>
                <c:pt idx="29">
                  <c:v>110</c:v>
                </c:pt>
              </c:numCache>
            </c:numRef>
          </c:yVal>
          <c:bubbleSize>
            <c:numRef>
              <c:f>'1bis'!$M$2:$M$31</c:f>
              <c:numCache>
                <c:formatCode>General</c:formatCode>
                <c:ptCount val="30"/>
                <c:pt idx="0">
                  <c:v>5</c:v>
                </c:pt>
                <c:pt idx="1">
                  <c:v>1</c:v>
                </c:pt>
                <c:pt idx="2">
                  <c:v>1</c:v>
                </c:pt>
                <c:pt idx="3">
                  <c:v>0</c:v>
                </c:pt>
                <c:pt idx="4">
                  <c:v>0</c:v>
                </c:pt>
                <c:pt idx="5">
                  <c:v>1</c:v>
                </c:pt>
                <c:pt idx="6">
                  <c:v>0</c:v>
                </c:pt>
                <c:pt idx="7">
                  <c:v>0</c:v>
                </c:pt>
                <c:pt idx="8">
                  <c:v>0</c:v>
                </c:pt>
                <c:pt idx="9">
                  <c:v>0</c:v>
                </c:pt>
                <c:pt idx="10">
                  <c:v>0</c:v>
                </c:pt>
                <c:pt idx="11">
                  <c:v>1</c:v>
                </c:pt>
                <c:pt idx="12">
                  <c:v>0</c:v>
                </c:pt>
                <c:pt idx="13">
                  <c:v>1</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bubbleSize>
          <c:bubble3D val="0"/>
          <c:extLst>
            <c:ext xmlns:c16="http://schemas.microsoft.com/office/drawing/2014/chart" uri="{C3380CC4-5D6E-409C-BE32-E72D297353CC}">
              <c16:uniqueId val="{00000000-AA80-4039-AE0D-1C2CB70476BA}"/>
            </c:ext>
          </c:extLst>
        </c:ser>
        <c:dLbls>
          <c:showLegendKey val="0"/>
          <c:showVal val="0"/>
          <c:showCatName val="0"/>
          <c:showSerName val="0"/>
          <c:showPercent val="0"/>
          <c:showBubbleSize val="0"/>
        </c:dLbls>
        <c:bubbleScale val="100"/>
        <c:showNegBubbles val="0"/>
        <c:axId val="549157272"/>
        <c:axId val="549155304"/>
      </c:bubbleChart>
      <c:valAx>
        <c:axId val="5491572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staff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9155304"/>
        <c:crosses val="autoZero"/>
        <c:crossBetween val="midCat"/>
      </c:valAx>
      <c:valAx>
        <c:axId val="549155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users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91572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use a data management plan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F0-47F1-9976-B474ED1CCBE9}"/>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D5F0-47F1-9976-B474ED1CCB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'10'!$AJ$2:$AJ$3</c:f>
              <c:strCache>
                <c:ptCount val="2"/>
                <c:pt idx="0">
                  <c:v>Yes</c:v>
                </c:pt>
                <c:pt idx="1">
                  <c:v>No</c:v>
                </c:pt>
              </c:strCache>
            </c:strRef>
          </c:cat>
          <c:val>
            <c:numRef>
              <c:f>'10'!$AK$2:$AK$3</c:f>
              <c:numCache>
                <c:formatCode>General</c:formatCode>
                <c:ptCount val="2"/>
                <c:pt idx="0">
                  <c:v>74</c:v>
                </c:pt>
                <c:pt idx="1">
                  <c:v>179</c:v>
                </c:pt>
              </c:numCache>
            </c:numRef>
          </c:val>
          <c:extLst>
            <c:ext xmlns:c16="http://schemas.microsoft.com/office/drawing/2014/chart" uri="{C3380CC4-5D6E-409C-BE32-E72D297353CC}">
              <c16:uniqueId val="{00000004-D5F0-47F1-9976-B474ED1CCBE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sufficient staff?</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67A-4FF6-95E4-AB72F484583C}"/>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367A-4FF6-95E4-AB72F48458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'10'!$CK$2:$CK$3</c:f>
              <c:strCache>
                <c:ptCount val="2"/>
                <c:pt idx="0">
                  <c:v>Yes</c:v>
                </c:pt>
                <c:pt idx="1">
                  <c:v>No</c:v>
                </c:pt>
              </c:strCache>
            </c:strRef>
          </c:cat>
          <c:val>
            <c:numRef>
              <c:f>'10'!$CL$2:$CL$3</c:f>
              <c:numCache>
                <c:formatCode>General</c:formatCode>
                <c:ptCount val="2"/>
                <c:pt idx="0">
                  <c:v>111</c:v>
                </c:pt>
                <c:pt idx="1">
                  <c:v>142</c:v>
                </c:pt>
              </c:numCache>
            </c:numRef>
          </c:val>
          <c:extLst>
            <c:ext xmlns:c16="http://schemas.microsoft.com/office/drawing/2014/chart" uri="{C3380CC4-5D6E-409C-BE32-E72D297353CC}">
              <c16:uniqueId val="{00000004-367A-4FF6-95E4-AB72F48458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sufficient funding?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D2F-4A3A-84F3-F17D7C30EB9B}"/>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FD2F-4A3A-84F3-F17D7C30E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'10'!$CV$2:$CV$3</c:f>
              <c:strCache>
                <c:ptCount val="2"/>
                <c:pt idx="0">
                  <c:v>Yes</c:v>
                </c:pt>
                <c:pt idx="1">
                  <c:v>No</c:v>
                </c:pt>
              </c:strCache>
            </c:strRef>
          </c:cat>
          <c:val>
            <c:numRef>
              <c:f>'10'!$CW$2:$CW$3</c:f>
              <c:numCache>
                <c:formatCode>General</c:formatCode>
                <c:ptCount val="2"/>
                <c:pt idx="0">
                  <c:v>127</c:v>
                </c:pt>
                <c:pt idx="1">
                  <c:v>126</c:v>
                </c:pt>
              </c:numCache>
            </c:numRef>
          </c:val>
          <c:extLst>
            <c:ext xmlns:c16="http://schemas.microsoft.com/office/drawing/2014/chart" uri="{C3380CC4-5D6E-409C-BE32-E72D297353CC}">
              <c16:uniqueId val="{00000004-FD2F-4A3A-84F3-F17D7C30EB9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using tools to improve research quality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C23-4EE7-8A48-3ACFFFC2996F}"/>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FC23-4EE7-8A48-3ACFFFC299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'10'!$DG$2:$DG$3</c:f>
              <c:strCache>
                <c:ptCount val="2"/>
                <c:pt idx="0">
                  <c:v>Yes</c:v>
                </c:pt>
                <c:pt idx="1">
                  <c:v>No</c:v>
                </c:pt>
              </c:strCache>
            </c:strRef>
          </c:cat>
          <c:val>
            <c:numRef>
              <c:f>'10'!$DH$2:$DH$3</c:f>
              <c:numCache>
                <c:formatCode>General</c:formatCode>
                <c:ptCount val="2"/>
                <c:pt idx="0">
                  <c:v>97</c:v>
                </c:pt>
                <c:pt idx="1">
                  <c:v>156</c:v>
                </c:pt>
              </c:numCache>
            </c:numRef>
          </c:val>
          <c:extLst>
            <c:ext xmlns:c16="http://schemas.microsoft.com/office/drawing/2014/chart" uri="{C3380CC4-5D6E-409C-BE32-E72D297353CC}">
              <c16:uniqueId val="{00000004-FC23-4EE7-8A48-3ACFFFC2996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If</a:t>
            </a:r>
            <a:r>
              <a:rPr lang="en-GB" baseline="0"/>
              <a:t> CF doesn't have a data management plan, w</a:t>
            </a:r>
            <a:r>
              <a:rPr lang="en-GB"/>
              <a:t>ould it be useful to implement one?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F4D-451C-85BC-933C781129B4}"/>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CF4D-451C-85BC-933C781129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'10'!$BV$2:$BV$3</c:f>
              <c:strCache>
                <c:ptCount val="2"/>
                <c:pt idx="0">
                  <c:v>Yes</c:v>
                </c:pt>
                <c:pt idx="1">
                  <c:v>No</c:v>
                </c:pt>
              </c:strCache>
            </c:strRef>
          </c:cat>
          <c:val>
            <c:numRef>
              <c:f>'10'!$BW$2:$BW$3</c:f>
              <c:numCache>
                <c:formatCode>General</c:formatCode>
                <c:ptCount val="2"/>
                <c:pt idx="0">
                  <c:v>104</c:v>
                </c:pt>
                <c:pt idx="1">
                  <c:v>54</c:v>
                </c:pt>
              </c:numCache>
            </c:numRef>
          </c:val>
          <c:extLst>
            <c:ext xmlns:c16="http://schemas.microsoft.com/office/drawing/2014/chart" uri="{C3380CC4-5D6E-409C-BE32-E72D297353CC}">
              <c16:uniqueId val="{00000004-CF4D-451C-85BC-933C781129B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Factors for quality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cat>
            <c:strRef>
              <c:f>'10'!$DY$2:$DY$16</c:f>
              <c:strCache>
                <c:ptCount val="15"/>
                <c:pt idx="0">
                  <c:v>enough qualified staff</c:v>
                </c:pt>
                <c:pt idx="1">
                  <c:v>equipment (up to date, setup, maintenance)</c:v>
                </c:pt>
                <c:pt idx="2">
                  <c:v>training, advice to user</c:v>
                </c:pt>
                <c:pt idx="3">
                  <c:v>SOP, standardization</c:v>
                </c:pt>
                <c:pt idx="4">
                  <c:v>sample, controls</c:v>
                </c:pt>
                <c:pt idx="5">
                  <c:v>quality control</c:v>
                </c:pt>
                <c:pt idx="6">
                  <c:v>data analysis</c:v>
                </c:pt>
                <c:pt idx="7">
                  <c:v>data management, metadata, documentation</c:v>
                </c:pt>
                <c:pt idx="8">
                  <c:v>expertise, development</c:v>
                </c:pt>
                <c:pt idx="9">
                  <c:v>experimental design</c:v>
                </c:pt>
                <c:pt idx="10">
                  <c:v>communication, collaboration with user</c:v>
                </c:pt>
                <c:pt idx="11">
                  <c:v>good scientific practice</c:v>
                </c:pt>
                <c:pt idx="12">
                  <c:v>data collection</c:v>
                </c:pt>
                <c:pt idx="13">
                  <c:v>reporting</c:v>
                </c:pt>
                <c:pt idx="14">
                  <c:v>time</c:v>
                </c:pt>
              </c:strCache>
            </c:strRef>
          </c:cat>
          <c:val>
            <c:numRef>
              <c:f>'10'!$DZ$2:$DZ$16</c:f>
              <c:numCache>
                <c:formatCode>General</c:formatCode>
                <c:ptCount val="15"/>
                <c:pt idx="0">
                  <c:v>43</c:v>
                </c:pt>
                <c:pt idx="1">
                  <c:v>41</c:v>
                </c:pt>
                <c:pt idx="2">
                  <c:v>38</c:v>
                </c:pt>
                <c:pt idx="3">
                  <c:v>32</c:v>
                </c:pt>
                <c:pt idx="4">
                  <c:v>29</c:v>
                </c:pt>
                <c:pt idx="5">
                  <c:v>22</c:v>
                </c:pt>
                <c:pt idx="6">
                  <c:v>20</c:v>
                </c:pt>
                <c:pt idx="7">
                  <c:v>15</c:v>
                </c:pt>
                <c:pt idx="8">
                  <c:v>16</c:v>
                </c:pt>
                <c:pt idx="9">
                  <c:v>15</c:v>
                </c:pt>
                <c:pt idx="10">
                  <c:v>14</c:v>
                </c:pt>
                <c:pt idx="11">
                  <c:v>12</c:v>
                </c:pt>
                <c:pt idx="12">
                  <c:v>5</c:v>
                </c:pt>
                <c:pt idx="13">
                  <c:v>3</c:v>
                </c:pt>
                <c:pt idx="14">
                  <c:v>2</c:v>
                </c:pt>
              </c:numCache>
            </c:numRef>
          </c:val>
          <c:extLst>
            <c:ext xmlns:c16="http://schemas.microsoft.com/office/drawing/2014/chart" uri="{C3380CC4-5D6E-409C-BE32-E72D297353CC}">
              <c16:uniqueId val="{00000000-E1CE-4E84-A01C-74E16C667A53}"/>
            </c:ext>
          </c:extLst>
        </c:ser>
        <c:dLbls>
          <c:showLegendKey val="0"/>
          <c:showVal val="0"/>
          <c:showCatName val="0"/>
          <c:showSerName val="0"/>
          <c:showPercent val="0"/>
          <c:showBubbleSize val="0"/>
        </c:dLbls>
        <c:gapWidth val="130"/>
        <c:axId val="500295296"/>
        <c:axId val="500299232"/>
      </c:barChart>
      <c:catAx>
        <c:axId val="500295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0299232"/>
        <c:crosses val="autoZero"/>
        <c:auto val="1"/>
        <c:lblAlgn val="ctr"/>
        <c:lblOffset val="100"/>
        <c:noMultiLvlLbl val="0"/>
      </c:catAx>
      <c:valAx>
        <c:axId val="5002992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0295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Needs for improvement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cat>
            <c:strRef>
              <c:f>'10'!$EB$2:$EB$18</c:f>
              <c:strCache>
                <c:ptCount val="17"/>
                <c:pt idx="0">
                  <c:v>more staff, funding staff</c:v>
                </c:pt>
                <c:pt idx="1">
                  <c:v>equipment (up to date, setup, maintenance)</c:v>
                </c:pt>
                <c:pt idx="2">
                  <c:v>data analysis</c:v>
                </c:pt>
                <c:pt idx="3">
                  <c:v>data management, metadata, documentation</c:v>
                </c:pt>
                <c:pt idx="4">
                  <c:v>user training</c:v>
                </c:pt>
                <c:pt idx="5">
                  <c:v>expertise, development</c:v>
                </c:pt>
                <c:pt idx="6">
                  <c:v>sample management, project management</c:v>
                </c:pt>
                <c:pt idx="7">
                  <c:v>CF management, IT infrastructure, software solutions</c:v>
                </c:pt>
                <c:pt idx="8">
                  <c:v>communication, involvement, collaboration with user</c:v>
                </c:pt>
                <c:pt idx="9">
                  <c:v>automation</c:v>
                </c:pt>
                <c:pt idx="10">
                  <c:v>quality control</c:v>
                </c:pt>
                <c:pt idx="11">
                  <c:v>staff training</c:v>
                </c:pt>
                <c:pt idx="12">
                  <c:v>funding</c:v>
                </c:pt>
                <c:pt idx="13">
                  <c:v>experimental design</c:v>
                </c:pt>
                <c:pt idx="14">
                  <c:v>recognition</c:v>
                </c:pt>
                <c:pt idx="15">
                  <c:v>reporting</c:v>
                </c:pt>
                <c:pt idx="16">
                  <c:v>SOP, standardization</c:v>
                </c:pt>
              </c:strCache>
            </c:strRef>
          </c:cat>
          <c:val>
            <c:numRef>
              <c:f>'10'!$EC$2:$EC$18</c:f>
              <c:numCache>
                <c:formatCode>General</c:formatCode>
                <c:ptCount val="17"/>
                <c:pt idx="0">
                  <c:v>64</c:v>
                </c:pt>
                <c:pt idx="1">
                  <c:v>36</c:v>
                </c:pt>
                <c:pt idx="2">
                  <c:v>21</c:v>
                </c:pt>
                <c:pt idx="3">
                  <c:v>19</c:v>
                </c:pt>
                <c:pt idx="4">
                  <c:v>15</c:v>
                </c:pt>
                <c:pt idx="5">
                  <c:v>14</c:v>
                </c:pt>
                <c:pt idx="6">
                  <c:v>11</c:v>
                </c:pt>
                <c:pt idx="7">
                  <c:v>9</c:v>
                </c:pt>
                <c:pt idx="8">
                  <c:v>8</c:v>
                </c:pt>
                <c:pt idx="9">
                  <c:v>8</c:v>
                </c:pt>
                <c:pt idx="10">
                  <c:v>7</c:v>
                </c:pt>
                <c:pt idx="11">
                  <c:v>7</c:v>
                </c:pt>
                <c:pt idx="12">
                  <c:v>5</c:v>
                </c:pt>
                <c:pt idx="13">
                  <c:v>4</c:v>
                </c:pt>
                <c:pt idx="14">
                  <c:v>3</c:v>
                </c:pt>
                <c:pt idx="15">
                  <c:v>1</c:v>
                </c:pt>
                <c:pt idx="16">
                  <c:v>2</c:v>
                </c:pt>
              </c:numCache>
            </c:numRef>
          </c:val>
          <c:extLst>
            <c:ext xmlns:c16="http://schemas.microsoft.com/office/drawing/2014/chart" uri="{C3380CC4-5D6E-409C-BE32-E72D297353CC}">
              <c16:uniqueId val="{00000000-FF90-4B6D-AAE1-722C8423D065}"/>
            </c:ext>
          </c:extLst>
        </c:ser>
        <c:dLbls>
          <c:showLegendKey val="0"/>
          <c:showVal val="0"/>
          <c:showCatName val="0"/>
          <c:showSerName val="0"/>
          <c:showPercent val="0"/>
          <c:showBubbleSize val="0"/>
        </c:dLbls>
        <c:gapWidth val="130"/>
        <c:axId val="450651952"/>
        <c:axId val="450652280"/>
      </c:barChart>
      <c:catAx>
        <c:axId val="450651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0652280"/>
        <c:crosses val="autoZero"/>
        <c:auto val="1"/>
        <c:lblAlgn val="ctr"/>
        <c:lblOffset val="100"/>
        <c:noMultiLvlLbl val="0"/>
      </c:catAx>
      <c:valAx>
        <c:axId val="450652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0651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Challenges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55810885177814307"/>
          <c:y val="9.9005641124912488E-2"/>
          <c:w val="0.41094609327680198"/>
          <c:h val="0.83907040718290771"/>
        </c:manualLayout>
      </c:layout>
      <c:barChart>
        <c:barDir val="bar"/>
        <c:grouping val="clustered"/>
        <c:varyColors val="0"/>
        <c:ser>
          <c:idx val="0"/>
          <c:order val="0"/>
          <c:spPr>
            <a:solidFill>
              <a:schemeClr val="accent1"/>
            </a:solidFill>
            <a:ln>
              <a:noFill/>
            </a:ln>
            <a:effectLst/>
          </c:spPr>
          <c:invertIfNegative val="0"/>
          <c:cat>
            <c:strRef>
              <c:f>'10'!$EE$2:$EE$19</c:f>
              <c:strCache>
                <c:ptCount val="18"/>
                <c:pt idx="0">
                  <c:v>funding</c:v>
                </c:pt>
                <c:pt idx="1">
                  <c:v>lack of staff</c:v>
                </c:pt>
                <c:pt idx="2">
                  <c:v>development</c:v>
                </c:pt>
                <c:pt idx="3">
                  <c:v>time, capacity</c:v>
                </c:pt>
                <c:pt idx="4">
                  <c:v>equipment</c:v>
                </c:pt>
                <c:pt idx="5">
                  <c:v>cost recovery</c:v>
                </c:pt>
                <c:pt idx="6">
                  <c:v>space</c:v>
                </c:pt>
                <c:pt idx="7">
                  <c:v>data management, IT infrastructure</c:v>
                </c:pt>
                <c:pt idx="8">
                  <c:v>project complexity</c:v>
                </c:pt>
                <c:pt idx="9">
                  <c:v>quality control</c:v>
                </c:pt>
                <c:pt idx="10">
                  <c:v>standardization</c:v>
                </c:pt>
                <c:pt idx="11">
                  <c:v>publishing</c:v>
                </c:pt>
                <c:pt idx="12">
                  <c:v>interaction with users</c:v>
                </c:pt>
                <c:pt idx="13">
                  <c:v>career progression, permanent positions, motivation</c:v>
                </c:pt>
                <c:pt idx="14">
                  <c:v>recognition</c:v>
                </c:pt>
                <c:pt idx="15">
                  <c:v>bureaucracy</c:v>
                </c:pt>
                <c:pt idx="16">
                  <c:v>visibility</c:v>
                </c:pt>
                <c:pt idx="17">
                  <c:v>data protection</c:v>
                </c:pt>
              </c:strCache>
            </c:strRef>
          </c:cat>
          <c:val>
            <c:numRef>
              <c:f>'10'!$EF$2:$EF$19</c:f>
              <c:numCache>
                <c:formatCode>General</c:formatCode>
                <c:ptCount val="18"/>
                <c:pt idx="0">
                  <c:v>43</c:v>
                </c:pt>
                <c:pt idx="1">
                  <c:v>40</c:v>
                </c:pt>
                <c:pt idx="2">
                  <c:v>25</c:v>
                </c:pt>
                <c:pt idx="3">
                  <c:v>21</c:v>
                </c:pt>
                <c:pt idx="4">
                  <c:v>10</c:v>
                </c:pt>
                <c:pt idx="5">
                  <c:v>6</c:v>
                </c:pt>
                <c:pt idx="6">
                  <c:v>4</c:v>
                </c:pt>
                <c:pt idx="7">
                  <c:v>6</c:v>
                </c:pt>
                <c:pt idx="8">
                  <c:v>3</c:v>
                </c:pt>
                <c:pt idx="9">
                  <c:v>3</c:v>
                </c:pt>
                <c:pt idx="10">
                  <c:v>1</c:v>
                </c:pt>
                <c:pt idx="11">
                  <c:v>1</c:v>
                </c:pt>
                <c:pt idx="12">
                  <c:v>27</c:v>
                </c:pt>
                <c:pt idx="13">
                  <c:v>11</c:v>
                </c:pt>
                <c:pt idx="14">
                  <c:v>9</c:v>
                </c:pt>
                <c:pt idx="15">
                  <c:v>6</c:v>
                </c:pt>
                <c:pt idx="16">
                  <c:v>2</c:v>
                </c:pt>
                <c:pt idx="17">
                  <c:v>1</c:v>
                </c:pt>
              </c:numCache>
            </c:numRef>
          </c:val>
          <c:extLst>
            <c:ext xmlns:c16="http://schemas.microsoft.com/office/drawing/2014/chart" uri="{C3380CC4-5D6E-409C-BE32-E72D297353CC}">
              <c16:uniqueId val="{00000000-90D2-4487-A160-5CE8466C46D5}"/>
            </c:ext>
          </c:extLst>
        </c:ser>
        <c:dLbls>
          <c:showLegendKey val="0"/>
          <c:showVal val="0"/>
          <c:showCatName val="0"/>
          <c:showSerName val="0"/>
          <c:showPercent val="0"/>
          <c:showBubbleSize val="0"/>
        </c:dLbls>
        <c:gapWidth val="130"/>
        <c:axId val="490002552"/>
        <c:axId val="490003208"/>
      </c:barChart>
      <c:catAx>
        <c:axId val="490002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0003208"/>
        <c:crosses val="autoZero"/>
        <c:auto val="1"/>
        <c:lblAlgn val="ctr"/>
        <c:lblOffset val="100"/>
        <c:noMultiLvlLbl val="0"/>
      </c:catAx>
      <c:valAx>
        <c:axId val="490003208"/>
        <c:scaling>
          <c:orientation val="minMax"/>
          <c:max val="5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0002552"/>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CF use a data management plan</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'10'!$AJ$2</c:f>
              <c:strCache>
                <c:ptCount val="1"/>
                <c:pt idx="0">
                  <c:v>Yes</c:v>
                </c:pt>
              </c:strCache>
            </c:strRef>
          </c:tx>
          <c:spPr>
            <a:solidFill>
              <a:schemeClr val="accent1"/>
            </a:solidFill>
            <a:ln>
              <a:noFill/>
            </a:ln>
            <a:effectLst/>
          </c:spPr>
          <c:invertIfNegative val="0"/>
          <c:cat>
            <c:strRef>
              <c:f>'10'!$AL$1:$AN$1</c:f>
              <c:strCache>
                <c:ptCount val="3"/>
                <c:pt idx="0">
                  <c:v>full-service</c:v>
                </c:pt>
                <c:pt idx="1">
                  <c:v>hybrid-service</c:v>
                </c:pt>
                <c:pt idx="2">
                  <c:v>self-service</c:v>
                </c:pt>
              </c:strCache>
            </c:strRef>
          </c:cat>
          <c:val>
            <c:numRef>
              <c:f>'10'!$AL$2:$AN$2</c:f>
              <c:numCache>
                <c:formatCode>General</c:formatCode>
                <c:ptCount val="3"/>
                <c:pt idx="0">
                  <c:v>23</c:v>
                </c:pt>
                <c:pt idx="1">
                  <c:v>50</c:v>
                </c:pt>
                <c:pt idx="2">
                  <c:v>1</c:v>
                </c:pt>
              </c:numCache>
            </c:numRef>
          </c:val>
          <c:extLst>
            <c:ext xmlns:c16="http://schemas.microsoft.com/office/drawing/2014/chart" uri="{C3380CC4-5D6E-409C-BE32-E72D297353CC}">
              <c16:uniqueId val="{00000000-9322-41CD-B498-8DBC540A2C85}"/>
            </c:ext>
          </c:extLst>
        </c:ser>
        <c:ser>
          <c:idx val="1"/>
          <c:order val="1"/>
          <c:tx>
            <c:strRef>
              <c:f>'10'!$AJ$3</c:f>
              <c:strCache>
                <c:ptCount val="1"/>
                <c:pt idx="0">
                  <c:v>No</c:v>
                </c:pt>
              </c:strCache>
            </c:strRef>
          </c:tx>
          <c:spPr>
            <a:solidFill>
              <a:srgbClr val="FF0000"/>
            </a:solidFill>
            <a:ln>
              <a:noFill/>
            </a:ln>
            <a:effectLst/>
          </c:spPr>
          <c:invertIfNegative val="0"/>
          <c:cat>
            <c:strRef>
              <c:f>'10'!$AL$1:$AN$1</c:f>
              <c:strCache>
                <c:ptCount val="3"/>
                <c:pt idx="0">
                  <c:v>full-service</c:v>
                </c:pt>
                <c:pt idx="1">
                  <c:v>hybrid-service</c:v>
                </c:pt>
                <c:pt idx="2">
                  <c:v>self-service</c:v>
                </c:pt>
              </c:strCache>
            </c:strRef>
          </c:cat>
          <c:val>
            <c:numRef>
              <c:f>'10'!$AL$3:$AN$3</c:f>
              <c:numCache>
                <c:formatCode>General</c:formatCode>
                <c:ptCount val="3"/>
                <c:pt idx="0">
                  <c:v>43</c:v>
                </c:pt>
                <c:pt idx="1">
                  <c:v>110</c:v>
                </c:pt>
                <c:pt idx="2">
                  <c:v>26</c:v>
                </c:pt>
              </c:numCache>
            </c:numRef>
          </c:val>
          <c:extLst>
            <c:ext xmlns:c16="http://schemas.microsoft.com/office/drawing/2014/chart" uri="{C3380CC4-5D6E-409C-BE32-E72D297353CC}">
              <c16:uniqueId val="{00000001-9322-41CD-B498-8DBC540A2C85}"/>
            </c:ext>
          </c:extLst>
        </c:ser>
        <c:dLbls>
          <c:showLegendKey val="0"/>
          <c:showVal val="0"/>
          <c:showCatName val="0"/>
          <c:showSerName val="0"/>
          <c:showPercent val="0"/>
          <c:showBubbleSize val="0"/>
        </c:dLbls>
        <c:gapWidth val="130"/>
        <c:overlap val="100"/>
        <c:axId val="460906064"/>
        <c:axId val="460908032"/>
      </c:barChart>
      <c:catAx>
        <c:axId val="460906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0908032"/>
        <c:crosses val="autoZero"/>
        <c:auto val="1"/>
        <c:lblAlgn val="ctr"/>
        <c:lblOffset val="100"/>
        <c:noMultiLvlLbl val="0"/>
      </c:catAx>
      <c:valAx>
        <c:axId val="460908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0906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If CF doesn't have a data management plan, would it be useful to implement one?</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'10'!$BV$2</c:f>
              <c:strCache>
                <c:ptCount val="1"/>
                <c:pt idx="0">
                  <c:v>Yes</c:v>
                </c:pt>
              </c:strCache>
            </c:strRef>
          </c:tx>
          <c:spPr>
            <a:solidFill>
              <a:schemeClr val="accent1"/>
            </a:solidFill>
            <a:ln>
              <a:noFill/>
            </a:ln>
            <a:effectLst/>
          </c:spPr>
          <c:invertIfNegative val="0"/>
          <c:cat>
            <c:strRef>
              <c:f>'10'!$BX$1:$BZ$1</c:f>
              <c:strCache>
                <c:ptCount val="3"/>
                <c:pt idx="0">
                  <c:v>full-service</c:v>
                </c:pt>
                <c:pt idx="1">
                  <c:v>hybrid-service</c:v>
                </c:pt>
                <c:pt idx="2">
                  <c:v>self-service</c:v>
                </c:pt>
              </c:strCache>
            </c:strRef>
          </c:cat>
          <c:val>
            <c:numRef>
              <c:f>'10'!$BX$2:$BZ$2</c:f>
              <c:numCache>
                <c:formatCode>General</c:formatCode>
                <c:ptCount val="3"/>
                <c:pt idx="0">
                  <c:v>29</c:v>
                </c:pt>
                <c:pt idx="1">
                  <c:v>65</c:v>
                </c:pt>
                <c:pt idx="2">
                  <c:v>10</c:v>
                </c:pt>
              </c:numCache>
            </c:numRef>
          </c:val>
          <c:extLst>
            <c:ext xmlns:c16="http://schemas.microsoft.com/office/drawing/2014/chart" uri="{C3380CC4-5D6E-409C-BE32-E72D297353CC}">
              <c16:uniqueId val="{00000000-3FAA-40BE-99A9-20C638EB0101}"/>
            </c:ext>
          </c:extLst>
        </c:ser>
        <c:ser>
          <c:idx val="1"/>
          <c:order val="1"/>
          <c:tx>
            <c:strRef>
              <c:f>'10'!$BV$3</c:f>
              <c:strCache>
                <c:ptCount val="1"/>
                <c:pt idx="0">
                  <c:v>No</c:v>
                </c:pt>
              </c:strCache>
            </c:strRef>
          </c:tx>
          <c:spPr>
            <a:solidFill>
              <a:srgbClr val="FF0000"/>
            </a:solidFill>
            <a:ln>
              <a:noFill/>
            </a:ln>
            <a:effectLst/>
          </c:spPr>
          <c:invertIfNegative val="0"/>
          <c:cat>
            <c:strRef>
              <c:f>'10'!$BX$1:$BZ$1</c:f>
              <c:strCache>
                <c:ptCount val="3"/>
                <c:pt idx="0">
                  <c:v>full-service</c:v>
                </c:pt>
                <c:pt idx="1">
                  <c:v>hybrid-service</c:v>
                </c:pt>
                <c:pt idx="2">
                  <c:v>self-service</c:v>
                </c:pt>
              </c:strCache>
            </c:strRef>
          </c:cat>
          <c:val>
            <c:numRef>
              <c:f>'10'!$BX$3:$BZ$3</c:f>
              <c:numCache>
                <c:formatCode>General</c:formatCode>
                <c:ptCount val="3"/>
                <c:pt idx="0">
                  <c:v>9</c:v>
                </c:pt>
                <c:pt idx="1">
                  <c:v>36</c:v>
                </c:pt>
                <c:pt idx="2">
                  <c:v>9</c:v>
                </c:pt>
              </c:numCache>
            </c:numRef>
          </c:val>
          <c:extLst>
            <c:ext xmlns:c16="http://schemas.microsoft.com/office/drawing/2014/chart" uri="{C3380CC4-5D6E-409C-BE32-E72D297353CC}">
              <c16:uniqueId val="{00000001-3FAA-40BE-99A9-20C638EB0101}"/>
            </c:ext>
          </c:extLst>
        </c:ser>
        <c:dLbls>
          <c:showLegendKey val="0"/>
          <c:showVal val="0"/>
          <c:showCatName val="0"/>
          <c:showSerName val="0"/>
          <c:showPercent val="0"/>
          <c:showBubbleSize val="0"/>
        </c:dLbls>
        <c:gapWidth val="130"/>
        <c:overlap val="100"/>
        <c:axId val="453066912"/>
        <c:axId val="453069536"/>
      </c:barChart>
      <c:catAx>
        <c:axId val="45306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3069536"/>
        <c:crosses val="autoZero"/>
        <c:auto val="1"/>
        <c:lblAlgn val="ctr"/>
        <c:lblOffset val="100"/>
        <c:noMultiLvlLbl val="0"/>
      </c:catAx>
      <c:valAx>
        <c:axId val="453069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30669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ubbleChart>
        <c:varyColors val="0"/>
        <c:ser>
          <c:idx val="0"/>
          <c:order val="0"/>
          <c:tx>
            <c:strRef>
              <c:f>'1bis'!$N$1</c:f>
              <c:strCache>
                <c:ptCount val="1"/>
                <c:pt idx="0">
                  <c:v>protein expression</c:v>
                </c:pt>
              </c:strCache>
            </c:strRef>
          </c:tx>
          <c:spPr>
            <a:solidFill>
              <a:schemeClr val="accent1">
                <a:alpha val="75000"/>
              </a:schemeClr>
            </a:solidFill>
            <a:ln>
              <a:noFill/>
            </a:ln>
            <a:effectLst/>
          </c:spPr>
          <c:invertIfNegative val="0"/>
          <c:xVal>
            <c:numRef>
              <c:f>'1bis'!$F$2:$F$31</c:f>
              <c:numCache>
                <c:formatCode>General</c:formatCode>
                <c:ptCount val="30"/>
                <c:pt idx="0">
                  <c:v>2.5</c:v>
                </c:pt>
                <c:pt idx="1">
                  <c:v>2.5</c:v>
                </c:pt>
                <c:pt idx="2">
                  <c:v>2.5</c:v>
                </c:pt>
                <c:pt idx="3">
                  <c:v>2.5</c:v>
                </c:pt>
                <c:pt idx="4">
                  <c:v>2.5</c:v>
                </c:pt>
                <c:pt idx="5">
                  <c:v>2.5</c:v>
                </c:pt>
                <c:pt idx="6">
                  <c:v>6.5</c:v>
                </c:pt>
                <c:pt idx="7">
                  <c:v>6.5</c:v>
                </c:pt>
                <c:pt idx="8">
                  <c:v>6.5</c:v>
                </c:pt>
                <c:pt idx="9">
                  <c:v>6.5</c:v>
                </c:pt>
                <c:pt idx="10">
                  <c:v>6.5</c:v>
                </c:pt>
                <c:pt idx="11">
                  <c:v>6.5</c:v>
                </c:pt>
                <c:pt idx="12">
                  <c:v>10.5</c:v>
                </c:pt>
                <c:pt idx="13">
                  <c:v>10.5</c:v>
                </c:pt>
                <c:pt idx="14">
                  <c:v>10.5</c:v>
                </c:pt>
                <c:pt idx="15">
                  <c:v>10.5</c:v>
                </c:pt>
                <c:pt idx="16">
                  <c:v>10.5</c:v>
                </c:pt>
                <c:pt idx="17">
                  <c:v>10.5</c:v>
                </c:pt>
                <c:pt idx="18">
                  <c:v>14.5</c:v>
                </c:pt>
                <c:pt idx="19">
                  <c:v>14.5</c:v>
                </c:pt>
                <c:pt idx="20">
                  <c:v>14.5</c:v>
                </c:pt>
                <c:pt idx="21">
                  <c:v>14.5</c:v>
                </c:pt>
                <c:pt idx="22">
                  <c:v>14.5</c:v>
                </c:pt>
                <c:pt idx="23">
                  <c:v>14.5</c:v>
                </c:pt>
                <c:pt idx="24">
                  <c:v>18.5</c:v>
                </c:pt>
                <c:pt idx="25">
                  <c:v>18.5</c:v>
                </c:pt>
                <c:pt idx="26">
                  <c:v>18.5</c:v>
                </c:pt>
                <c:pt idx="27">
                  <c:v>18.5</c:v>
                </c:pt>
                <c:pt idx="28">
                  <c:v>18.5</c:v>
                </c:pt>
                <c:pt idx="29">
                  <c:v>18.5</c:v>
                </c:pt>
              </c:numCache>
            </c:numRef>
          </c:xVal>
          <c:yVal>
            <c:numRef>
              <c:f>'1bis'!$G$2:$G$31</c:f>
              <c:numCache>
                <c:formatCode>General</c:formatCode>
                <c:ptCount val="30"/>
                <c:pt idx="0">
                  <c:v>10</c:v>
                </c:pt>
                <c:pt idx="1">
                  <c:v>30</c:v>
                </c:pt>
                <c:pt idx="2">
                  <c:v>50</c:v>
                </c:pt>
                <c:pt idx="3">
                  <c:v>70</c:v>
                </c:pt>
                <c:pt idx="4">
                  <c:v>90</c:v>
                </c:pt>
                <c:pt idx="5">
                  <c:v>110</c:v>
                </c:pt>
                <c:pt idx="6">
                  <c:v>10</c:v>
                </c:pt>
                <c:pt idx="7">
                  <c:v>30</c:v>
                </c:pt>
                <c:pt idx="8">
                  <c:v>50</c:v>
                </c:pt>
                <c:pt idx="9">
                  <c:v>70</c:v>
                </c:pt>
                <c:pt idx="10">
                  <c:v>90</c:v>
                </c:pt>
                <c:pt idx="11">
                  <c:v>110</c:v>
                </c:pt>
                <c:pt idx="12">
                  <c:v>10</c:v>
                </c:pt>
                <c:pt idx="13">
                  <c:v>30</c:v>
                </c:pt>
                <c:pt idx="14">
                  <c:v>50</c:v>
                </c:pt>
                <c:pt idx="15">
                  <c:v>70</c:v>
                </c:pt>
                <c:pt idx="16">
                  <c:v>90</c:v>
                </c:pt>
                <c:pt idx="17">
                  <c:v>110</c:v>
                </c:pt>
                <c:pt idx="18">
                  <c:v>10</c:v>
                </c:pt>
                <c:pt idx="19">
                  <c:v>30</c:v>
                </c:pt>
                <c:pt idx="20">
                  <c:v>50</c:v>
                </c:pt>
                <c:pt idx="21">
                  <c:v>70</c:v>
                </c:pt>
                <c:pt idx="22">
                  <c:v>90</c:v>
                </c:pt>
                <c:pt idx="23">
                  <c:v>110</c:v>
                </c:pt>
                <c:pt idx="24">
                  <c:v>10</c:v>
                </c:pt>
                <c:pt idx="25">
                  <c:v>30</c:v>
                </c:pt>
                <c:pt idx="26">
                  <c:v>50</c:v>
                </c:pt>
                <c:pt idx="27">
                  <c:v>70</c:v>
                </c:pt>
                <c:pt idx="28">
                  <c:v>90</c:v>
                </c:pt>
                <c:pt idx="29">
                  <c:v>110</c:v>
                </c:pt>
              </c:numCache>
            </c:numRef>
          </c:yVal>
          <c:bubbleSize>
            <c:numRef>
              <c:f>'1bis'!$N$2:$N$31</c:f>
              <c:numCache>
                <c:formatCode>General</c:formatCode>
                <c:ptCount val="30"/>
                <c:pt idx="0">
                  <c:v>5</c:v>
                </c:pt>
                <c:pt idx="1">
                  <c:v>0</c:v>
                </c:pt>
                <c:pt idx="2">
                  <c:v>1</c:v>
                </c:pt>
                <c:pt idx="3">
                  <c:v>0</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bubbleSize>
          <c:bubble3D val="0"/>
          <c:extLst>
            <c:ext xmlns:c16="http://schemas.microsoft.com/office/drawing/2014/chart" uri="{C3380CC4-5D6E-409C-BE32-E72D297353CC}">
              <c16:uniqueId val="{00000000-83FA-4414-B300-E7B5BA9C5CCD}"/>
            </c:ext>
          </c:extLst>
        </c:ser>
        <c:dLbls>
          <c:showLegendKey val="0"/>
          <c:showVal val="0"/>
          <c:showCatName val="0"/>
          <c:showSerName val="0"/>
          <c:showPercent val="0"/>
          <c:showBubbleSize val="0"/>
        </c:dLbls>
        <c:bubbleScale val="100"/>
        <c:showNegBubbles val="0"/>
        <c:axId val="461284984"/>
        <c:axId val="461285312"/>
      </c:bubbleChart>
      <c:valAx>
        <c:axId val="4612849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staff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1285312"/>
        <c:crosses val="autoZero"/>
        <c:crossBetween val="midCat"/>
      </c:valAx>
      <c:valAx>
        <c:axId val="46128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users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12849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CF using tools to improve research quality</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'10'!$DG$2</c:f>
              <c:strCache>
                <c:ptCount val="1"/>
                <c:pt idx="0">
                  <c:v>Yes</c:v>
                </c:pt>
              </c:strCache>
            </c:strRef>
          </c:tx>
          <c:spPr>
            <a:solidFill>
              <a:schemeClr val="accent1"/>
            </a:solidFill>
            <a:ln>
              <a:noFill/>
            </a:ln>
            <a:effectLst/>
          </c:spPr>
          <c:invertIfNegative val="0"/>
          <c:cat>
            <c:strRef>
              <c:f>'10'!$DI$1:$DK$1</c:f>
              <c:strCache>
                <c:ptCount val="3"/>
                <c:pt idx="0">
                  <c:v>full-service</c:v>
                </c:pt>
                <c:pt idx="1">
                  <c:v>hybrid-service</c:v>
                </c:pt>
                <c:pt idx="2">
                  <c:v>self-service</c:v>
                </c:pt>
              </c:strCache>
            </c:strRef>
          </c:cat>
          <c:val>
            <c:numRef>
              <c:f>'10'!$DI$2:$DK$2</c:f>
              <c:numCache>
                <c:formatCode>General</c:formatCode>
                <c:ptCount val="3"/>
                <c:pt idx="0">
                  <c:v>35</c:v>
                </c:pt>
                <c:pt idx="1">
                  <c:v>53</c:v>
                </c:pt>
                <c:pt idx="2">
                  <c:v>9</c:v>
                </c:pt>
              </c:numCache>
            </c:numRef>
          </c:val>
          <c:extLst>
            <c:ext xmlns:c16="http://schemas.microsoft.com/office/drawing/2014/chart" uri="{C3380CC4-5D6E-409C-BE32-E72D297353CC}">
              <c16:uniqueId val="{00000000-D742-458B-83D7-5115334D6F52}"/>
            </c:ext>
          </c:extLst>
        </c:ser>
        <c:ser>
          <c:idx val="1"/>
          <c:order val="1"/>
          <c:tx>
            <c:strRef>
              <c:f>'10'!$DG$3</c:f>
              <c:strCache>
                <c:ptCount val="1"/>
                <c:pt idx="0">
                  <c:v>No</c:v>
                </c:pt>
              </c:strCache>
            </c:strRef>
          </c:tx>
          <c:spPr>
            <a:solidFill>
              <a:srgbClr val="FF0000"/>
            </a:solidFill>
            <a:ln>
              <a:noFill/>
            </a:ln>
            <a:effectLst/>
          </c:spPr>
          <c:invertIfNegative val="0"/>
          <c:cat>
            <c:strRef>
              <c:f>'10'!$DI$1:$DK$1</c:f>
              <c:strCache>
                <c:ptCount val="3"/>
                <c:pt idx="0">
                  <c:v>full-service</c:v>
                </c:pt>
                <c:pt idx="1">
                  <c:v>hybrid-service</c:v>
                </c:pt>
                <c:pt idx="2">
                  <c:v>self-service</c:v>
                </c:pt>
              </c:strCache>
            </c:strRef>
          </c:cat>
          <c:val>
            <c:numRef>
              <c:f>'10'!$DI$3:$DK$3</c:f>
              <c:numCache>
                <c:formatCode>General</c:formatCode>
                <c:ptCount val="3"/>
                <c:pt idx="0">
                  <c:v>31</c:v>
                </c:pt>
                <c:pt idx="1">
                  <c:v>107</c:v>
                </c:pt>
                <c:pt idx="2">
                  <c:v>18</c:v>
                </c:pt>
              </c:numCache>
            </c:numRef>
          </c:val>
          <c:extLst>
            <c:ext xmlns:c16="http://schemas.microsoft.com/office/drawing/2014/chart" uri="{C3380CC4-5D6E-409C-BE32-E72D297353CC}">
              <c16:uniqueId val="{00000001-D742-458B-83D7-5115334D6F52}"/>
            </c:ext>
          </c:extLst>
        </c:ser>
        <c:dLbls>
          <c:showLegendKey val="0"/>
          <c:showVal val="0"/>
          <c:showCatName val="0"/>
          <c:showSerName val="0"/>
          <c:showPercent val="0"/>
          <c:showBubbleSize val="0"/>
        </c:dLbls>
        <c:gapWidth val="130"/>
        <c:overlap val="100"/>
        <c:axId val="365722560"/>
        <c:axId val="365723544"/>
      </c:barChart>
      <c:catAx>
        <c:axId val="36572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5723544"/>
        <c:crosses val="autoZero"/>
        <c:auto val="1"/>
        <c:lblAlgn val="ctr"/>
        <c:lblOffset val="100"/>
        <c:noMultiLvlLbl val="0"/>
      </c:catAx>
      <c:valAx>
        <c:axId val="365723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57225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Tools to improve research quality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cat>
            <c:strRef>
              <c:f>'10'!$DV$2:$DV$8</c:f>
              <c:strCache>
                <c:ptCount val="7"/>
                <c:pt idx="0">
                  <c:v>software, programs</c:v>
                </c:pt>
                <c:pt idx="1">
                  <c:v>technical aspects (instrumentation, robots, automation and improving techniques)</c:v>
                </c:pt>
                <c:pt idx="2">
                  <c:v>transfer of knowledge</c:v>
                </c:pt>
                <c:pt idx="3">
                  <c:v>quality controls</c:v>
                </c:pt>
                <c:pt idx="4">
                  <c:v>SOP</c:v>
                </c:pt>
                <c:pt idx="5">
                  <c:v>audit, ISO</c:v>
                </c:pt>
                <c:pt idx="6">
                  <c:v>documentation</c:v>
                </c:pt>
              </c:strCache>
            </c:strRef>
          </c:cat>
          <c:val>
            <c:numRef>
              <c:f>'10'!$DW$2:$DW$8</c:f>
              <c:numCache>
                <c:formatCode>General</c:formatCode>
                <c:ptCount val="7"/>
                <c:pt idx="0">
                  <c:v>25</c:v>
                </c:pt>
                <c:pt idx="1">
                  <c:v>18</c:v>
                </c:pt>
                <c:pt idx="2">
                  <c:v>15</c:v>
                </c:pt>
                <c:pt idx="3">
                  <c:v>13</c:v>
                </c:pt>
                <c:pt idx="4">
                  <c:v>10</c:v>
                </c:pt>
                <c:pt idx="5">
                  <c:v>7</c:v>
                </c:pt>
                <c:pt idx="6">
                  <c:v>3</c:v>
                </c:pt>
              </c:numCache>
            </c:numRef>
          </c:val>
          <c:extLst>
            <c:ext xmlns:c16="http://schemas.microsoft.com/office/drawing/2014/chart" uri="{C3380CC4-5D6E-409C-BE32-E72D297353CC}">
              <c16:uniqueId val="{00000000-37E6-4588-AF3C-69EF78EF0BA4}"/>
            </c:ext>
          </c:extLst>
        </c:ser>
        <c:dLbls>
          <c:showLegendKey val="0"/>
          <c:showVal val="0"/>
          <c:showCatName val="0"/>
          <c:showSerName val="0"/>
          <c:showPercent val="0"/>
          <c:showBubbleSize val="0"/>
        </c:dLbls>
        <c:gapWidth val="130"/>
        <c:axId val="447476808"/>
        <c:axId val="447473528"/>
      </c:barChart>
      <c:catAx>
        <c:axId val="447476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7473528"/>
        <c:crosses val="autoZero"/>
        <c:auto val="1"/>
        <c:lblAlgn val="ctr"/>
        <c:lblOffset val="100"/>
        <c:noMultiLvlLbl val="0"/>
      </c:catAx>
      <c:valAx>
        <c:axId val="4474735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7476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 CF use a data management plan?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9E-456A-926E-1BF74E54F6C2}"/>
              </c:ext>
            </c:extLst>
          </c:dPt>
          <c:dPt>
            <c:idx val="1"/>
            <c:bubble3D val="0"/>
            <c:spPr>
              <a:solidFill>
                <a:srgbClr val="FF7C80"/>
              </a:solidFill>
              <a:ln w="19050">
                <a:solidFill>
                  <a:schemeClr val="lt1"/>
                </a:solidFill>
              </a:ln>
              <a:effectLst/>
            </c:spPr>
            <c:extLst>
              <c:ext xmlns:c16="http://schemas.microsoft.com/office/drawing/2014/chart" uri="{C3380CC4-5D6E-409C-BE32-E72D297353CC}">
                <c16:uniqueId val="{00000003-D59E-456A-926E-1BF74E54F6C2}"/>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D59E-456A-926E-1BF74E54F6C2}"/>
              </c:ext>
            </c:extLst>
          </c:dPt>
          <c:dPt>
            <c:idx val="3"/>
            <c:bubble3D val="0"/>
            <c:spPr>
              <a:solidFill>
                <a:srgbClr val="CC0000"/>
              </a:solidFill>
              <a:ln w="19050">
                <a:solidFill>
                  <a:schemeClr val="lt1"/>
                </a:solidFill>
              </a:ln>
              <a:effectLst/>
            </c:spPr>
            <c:extLst>
              <c:ext xmlns:c16="http://schemas.microsoft.com/office/drawing/2014/chart" uri="{C3380CC4-5D6E-409C-BE32-E72D297353CC}">
                <c16:uniqueId val="{00000007-D59E-456A-926E-1BF74E54F6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'10'!$AY$2:$AY$5</c:f>
              <c:strCache>
                <c:ptCount val="4"/>
                <c:pt idx="0">
                  <c:v>Yes</c:v>
                </c:pt>
                <c:pt idx="1">
                  <c:v>No, but would be useful</c:v>
                </c:pt>
                <c:pt idx="2">
                  <c:v>No, would not be useful</c:v>
                </c:pt>
                <c:pt idx="3">
                  <c:v>No</c:v>
                </c:pt>
              </c:strCache>
            </c:strRef>
          </c:cat>
          <c:val>
            <c:numRef>
              <c:f>'10'!$AZ$2:$AZ$5</c:f>
              <c:numCache>
                <c:formatCode>General</c:formatCode>
                <c:ptCount val="4"/>
                <c:pt idx="0">
                  <c:v>74</c:v>
                </c:pt>
                <c:pt idx="1">
                  <c:v>104</c:v>
                </c:pt>
                <c:pt idx="2">
                  <c:v>54</c:v>
                </c:pt>
                <c:pt idx="3">
                  <c:v>21</c:v>
                </c:pt>
              </c:numCache>
            </c:numRef>
          </c:val>
          <c:extLst>
            <c:ext xmlns:c16="http://schemas.microsoft.com/office/drawing/2014/chart" uri="{C3380CC4-5D6E-409C-BE32-E72D297353CC}">
              <c16:uniqueId val="{00000008-D59E-456A-926E-1BF74E54F6C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The users use the information provided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7382758520798869"/>
          <c:y val="0.19888632552005536"/>
          <c:w val="0.51140356473637827"/>
          <c:h val="0.55918762277211287"/>
        </c:manualLayout>
      </c:layout>
      <c:barChart>
        <c:barDir val="col"/>
        <c:grouping val="percentStacked"/>
        <c:varyColors val="0"/>
        <c:ser>
          <c:idx val="4"/>
          <c:order val="0"/>
          <c:tx>
            <c:strRef>
              <c:f>'10'!$U$6</c:f>
              <c:strCache>
                <c:ptCount val="1"/>
                <c:pt idx="0">
                  <c:v>always</c:v>
                </c:pt>
              </c:strCache>
            </c:strRef>
          </c:tx>
          <c:spPr>
            <a:solidFill>
              <a:schemeClr val="accent1"/>
            </a:solidFill>
            <a:ln>
              <a:noFill/>
            </a:ln>
            <a:effectLst/>
          </c:spPr>
          <c:invertIfNegative val="0"/>
          <c:cat>
            <c:strRef>
              <c:f>'10'!$W$1:$Y$1</c:f>
              <c:strCache>
                <c:ptCount val="3"/>
                <c:pt idx="0">
                  <c:v>full-service</c:v>
                </c:pt>
                <c:pt idx="1">
                  <c:v>hybrid-service</c:v>
                </c:pt>
                <c:pt idx="2">
                  <c:v>self-service</c:v>
                </c:pt>
              </c:strCache>
            </c:strRef>
          </c:cat>
          <c:val>
            <c:numRef>
              <c:f>'10'!$W$6:$Y$6</c:f>
              <c:numCache>
                <c:formatCode>General</c:formatCode>
                <c:ptCount val="3"/>
                <c:pt idx="0">
                  <c:v>15</c:v>
                </c:pt>
                <c:pt idx="1">
                  <c:v>30</c:v>
                </c:pt>
                <c:pt idx="2">
                  <c:v>2</c:v>
                </c:pt>
              </c:numCache>
            </c:numRef>
          </c:val>
          <c:extLst>
            <c:ext xmlns:c16="http://schemas.microsoft.com/office/drawing/2014/chart" uri="{C3380CC4-5D6E-409C-BE32-E72D297353CC}">
              <c16:uniqueId val="{00000004-8FE4-48A2-83FA-F97AAB542DF1}"/>
            </c:ext>
          </c:extLst>
        </c:ser>
        <c:ser>
          <c:idx val="3"/>
          <c:order val="1"/>
          <c:tx>
            <c:strRef>
              <c:f>'10'!$U$5</c:f>
              <c:strCache>
                <c:ptCount val="1"/>
                <c:pt idx="0">
                  <c:v>often</c:v>
                </c:pt>
              </c:strCache>
            </c:strRef>
          </c:tx>
          <c:spPr>
            <a:solidFill>
              <a:schemeClr val="accent5">
                <a:lumMod val="40000"/>
                <a:lumOff val="60000"/>
              </a:schemeClr>
            </a:solidFill>
            <a:ln>
              <a:noFill/>
            </a:ln>
            <a:effectLst/>
          </c:spPr>
          <c:invertIfNegative val="0"/>
          <c:cat>
            <c:strRef>
              <c:f>'10'!$W$1:$Y$1</c:f>
              <c:strCache>
                <c:ptCount val="3"/>
                <c:pt idx="0">
                  <c:v>full-service</c:v>
                </c:pt>
                <c:pt idx="1">
                  <c:v>hybrid-service</c:v>
                </c:pt>
                <c:pt idx="2">
                  <c:v>self-service</c:v>
                </c:pt>
              </c:strCache>
            </c:strRef>
          </c:cat>
          <c:val>
            <c:numRef>
              <c:f>'10'!$W$5:$Y$5</c:f>
              <c:numCache>
                <c:formatCode>General</c:formatCode>
                <c:ptCount val="3"/>
                <c:pt idx="0">
                  <c:v>40</c:v>
                </c:pt>
                <c:pt idx="1">
                  <c:v>92</c:v>
                </c:pt>
                <c:pt idx="2">
                  <c:v>13</c:v>
                </c:pt>
              </c:numCache>
            </c:numRef>
          </c:val>
          <c:extLst>
            <c:ext xmlns:c16="http://schemas.microsoft.com/office/drawing/2014/chart" uri="{C3380CC4-5D6E-409C-BE32-E72D297353CC}">
              <c16:uniqueId val="{00000003-8FE4-48A2-83FA-F97AAB542DF1}"/>
            </c:ext>
          </c:extLst>
        </c:ser>
        <c:ser>
          <c:idx val="2"/>
          <c:order val="2"/>
          <c:tx>
            <c:strRef>
              <c:f>'10'!$U$4</c:f>
              <c:strCache>
                <c:ptCount val="1"/>
                <c:pt idx="0">
                  <c:v>sometimes</c:v>
                </c:pt>
              </c:strCache>
            </c:strRef>
          </c:tx>
          <c:spPr>
            <a:solidFill>
              <a:srgbClr val="FFC000"/>
            </a:solidFill>
            <a:ln>
              <a:noFill/>
            </a:ln>
            <a:effectLst/>
          </c:spPr>
          <c:invertIfNegative val="0"/>
          <c:cat>
            <c:strRef>
              <c:f>'10'!$W$1:$Y$1</c:f>
              <c:strCache>
                <c:ptCount val="3"/>
                <c:pt idx="0">
                  <c:v>full-service</c:v>
                </c:pt>
                <c:pt idx="1">
                  <c:v>hybrid-service</c:v>
                </c:pt>
                <c:pt idx="2">
                  <c:v>self-service</c:v>
                </c:pt>
              </c:strCache>
            </c:strRef>
          </c:cat>
          <c:val>
            <c:numRef>
              <c:f>'10'!$W$4:$Y$4</c:f>
              <c:numCache>
                <c:formatCode>General</c:formatCode>
                <c:ptCount val="3"/>
                <c:pt idx="0">
                  <c:v>10</c:v>
                </c:pt>
                <c:pt idx="1">
                  <c:v>38</c:v>
                </c:pt>
                <c:pt idx="2">
                  <c:v>12</c:v>
                </c:pt>
              </c:numCache>
            </c:numRef>
          </c:val>
          <c:extLst>
            <c:ext xmlns:c16="http://schemas.microsoft.com/office/drawing/2014/chart" uri="{C3380CC4-5D6E-409C-BE32-E72D297353CC}">
              <c16:uniqueId val="{00000002-8FE4-48A2-83FA-F97AAB542DF1}"/>
            </c:ext>
          </c:extLst>
        </c:ser>
        <c:ser>
          <c:idx val="1"/>
          <c:order val="3"/>
          <c:tx>
            <c:strRef>
              <c:f>'10'!$U$3</c:f>
              <c:strCache>
                <c:ptCount val="1"/>
                <c:pt idx="0">
                  <c:v>rarely</c:v>
                </c:pt>
              </c:strCache>
            </c:strRef>
          </c:tx>
          <c:spPr>
            <a:solidFill>
              <a:srgbClr val="FF9933"/>
            </a:solidFill>
            <a:ln>
              <a:noFill/>
            </a:ln>
            <a:effectLst/>
          </c:spPr>
          <c:invertIfNegative val="0"/>
          <c:cat>
            <c:strRef>
              <c:f>'10'!$W$1:$Y$1</c:f>
              <c:strCache>
                <c:ptCount val="3"/>
                <c:pt idx="0">
                  <c:v>full-service</c:v>
                </c:pt>
                <c:pt idx="1">
                  <c:v>hybrid-service</c:v>
                </c:pt>
                <c:pt idx="2">
                  <c:v>self-service</c:v>
                </c:pt>
              </c:strCache>
            </c:strRef>
          </c:cat>
          <c:val>
            <c:numRef>
              <c:f>'10'!$W$3:$Y$3</c:f>
              <c:numCache>
                <c:formatCode>General</c:formatCode>
                <c:ptCount val="3"/>
                <c:pt idx="0">
                  <c:v>1</c:v>
                </c:pt>
                <c:pt idx="1">
                  <c:v>0</c:v>
                </c:pt>
                <c:pt idx="2">
                  <c:v>0</c:v>
                </c:pt>
              </c:numCache>
            </c:numRef>
          </c:val>
          <c:extLst>
            <c:ext xmlns:c16="http://schemas.microsoft.com/office/drawing/2014/chart" uri="{C3380CC4-5D6E-409C-BE32-E72D297353CC}">
              <c16:uniqueId val="{00000001-8FE4-48A2-83FA-F97AAB542DF1}"/>
            </c:ext>
          </c:extLst>
        </c:ser>
        <c:ser>
          <c:idx val="0"/>
          <c:order val="4"/>
          <c:tx>
            <c:strRef>
              <c:f>'10'!$U$2</c:f>
              <c:strCache>
                <c:ptCount val="1"/>
                <c:pt idx="0">
                  <c:v>never</c:v>
                </c:pt>
              </c:strCache>
            </c:strRef>
          </c:tx>
          <c:spPr>
            <a:solidFill>
              <a:srgbClr val="FF0000"/>
            </a:solidFill>
            <a:ln>
              <a:noFill/>
            </a:ln>
            <a:effectLst/>
          </c:spPr>
          <c:invertIfNegative val="0"/>
          <c:cat>
            <c:strRef>
              <c:f>'10'!$W$1:$Y$1</c:f>
              <c:strCache>
                <c:ptCount val="3"/>
                <c:pt idx="0">
                  <c:v>full-service</c:v>
                </c:pt>
                <c:pt idx="1">
                  <c:v>hybrid-service</c:v>
                </c:pt>
                <c:pt idx="2">
                  <c:v>self-service</c:v>
                </c:pt>
              </c:strCache>
            </c:strRef>
          </c:cat>
          <c:val>
            <c:numRef>
              <c:f>'10'!$W$2:$Y$2</c:f>
              <c:numCache>
                <c:formatCode>General</c:formatCode>
                <c:ptCount val="3"/>
                <c:pt idx="0">
                  <c:v>0</c:v>
                </c:pt>
                <c:pt idx="1">
                  <c:v>0</c:v>
                </c:pt>
                <c:pt idx="2">
                  <c:v>0</c:v>
                </c:pt>
              </c:numCache>
            </c:numRef>
          </c:val>
          <c:extLst>
            <c:ext xmlns:c16="http://schemas.microsoft.com/office/drawing/2014/chart" uri="{C3380CC4-5D6E-409C-BE32-E72D297353CC}">
              <c16:uniqueId val="{00000000-8FE4-48A2-83FA-F97AAB542DF1}"/>
            </c:ext>
          </c:extLst>
        </c:ser>
        <c:dLbls>
          <c:showLegendKey val="0"/>
          <c:showVal val="0"/>
          <c:showCatName val="0"/>
          <c:showSerName val="0"/>
          <c:showPercent val="0"/>
          <c:showBubbleSize val="0"/>
        </c:dLbls>
        <c:gapWidth val="130"/>
        <c:overlap val="100"/>
        <c:axId val="587754312"/>
        <c:axId val="587754640"/>
      </c:barChart>
      <c:catAx>
        <c:axId val="58775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7754640"/>
        <c:crosses val="autoZero"/>
        <c:auto val="1"/>
        <c:lblAlgn val="ctr"/>
        <c:lblOffset val="100"/>
        <c:noMultiLvlLbl val="0"/>
      </c:catAx>
      <c:valAx>
        <c:axId val="587754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7754312"/>
        <c:crosses val="autoZero"/>
        <c:crossBetween val="between"/>
      </c:valAx>
      <c:spPr>
        <a:noFill/>
        <a:ln>
          <a:noFill/>
        </a:ln>
        <a:effectLst/>
      </c:spPr>
    </c:plotArea>
    <c:legend>
      <c:legendPos val="r"/>
      <c:layout>
        <c:manualLayout>
          <c:xMode val="edge"/>
          <c:yMode val="edge"/>
          <c:x val="0.70945090709458003"/>
          <c:y val="0.31799189238972514"/>
          <c:w val="0.27886478602192039"/>
          <c:h val="0.304507727142525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The users use the information provided</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4"/>
          <c:order val="0"/>
          <c:tx>
            <c:strRef>
              <c:f>'10'!$U$6</c:f>
              <c:strCache>
                <c:ptCount val="1"/>
                <c:pt idx="0">
                  <c:v>always</c:v>
                </c:pt>
              </c:strCache>
            </c:strRef>
          </c:tx>
          <c:spPr>
            <a:solidFill>
              <a:schemeClr val="accent1"/>
            </a:solidFill>
            <a:ln>
              <a:noFill/>
            </a:ln>
            <a:effectLst/>
          </c:spPr>
          <c:invertIfNegative val="0"/>
          <c:cat>
            <c:strRef>
              <c:f>'10'!$AA$1:$AH$1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'10'!$AA$6:$AH$6</c:f>
              <c:numCache>
                <c:formatCode>General</c:formatCode>
                <c:ptCount val="8"/>
                <c:pt idx="0">
                  <c:v>7</c:v>
                </c:pt>
                <c:pt idx="1">
                  <c:v>5</c:v>
                </c:pt>
                <c:pt idx="2">
                  <c:v>1</c:v>
                </c:pt>
                <c:pt idx="3">
                  <c:v>0</c:v>
                </c:pt>
                <c:pt idx="4">
                  <c:v>12</c:v>
                </c:pt>
                <c:pt idx="5">
                  <c:v>2</c:v>
                </c:pt>
                <c:pt idx="6">
                  <c:v>2</c:v>
                </c:pt>
                <c:pt idx="7">
                  <c:v>9</c:v>
                </c:pt>
              </c:numCache>
            </c:numRef>
          </c:val>
          <c:extLst>
            <c:ext xmlns:c16="http://schemas.microsoft.com/office/drawing/2014/chart" uri="{C3380CC4-5D6E-409C-BE32-E72D297353CC}">
              <c16:uniqueId val="{00000004-B7E8-44D2-89BC-3DB8B855C920}"/>
            </c:ext>
          </c:extLst>
        </c:ser>
        <c:ser>
          <c:idx val="3"/>
          <c:order val="1"/>
          <c:tx>
            <c:strRef>
              <c:f>'10'!$U$5</c:f>
              <c:strCache>
                <c:ptCount val="1"/>
                <c:pt idx="0">
                  <c:v>often</c:v>
                </c:pt>
              </c:strCache>
            </c:strRef>
          </c:tx>
          <c:spPr>
            <a:solidFill>
              <a:schemeClr val="accent5">
                <a:lumMod val="40000"/>
                <a:lumOff val="60000"/>
              </a:schemeClr>
            </a:solidFill>
            <a:ln>
              <a:noFill/>
            </a:ln>
            <a:effectLst/>
          </c:spPr>
          <c:invertIfNegative val="0"/>
          <c:cat>
            <c:strRef>
              <c:f>'10'!$AA$1:$AH$1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'10'!$AA$5:$AH$5</c:f>
              <c:numCache>
                <c:formatCode>General</c:formatCode>
                <c:ptCount val="8"/>
                <c:pt idx="0">
                  <c:v>20</c:v>
                </c:pt>
                <c:pt idx="1">
                  <c:v>18</c:v>
                </c:pt>
                <c:pt idx="2">
                  <c:v>7</c:v>
                </c:pt>
                <c:pt idx="3">
                  <c:v>6</c:v>
                </c:pt>
                <c:pt idx="4">
                  <c:v>36</c:v>
                </c:pt>
                <c:pt idx="5">
                  <c:v>8</c:v>
                </c:pt>
                <c:pt idx="6">
                  <c:v>2</c:v>
                </c:pt>
                <c:pt idx="7">
                  <c:v>19</c:v>
                </c:pt>
              </c:numCache>
            </c:numRef>
          </c:val>
          <c:extLst>
            <c:ext xmlns:c16="http://schemas.microsoft.com/office/drawing/2014/chart" uri="{C3380CC4-5D6E-409C-BE32-E72D297353CC}">
              <c16:uniqueId val="{00000003-B7E8-44D2-89BC-3DB8B855C920}"/>
            </c:ext>
          </c:extLst>
        </c:ser>
        <c:ser>
          <c:idx val="2"/>
          <c:order val="2"/>
          <c:tx>
            <c:strRef>
              <c:f>'10'!$U$4</c:f>
              <c:strCache>
                <c:ptCount val="1"/>
                <c:pt idx="0">
                  <c:v>sometimes</c:v>
                </c:pt>
              </c:strCache>
            </c:strRef>
          </c:tx>
          <c:spPr>
            <a:solidFill>
              <a:srgbClr val="FFC000"/>
            </a:solidFill>
            <a:ln>
              <a:noFill/>
            </a:ln>
            <a:effectLst/>
          </c:spPr>
          <c:invertIfNegative val="0"/>
          <c:cat>
            <c:strRef>
              <c:f>'10'!$AA$1:$AH$1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'10'!$AA$4:$AH$4</c:f>
              <c:numCache>
                <c:formatCode>General</c:formatCode>
                <c:ptCount val="8"/>
                <c:pt idx="0">
                  <c:v>18</c:v>
                </c:pt>
                <c:pt idx="1">
                  <c:v>6</c:v>
                </c:pt>
                <c:pt idx="2">
                  <c:v>3</c:v>
                </c:pt>
                <c:pt idx="3">
                  <c:v>1</c:v>
                </c:pt>
                <c:pt idx="4">
                  <c:v>10</c:v>
                </c:pt>
                <c:pt idx="5">
                  <c:v>2</c:v>
                </c:pt>
                <c:pt idx="6">
                  <c:v>4</c:v>
                </c:pt>
                <c:pt idx="7">
                  <c:v>6</c:v>
                </c:pt>
              </c:numCache>
            </c:numRef>
          </c:val>
          <c:extLst>
            <c:ext xmlns:c16="http://schemas.microsoft.com/office/drawing/2014/chart" uri="{C3380CC4-5D6E-409C-BE32-E72D297353CC}">
              <c16:uniqueId val="{00000002-B7E8-44D2-89BC-3DB8B855C920}"/>
            </c:ext>
          </c:extLst>
        </c:ser>
        <c:ser>
          <c:idx val="1"/>
          <c:order val="3"/>
          <c:tx>
            <c:strRef>
              <c:f>'10'!$U$3</c:f>
              <c:strCache>
                <c:ptCount val="1"/>
                <c:pt idx="0">
                  <c:v>rarely</c:v>
                </c:pt>
              </c:strCache>
            </c:strRef>
          </c:tx>
          <c:spPr>
            <a:solidFill>
              <a:srgbClr val="FF9933"/>
            </a:solidFill>
            <a:ln>
              <a:noFill/>
            </a:ln>
            <a:effectLst/>
          </c:spPr>
          <c:invertIfNegative val="0"/>
          <c:cat>
            <c:strRef>
              <c:f>'10'!$AA$1:$AH$1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'10'!$AA$3:$AH$3</c:f>
              <c:numCache>
                <c:formatCode>General</c:formatCode>
                <c:ptCount val="8"/>
                <c:pt idx="0">
                  <c:v>0</c:v>
                </c:pt>
                <c:pt idx="1">
                  <c:v>1</c:v>
                </c:pt>
                <c:pt idx="2">
                  <c:v>0</c:v>
                </c:pt>
                <c:pt idx="3">
                  <c:v>0</c:v>
                </c:pt>
                <c:pt idx="4">
                  <c:v>0</c:v>
                </c:pt>
                <c:pt idx="5">
                  <c:v>0</c:v>
                </c:pt>
                <c:pt idx="6">
                  <c:v>0</c:v>
                </c:pt>
                <c:pt idx="7">
                  <c:v>0</c:v>
                </c:pt>
              </c:numCache>
            </c:numRef>
          </c:val>
          <c:extLst>
            <c:ext xmlns:c16="http://schemas.microsoft.com/office/drawing/2014/chart" uri="{C3380CC4-5D6E-409C-BE32-E72D297353CC}">
              <c16:uniqueId val="{00000001-B7E8-44D2-89BC-3DB8B855C920}"/>
            </c:ext>
          </c:extLst>
        </c:ser>
        <c:ser>
          <c:idx val="0"/>
          <c:order val="4"/>
          <c:tx>
            <c:strRef>
              <c:f>'10'!$U$2</c:f>
              <c:strCache>
                <c:ptCount val="1"/>
                <c:pt idx="0">
                  <c:v>never</c:v>
                </c:pt>
              </c:strCache>
            </c:strRef>
          </c:tx>
          <c:spPr>
            <a:solidFill>
              <a:srgbClr val="FF0000"/>
            </a:solidFill>
            <a:ln>
              <a:noFill/>
            </a:ln>
            <a:effectLst/>
          </c:spPr>
          <c:invertIfNegative val="0"/>
          <c:cat>
            <c:strRef>
              <c:f>'10'!$AA$1:$AH$1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'10'!$AA$2:$AH$2</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B7E8-44D2-89BC-3DB8B855C920}"/>
            </c:ext>
          </c:extLst>
        </c:ser>
        <c:dLbls>
          <c:showLegendKey val="0"/>
          <c:showVal val="0"/>
          <c:showCatName val="0"/>
          <c:showSerName val="0"/>
          <c:showPercent val="0"/>
          <c:showBubbleSize val="0"/>
        </c:dLbls>
        <c:gapWidth val="130"/>
        <c:overlap val="100"/>
        <c:axId val="553846240"/>
        <c:axId val="572335832"/>
      </c:barChart>
      <c:catAx>
        <c:axId val="55384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2335832"/>
        <c:crosses val="autoZero"/>
        <c:auto val="1"/>
        <c:lblAlgn val="ctr"/>
        <c:lblOffset val="100"/>
        <c:noMultiLvlLbl val="0"/>
      </c:catAx>
      <c:valAx>
        <c:axId val="572335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38462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CF use a data management plan</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'10'!$AJ$2</c:f>
              <c:strCache>
                <c:ptCount val="1"/>
                <c:pt idx="0">
                  <c:v>Yes</c:v>
                </c:pt>
              </c:strCache>
            </c:strRef>
          </c:tx>
          <c:spPr>
            <a:solidFill>
              <a:schemeClr val="accent1"/>
            </a:solidFill>
            <a:ln>
              <a:noFill/>
            </a:ln>
            <a:effectLst/>
          </c:spPr>
          <c:invertIfNegative val="0"/>
          <c:cat>
            <c:strRef>
              <c:f>'10'!$AP$1:$AW$1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'10'!$AP$2:$AW$2</c:f>
              <c:numCache>
                <c:formatCode>General</c:formatCode>
                <c:ptCount val="8"/>
                <c:pt idx="0">
                  <c:v>11</c:v>
                </c:pt>
                <c:pt idx="1">
                  <c:v>9</c:v>
                </c:pt>
                <c:pt idx="2">
                  <c:v>3</c:v>
                </c:pt>
                <c:pt idx="3">
                  <c:v>1</c:v>
                </c:pt>
                <c:pt idx="4">
                  <c:v>13</c:v>
                </c:pt>
                <c:pt idx="5">
                  <c:v>6</c:v>
                </c:pt>
                <c:pt idx="6">
                  <c:v>5</c:v>
                </c:pt>
                <c:pt idx="7">
                  <c:v>12</c:v>
                </c:pt>
              </c:numCache>
            </c:numRef>
          </c:val>
          <c:extLst>
            <c:ext xmlns:c16="http://schemas.microsoft.com/office/drawing/2014/chart" uri="{C3380CC4-5D6E-409C-BE32-E72D297353CC}">
              <c16:uniqueId val="{00000000-E589-4F45-BCC5-C87343CB4ADA}"/>
            </c:ext>
          </c:extLst>
        </c:ser>
        <c:ser>
          <c:idx val="1"/>
          <c:order val="1"/>
          <c:tx>
            <c:strRef>
              <c:f>'10'!$AJ$3</c:f>
              <c:strCache>
                <c:ptCount val="1"/>
                <c:pt idx="0">
                  <c:v>No</c:v>
                </c:pt>
              </c:strCache>
            </c:strRef>
          </c:tx>
          <c:spPr>
            <a:solidFill>
              <a:srgbClr val="FF0000"/>
            </a:solidFill>
            <a:ln>
              <a:noFill/>
            </a:ln>
            <a:effectLst/>
          </c:spPr>
          <c:invertIfNegative val="0"/>
          <c:cat>
            <c:strRef>
              <c:f>'10'!$AP$1:$AW$1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'10'!$AP$3:$AW$3</c:f>
              <c:numCache>
                <c:formatCode>General</c:formatCode>
                <c:ptCount val="8"/>
                <c:pt idx="0">
                  <c:v>34</c:v>
                </c:pt>
                <c:pt idx="1">
                  <c:v>21</c:v>
                </c:pt>
                <c:pt idx="2">
                  <c:v>8</c:v>
                </c:pt>
                <c:pt idx="3">
                  <c:v>6</c:v>
                </c:pt>
                <c:pt idx="4">
                  <c:v>45</c:v>
                </c:pt>
                <c:pt idx="5">
                  <c:v>6</c:v>
                </c:pt>
                <c:pt idx="6">
                  <c:v>3</c:v>
                </c:pt>
                <c:pt idx="7">
                  <c:v>22</c:v>
                </c:pt>
              </c:numCache>
            </c:numRef>
          </c:val>
          <c:extLst>
            <c:ext xmlns:c16="http://schemas.microsoft.com/office/drawing/2014/chart" uri="{C3380CC4-5D6E-409C-BE32-E72D297353CC}">
              <c16:uniqueId val="{00000001-E589-4F45-BCC5-C87343CB4ADA}"/>
            </c:ext>
          </c:extLst>
        </c:ser>
        <c:dLbls>
          <c:showLegendKey val="0"/>
          <c:showVal val="0"/>
          <c:showCatName val="0"/>
          <c:showSerName val="0"/>
          <c:showPercent val="0"/>
          <c:showBubbleSize val="0"/>
        </c:dLbls>
        <c:gapWidth val="130"/>
        <c:overlap val="100"/>
        <c:axId val="267987080"/>
        <c:axId val="542644968"/>
      </c:barChart>
      <c:catAx>
        <c:axId val="26798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2644968"/>
        <c:crosses val="autoZero"/>
        <c:auto val="1"/>
        <c:lblAlgn val="ctr"/>
        <c:lblOffset val="100"/>
        <c:noMultiLvlLbl val="0"/>
      </c:catAx>
      <c:valAx>
        <c:axId val="542644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79870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If CF doesn't have a data management plan, would it be useful to implement one?</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'10'!$BV$2</c:f>
              <c:strCache>
                <c:ptCount val="1"/>
                <c:pt idx="0">
                  <c:v>Yes</c:v>
                </c:pt>
              </c:strCache>
            </c:strRef>
          </c:tx>
          <c:spPr>
            <a:solidFill>
              <a:schemeClr val="accent1"/>
            </a:solidFill>
            <a:ln>
              <a:noFill/>
            </a:ln>
            <a:effectLst/>
          </c:spPr>
          <c:invertIfNegative val="0"/>
          <c:cat>
            <c:strRef>
              <c:f>'10'!$CB$1:$CI$1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'10'!$CB$2:$CI$2</c:f>
              <c:numCache>
                <c:formatCode>General</c:formatCode>
                <c:ptCount val="8"/>
                <c:pt idx="0">
                  <c:v>19</c:v>
                </c:pt>
                <c:pt idx="1">
                  <c:v>12</c:v>
                </c:pt>
                <c:pt idx="2">
                  <c:v>3</c:v>
                </c:pt>
                <c:pt idx="3">
                  <c:v>3</c:v>
                </c:pt>
                <c:pt idx="4">
                  <c:v>26</c:v>
                </c:pt>
                <c:pt idx="5">
                  <c:v>3</c:v>
                </c:pt>
                <c:pt idx="6">
                  <c:v>2</c:v>
                </c:pt>
                <c:pt idx="7">
                  <c:v>18</c:v>
                </c:pt>
              </c:numCache>
            </c:numRef>
          </c:val>
          <c:extLst>
            <c:ext xmlns:c16="http://schemas.microsoft.com/office/drawing/2014/chart" uri="{C3380CC4-5D6E-409C-BE32-E72D297353CC}">
              <c16:uniqueId val="{00000000-0476-4DC9-BD88-7A9A77F224D7}"/>
            </c:ext>
          </c:extLst>
        </c:ser>
        <c:ser>
          <c:idx val="1"/>
          <c:order val="1"/>
          <c:tx>
            <c:strRef>
              <c:f>'10'!$BV$3</c:f>
              <c:strCache>
                <c:ptCount val="1"/>
                <c:pt idx="0">
                  <c:v>No</c:v>
                </c:pt>
              </c:strCache>
            </c:strRef>
          </c:tx>
          <c:spPr>
            <a:solidFill>
              <a:srgbClr val="FF0000"/>
            </a:solidFill>
            <a:ln>
              <a:noFill/>
            </a:ln>
            <a:effectLst/>
          </c:spPr>
          <c:invertIfNegative val="0"/>
          <c:cat>
            <c:strRef>
              <c:f>'10'!$CB$1:$CI$1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'10'!$CB$3:$CI$3</c:f>
              <c:numCache>
                <c:formatCode>General</c:formatCode>
                <c:ptCount val="8"/>
                <c:pt idx="0">
                  <c:v>14</c:v>
                </c:pt>
                <c:pt idx="1">
                  <c:v>7</c:v>
                </c:pt>
                <c:pt idx="2">
                  <c:v>3</c:v>
                </c:pt>
                <c:pt idx="3">
                  <c:v>2</c:v>
                </c:pt>
                <c:pt idx="4">
                  <c:v>14</c:v>
                </c:pt>
                <c:pt idx="5">
                  <c:v>2</c:v>
                </c:pt>
                <c:pt idx="6">
                  <c:v>1</c:v>
                </c:pt>
                <c:pt idx="7">
                  <c:v>1</c:v>
                </c:pt>
              </c:numCache>
            </c:numRef>
          </c:val>
          <c:extLst>
            <c:ext xmlns:c16="http://schemas.microsoft.com/office/drawing/2014/chart" uri="{C3380CC4-5D6E-409C-BE32-E72D297353CC}">
              <c16:uniqueId val="{00000001-0476-4DC9-BD88-7A9A77F224D7}"/>
            </c:ext>
          </c:extLst>
        </c:ser>
        <c:dLbls>
          <c:showLegendKey val="0"/>
          <c:showVal val="0"/>
          <c:showCatName val="0"/>
          <c:showSerName val="0"/>
          <c:showPercent val="0"/>
          <c:showBubbleSize val="0"/>
        </c:dLbls>
        <c:gapWidth val="130"/>
        <c:overlap val="100"/>
        <c:axId val="272863248"/>
        <c:axId val="272861280"/>
      </c:barChart>
      <c:catAx>
        <c:axId val="27286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2861280"/>
        <c:crosses val="autoZero"/>
        <c:auto val="1"/>
        <c:lblAlgn val="ctr"/>
        <c:lblOffset val="100"/>
        <c:noMultiLvlLbl val="0"/>
      </c:catAx>
      <c:valAx>
        <c:axId val="272861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28632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sufficient staff?</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'10'!$CK$2</c:f>
              <c:strCache>
                <c:ptCount val="1"/>
                <c:pt idx="0">
                  <c:v>Yes</c:v>
                </c:pt>
              </c:strCache>
            </c:strRef>
          </c:tx>
          <c:spPr>
            <a:solidFill>
              <a:schemeClr val="accent1"/>
            </a:solidFill>
            <a:ln>
              <a:noFill/>
            </a:ln>
            <a:effectLst/>
          </c:spPr>
          <c:invertIfNegative val="0"/>
          <c:cat>
            <c:strRef>
              <c:f>'10'!$CM$1:$CT$1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'10'!$CM$2:$CT$2</c:f>
              <c:numCache>
                <c:formatCode>General</c:formatCode>
                <c:ptCount val="8"/>
                <c:pt idx="0">
                  <c:v>25</c:v>
                </c:pt>
                <c:pt idx="1">
                  <c:v>12</c:v>
                </c:pt>
                <c:pt idx="2">
                  <c:v>7</c:v>
                </c:pt>
                <c:pt idx="3">
                  <c:v>1</c:v>
                </c:pt>
                <c:pt idx="4">
                  <c:v>23</c:v>
                </c:pt>
                <c:pt idx="5">
                  <c:v>5</c:v>
                </c:pt>
                <c:pt idx="6">
                  <c:v>2</c:v>
                </c:pt>
                <c:pt idx="7">
                  <c:v>14</c:v>
                </c:pt>
              </c:numCache>
            </c:numRef>
          </c:val>
          <c:extLst>
            <c:ext xmlns:c16="http://schemas.microsoft.com/office/drawing/2014/chart" uri="{C3380CC4-5D6E-409C-BE32-E72D297353CC}">
              <c16:uniqueId val="{00000000-8A8D-4EB2-8D18-29EEBA18EC97}"/>
            </c:ext>
          </c:extLst>
        </c:ser>
        <c:ser>
          <c:idx val="1"/>
          <c:order val="1"/>
          <c:tx>
            <c:strRef>
              <c:f>'10'!$CK$3</c:f>
              <c:strCache>
                <c:ptCount val="1"/>
                <c:pt idx="0">
                  <c:v>No</c:v>
                </c:pt>
              </c:strCache>
            </c:strRef>
          </c:tx>
          <c:spPr>
            <a:solidFill>
              <a:srgbClr val="FF0000"/>
            </a:solidFill>
            <a:ln>
              <a:noFill/>
            </a:ln>
            <a:effectLst/>
          </c:spPr>
          <c:invertIfNegative val="0"/>
          <c:cat>
            <c:strRef>
              <c:f>'10'!$CM$1:$CT$1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'10'!$CM$3:$CT$3</c:f>
              <c:numCache>
                <c:formatCode>General</c:formatCode>
                <c:ptCount val="8"/>
                <c:pt idx="0">
                  <c:v>20</c:v>
                </c:pt>
                <c:pt idx="1">
                  <c:v>18</c:v>
                </c:pt>
                <c:pt idx="2">
                  <c:v>4</c:v>
                </c:pt>
                <c:pt idx="3">
                  <c:v>6</c:v>
                </c:pt>
                <c:pt idx="4">
                  <c:v>35</c:v>
                </c:pt>
                <c:pt idx="5">
                  <c:v>7</c:v>
                </c:pt>
                <c:pt idx="6">
                  <c:v>6</c:v>
                </c:pt>
                <c:pt idx="7">
                  <c:v>20</c:v>
                </c:pt>
              </c:numCache>
            </c:numRef>
          </c:val>
          <c:extLst>
            <c:ext xmlns:c16="http://schemas.microsoft.com/office/drawing/2014/chart" uri="{C3380CC4-5D6E-409C-BE32-E72D297353CC}">
              <c16:uniqueId val="{00000001-8A8D-4EB2-8D18-29EEBA18EC97}"/>
            </c:ext>
          </c:extLst>
        </c:ser>
        <c:dLbls>
          <c:showLegendKey val="0"/>
          <c:showVal val="0"/>
          <c:showCatName val="0"/>
          <c:showSerName val="0"/>
          <c:showPercent val="0"/>
          <c:showBubbleSize val="0"/>
        </c:dLbls>
        <c:gapWidth val="130"/>
        <c:overlap val="100"/>
        <c:axId val="558233000"/>
        <c:axId val="558230704"/>
      </c:barChart>
      <c:catAx>
        <c:axId val="558233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230704"/>
        <c:crosses val="autoZero"/>
        <c:auto val="1"/>
        <c:lblAlgn val="ctr"/>
        <c:lblOffset val="100"/>
        <c:noMultiLvlLbl val="0"/>
      </c:catAx>
      <c:valAx>
        <c:axId val="558230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2330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sufficient funding?</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'10'!$CV$2</c:f>
              <c:strCache>
                <c:ptCount val="1"/>
                <c:pt idx="0">
                  <c:v>Yes</c:v>
                </c:pt>
              </c:strCache>
            </c:strRef>
          </c:tx>
          <c:spPr>
            <a:solidFill>
              <a:schemeClr val="accent1"/>
            </a:solidFill>
            <a:ln>
              <a:noFill/>
            </a:ln>
            <a:effectLst/>
          </c:spPr>
          <c:invertIfNegative val="0"/>
          <c:cat>
            <c:strRef>
              <c:f>'10'!$CX$1:$DE$1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'10'!$CX$2:$DE$2</c:f>
              <c:numCache>
                <c:formatCode>General</c:formatCode>
                <c:ptCount val="8"/>
                <c:pt idx="0">
                  <c:v>23</c:v>
                </c:pt>
                <c:pt idx="1">
                  <c:v>19</c:v>
                </c:pt>
                <c:pt idx="2">
                  <c:v>3</c:v>
                </c:pt>
                <c:pt idx="3">
                  <c:v>4</c:v>
                </c:pt>
                <c:pt idx="4">
                  <c:v>26</c:v>
                </c:pt>
                <c:pt idx="5">
                  <c:v>6</c:v>
                </c:pt>
                <c:pt idx="6">
                  <c:v>3</c:v>
                </c:pt>
                <c:pt idx="7">
                  <c:v>19</c:v>
                </c:pt>
              </c:numCache>
            </c:numRef>
          </c:val>
          <c:extLst>
            <c:ext xmlns:c16="http://schemas.microsoft.com/office/drawing/2014/chart" uri="{C3380CC4-5D6E-409C-BE32-E72D297353CC}">
              <c16:uniqueId val="{00000000-7193-44ED-9EA7-EB2036FC8223}"/>
            </c:ext>
          </c:extLst>
        </c:ser>
        <c:ser>
          <c:idx val="1"/>
          <c:order val="1"/>
          <c:tx>
            <c:strRef>
              <c:f>'10'!$CV$3</c:f>
              <c:strCache>
                <c:ptCount val="1"/>
                <c:pt idx="0">
                  <c:v>No</c:v>
                </c:pt>
              </c:strCache>
            </c:strRef>
          </c:tx>
          <c:spPr>
            <a:solidFill>
              <a:srgbClr val="FF0000"/>
            </a:solidFill>
            <a:ln>
              <a:noFill/>
            </a:ln>
            <a:effectLst/>
          </c:spPr>
          <c:invertIfNegative val="0"/>
          <c:cat>
            <c:strRef>
              <c:f>'10'!$CX$1:$DE$1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'10'!$CX$3:$DE$3</c:f>
              <c:numCache>
                <c:formatCode>General</c:formatCode>
                <c:ptCount val="8"/>
                <c:pt idx="0">
                  <c:v>22</c:v>
                </c:pt>
                <c:pt idx="1">
                  <c:v>11</c:v>
                </c:pt>
                <c:pt idx="2">
                  <c:v>8</c:v>
                </c:pt>
                <c:pt idx="3">
                  <c:v>3</c:v>
                </c:pt>
                <c:pt idx="4">
                  <c:v>32</c:v>
                </c:pt>
                <c:pt idx="5">
                  <c:v>6</c:v>
                </c:pt>
                <c:pt idx="6">
                  <c:v>5</c:v>
                </c:pt>
                <c:pt idx="7">
                  <c:v>15</c:v>
                </c:pt>
              </c:numCache>
            </c:numRef>
          </c:val>
          <c:extLst>
            <c:ext xmlns:c16="http://schemas.microsoft.com/office/drawing/2014/chart" uri="{C3380CC4-5D6E-409C-BE32-E72D297353CC}">
              <c16:uniqueId val="{00000001-7193-44ED-9EA7-EB2036FC8223}"/>
            </c:ext>
          </c:extLst>
        </c:ser>
        <c:dLbls>
          <c:showLegendKey val="0"/>
          <c:showVal val="0"/>
          <c:showCatName val="0"/>
          <c:showSerName val="0"/>
          <c:showPercent val="0"/>
          <c:showBubbleSize val="0"/>
        </c:dLbls>
        <c:gapWidth val="130"/>
        <c:overlap val="100"/>
        <c:axId val="558164776"/>
        <c:axId val="558165432"/>
      </c:barChart>
      <c:catAx>
        <c:axId val="558164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165432"/>
        <c:crosses val="autoZero"/>
        <c:auto val="1"/>
        <c:lblAlgn val="ctr"/>
        <c:lblOffset val="100"/>
        <c:noMultiLvlLbl val="0"/>
      </c:catAx>
      <c:valAx>
        <c:axId val="558165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1647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CF using tools to improve research quality</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'10'!$DG$2</c:f>
              <c:strCache>
                <c:ptCount val="1"/>
                <c:pt idx="0">
                  <c:v>Yes</c:v>
                </c:pt>
              </c:strCache>
            </c:strRef>
          </c:tx>
          <c:spPr>
            <a:solidFill>
              <a:schemeClr val="accent1"/>
            </a:solidFill>
            <a:ln>
              <a:noFill/>
            </a:ln>
            <a:effectLst/>
          </c:spPr>
          <c:invertIfNegative val="0"/>
          <c:cat>
            <c:strRef>
              <c:f>'10'!$DM$1:$DT$1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'10'!$DM$2:$DT$2</c:f>
              <c:numCache>
                <c:formatCode>General</c:formatCode>
                <c:ptCount val="8"/>
                <c:pt idx="0">
                  <c:v>11</c:v>
                </c:pt>
                <c:pt idx="1">
                  <c:v>14</c:v>
                </c:pt>
                <c:pt idx="2">
                  <c:v>5</c:v>
                </c:pt>
                <c:pt idx="3">
                  <c:v>3</c:v>
                </c:pt>
                <c:pt idx="4">
                  <c:v>19</c:v>
                </c:pt>
                <c:pt idx="5">
                  <c:v>7</c:v>
                </c:pt>
                <c:pt idx="6">
                  <c:v>3</c:v>
                </c:pt>
                <c:pt idx="7">
                  <c:v>16</c:v>
                </c:pt>
              </c:numCache>
            </c:numRef>
          </c:val>
          <c:extLst>
            <c:ext xmlns:c16="http://schemas.microsoft.com/office/drawing/2014/chart" uri="{C3380CC4-5D6E-409C-BE32-E72D297353CC}">
              <c16:uniqueId val="{00000000-F2BD-452C-9430-237AEFF307F9}"/>
            </c:ext>
          </c:extLst>
        </c:ser>
        <c:ser>
          <c:idx val="1"/>
          <c:order val="1"/>
          <c:tx>
            <c:strRef>
              <c:f>'10'!$DG$3</c:f>
              <c:strCache>
                <c:ptCount val="1"/>
                <c:pt idx="0">
                  <c:v>No</c:v>
                </c:pt>
              </c:strCache>
            </c:strRef>
          </c:tx>
          <c:spPr>
            <a:solidFill>
              <a:srgbClr val="FF0000"/>
            </a:solidFill>
            <a:ln>
              <a:noFill/>
            </a:ln>
            <a:effectLst/>
          </c:spPr>
          <c:invertIfNegative val="0"/>
          <c:cat>
            <c:strRef>
              <c:f>'10'!$DM$1:$DT$1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'10'!$DM$3:$DT$3</c:f>
              <c:numCache>
                <c:formatCode>General</c:formatCode>
                <c:ptCount val="8"/>
                <c:pt idx="0">
                  <c:v>34</c:v>
                </c:pt>
                <c:pt idx="1">
                  <c:v>16</c:v>
                </c:pt>
                <c:pt idx="2">
                  <c:v>6</c:v>
                </c:pt>
                <c:pt idx="3">
                  <c:v>4</c:v>
                </c:pt>
                <c:pt idx="4">
                  <c:v>39</c:v>
                </c:pt>
                <c:pt idx="5">
                  <c:v>5</c:v>
                </c:pt>
                <c:pt idx="6">
                  <c:v>5</c:v>
                </c:pt>
                <c:pt idx="7">
                  <c:v>18</c:v>
                </c:pt>
              </c:numCache>
            </c:numRef>
          </c:val>
          <c:extLst>
            <c:ext xmlns:c16="http://schemas.microsoft.com/office/drawing/2014/chart" uri="{C3380CC4-5D6E-409C-BE32-E72D297353CC}">
              <c16:uniqueId val="{00000001-F2BD-452C-9430-237AEFF307F9}"/>
            </c:ext>
          </c:extLst>
        </c:ser>
        <c:dLbls>
          <c:showLegendKey val="0"/>
          <c:showVal val="0"/>
          <c:showCatName val="0"/>
          <c:showSerName val="0"/>
          <c:showPercent val="0"/>
          <c:showBubbleSize val="0"/>
        </c:dLbls>
        <c:gapWidth val="130"/>
        <c:overlap val="100"/>
        <c:axId val="570223224"/>
        <c:axId val="570225520"/>
      </c:barChart>
      <c:catAx>
        <c:axId val="570223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225520"/>
        <c:crosses val="autoZero"/>
        <c:auto val="1"/>
        <c:lblAlgn val="ctr"/>
        <c:lblOffset val="100"/>
        <c:noMultiLvlLbl val="0"/>
      </c:catAx>
      <c:valAx>
        <c:axId val="570225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223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ubbleChart>
        <c:varyColors val="0"/>
        <c:ser>
          <c:idx val="1"/>
          <c:order val="0"/>
          <c:tx>
            <c:strRef>
              <c:f>'1bis'!$O$1</c:f>
              <c:strCache>
                <c:ptCount val="1"/>
                <c:pt idx="0">
                  <c:v>metabolomics</c:v>
                </c:pt>
              </c:strCache>
            </c:strRef>
          </c:tx>
          <c:spPr>
            <a:solidFill>
              <a:schemeClr val="accent1">
                <a:shade val="76000"/>
                <a:alpha val="75000"/>
              </a:schemeClr>
            </a:solidFill>
            <a:ln>
              <a:noFill/>
            </a:ln>
            <a:effectLst/>
          </c:spPr>
          <c:invertIfNegative val="0"/>
          <c:xVal>
            <c:numRef>
              <c:f>'1bis'!$F$2:$F$31</c:f>
              <c:numCache>
                <c:formatCode>General</c:formatCode>
                <c:ptCount val="30"/>
                <c:pt idx="0">
                  <c:v>2.5</c:v>
                </c:pt>
                <c:pt idx="1">
                  <c:v>2.5</c:v>
                </c:pt>
                <c:pt idx="2">
                  <c:v>2.5</c:v>
                </c:pt>
                <c:pt idx="3">
                  <c:v>2.5</c:v>
                </c:pt>
                <c:pt idx="4">
                  <c:v>2.5</c:v>
                </c:pt>
                <c:pt idx="5">
                  <c:v>2.5</c:v>
                </c:pt>
                <c:pt idx="6">
                  <c:v>6.5</c:v>
                </c:pt>
                <c:pt idx="7">
                  <c:v>6.5</c:v>
                </c:pt>
                <c:pt idx="8">
                  <c:v>6.5</c:v>
                </c:pt>
                <c:pt idx="9">
                  <c:v>6.5</c:v>
                </c:pt>
                <c:pt idx="10">
                  <c:v>6.5</c:v>
                </c:pt>
                <c:pt idx="11">
                  <c:v>6.5</c:v>
                </c:pt>
                <c:pt idx="12">
                  <c:v>10.5</c:v>
                </c:pt>
                <c:pt idx="13">
                  <c:v>10.5</c:v>
                </c:pt>
                <c:pt idx="14">
                  <c:v>10.5</c:v>
                </c:pt>
                <c:pt idx="15">
                  <c:v>10.5</c:v>
                </c:pt>
                <c:pt idx="16">
                  <c:v>10.5</c:v>
                </c:pt>
                <c:pt idx="17">
                  <c:v>10.5</c:v>
                </c:pt>
                <c:pt idx="18">
                  <c:v>14.5</c:v>
                </c:pt>
                <c:pt idx="19">
                  <c:v>14.5</c:v>
                </c:pt>
                <c:pt idx="20">
                  <c:v>14.5</c:v>
                </c:pt>
                <c:pt idx="21">
                  <c:v>14.5</c:v>
                </c:pt>
                <c:pt idx="22">
                  <c:v>14.5</c:v>
                </c:pt>
                <c:pt idx="23">
                  <c:v>14.5</c:v>
                </c:pt>
                <c:pt idx="24">
                  <c:v>18.5</c:v>
                </c:pt>
                <c:pt idx="25">
                  <c:v>18.5</c:v>
                </c:pt>
                <c:pt idx="26">
                  <c:v>18.5</c:v>
                </c:pt>
                <c:pt idx="27">
                  <c:v>18.5</c:v>
                </c:pt>
                <c:pt idx="28">
                  <c:v>18.5</c:v>
                </c:pt>
                <c:pt idx="29">
                  <c:v>18.5</c:v>
                </c:pt>
              </c:numCache>
            </c:numRef>
          </c:xVal>
          <c:yVal>
            <c:numRef>
              <c:f>'1bis'!$G$2:$G$31</c:f>
              <c:numCache>
                <c:formatCode>General</c:formatCode>
                <c:ptCount val="30"/>
                <c:pt idx="0">
                  <c:v>10</c:v>
                </c:pt>
                <c:pt idx="1">
                  <c:v>30</c:v>
                </c:pt>
                <c:pt idx="2">
                  <c:v>50</c:v>
                </c:pt>
                <c:pt idx="3">
                  <c:v>70</c:v>
                </c:pt>
                <c:pt idx="4">
                  <c:v>90</c:v>
                </c:pt>
                <c:pt idx="5">
                  <c:v>110</c:v>
                </c:pt>
                <c:pt idx="6">
                  <c:v>10</c:v>
                </c:pt>
                <c:pt idx="7">
                  <c:v>30</c:v>
                </c:pt>
                <c:pt idx="8">
                  <c:v>50</c:v>
                </c:pt>
                <c:pt idx="9">
                  <c:v>70</c:v>
                </c:pt>
                <c:pt idx="10">
                  <c:v>90</c:v>
                </c:pt>
                <c:pt idx="11">
                  <c:v>110</c:v>
                </c:pt>
                <c:pt idx="12">
                  <c:v>10</c:v>
                </c:pt>
                <c:pt idx="13">
                  <c:v>30</c:v>
                </c:pt>
                <c:pt idx="14">
                  <c:v>50</c:v>
                </c:pt>
                <c:pt idx="15">
                  <c:v>70</c:v>
                </c:pt>
                <c:pt idx="16">
                  <c:v>90</c:v>
                </c:pt>
                <c:pt idx="17">
                  <c:v>110</c:v>
                </c:pt>
                <c:pt idx="18">
                  <c:v>10</c:v>
                </c:pt>
                <c:pt idx="19">
                  <c:v>30</c:v>
                </c:pt>
                <c:pt idx="20">
                  <c:v>50</c:v>
                </c:pt>
                <c:pt idx="21">
                  <c:v>70</c:v>
                </c:pt>
                <c:pt idx="22">
                  <c:v>90</c:v>
                </c:pt>
                <c:pt idx="23">
                  <c:v>110</c:v>
                </c:pt>
                <c:pt idx="24">
                  <c:v>10</c:v>
                </c:pt>
                <c:pt idx="25">
                  <c:v>30</c:v>
                </c:pt>
                <c:pt idx="26">
                  <c:v>50</c:v>
                </c:pt>
                <c:pt idx="27">
                  <c:v>70</c:v>
                </c:pt>
                <c:pt idx="28">
                  <c:v>90</c:v>
                </c:pt>
                <c:pt idx="29">
                  <c:v>110</c:v>
                </c:pt>
              </c:numCache>
            </c:numRef>
          </c:yVal>
          <c:bubbleSize>
            <c:numRef>
              <c:f>'1bis'!$O$2:$O$31</c:f>
              <c:numCache>
                <c:formatCode>General</c:formatCode>
                <c:ptCount val="30"/>
                <c:pt idx="0">
                  <c:v>4</c:v>
                </c:pt>
                <c:pt idx="1">
                  <c:v>1</c:v>
                </c:pt>
                <c:pt idx="2">
                  <c:v>0</c:v>
                </c:pt>
                <c:pt idx="3">
                  <c:v>0</c:v>
                </c:pt>
                <c:pt idx="4">
                  <c:v>0</c:v>
                </c:pt>
                <c:pt idx="5">
                  <c:v>0</c:v>
                </c:pt>
                <c:pt idx="6">
                  <c:v>2</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bubbleSize>
          <c:bubble3D val="0"/>
          <c:extLst>
            <c:ext xmlns:c16="http://schemas.microsoft.com/office/drawing/2014/chart" uri="{C3380CC4-5D6E-409C-BE32-E72D297353CC}">
              <c16:uniqueId val="{00000000-65D2-49DA-89C3-CD8548C8160F}"/>
            </c:ext>
          </c:extLst>
        </c:ser>
        <c:dLbls>
          <c:showLegendKey val="0"/>
          <c:showVal val="0"/>
          <c:showCatName val="0"/>
          <c:showSerName val="0"/>
          <c:showPercent val="0"/>
          <c:showBubbleSize val="0"/>
        </c:dLbls>
        <c:bubbleScale val="100"/>
        <c:showNegBubbles val="0"/>
        <c:axId val="502056536"/>
        <c:axId val="502054240"/>
      </c:bubbleChart>
      <c:valAx>
        <c:axId val="5020565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r>
                  <a:rPr lang="en-GB" baseline="0"/>
                  <a:t> staff</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2054240"/>
        <c:crosses val="autoZero"/>
        <c:crossBetween val="midCat"/>
      </c:valAx>
      <c:valAx>
        <c:axId val="50205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r>
                  <a:rPr lang="en-GB" baseline="0"/>
                  <a:t> users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2056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Do CF use a data management plan?</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5047603556161013"/>
          <c:y val="0.19658965296263292"/>
          <c:w val="0.47431746209252323"/>
          <c:h val="0.59805811983784518"/>
        </c:manualLayout>
      </c:layout>
      <c:barChart>
        <c:barDir val="col"/>
        <c:grouping val="percentStacked"/>
        <c:varyColors val="0"/>
        <c:ser>
          <c:idx val="0"/>
          <c:order val="0"/>
          <c:tx>
            <c:strRef>
              <c:f>'10'!$AY$2</c:f>
              <c:strCache>
                <c:ptCount val="1"/>
                <c:pt idx="0">
                  <c:v>Yes</c:v>
                </c:pt>
              </c:strCache>
            </c:strRef>
          </c:tx>
          <c:spPr>
            <a:solidFill>
              <a:schemeClr val="accent1"/>
            </a:solidFill>
            <a:ln>
              <a:noFill/>
            </a:ln>
            <a:effectLst/>
          </c:spPr>
          <c:invertIfNegative val="0"/>
          <c:cat>
            <c:strRef>
              <c:f>'10'!$BA$1:$BC$1</c:f>
              <c:strCache>
                <c:ptCount val="3"/>
                <c:pt idx="0">
                  <c:v>full-service</c:v>
                </c:pt>
                <c:pt idx="1">
                  <c:v>hybrid-service</c:v>
                </c:pt>
                <c:pt idx="2">
                  <c:v>self-service</c:v>
                </c:pt>
              </c:strCache>
            </c:strRef>
          </c:cat>
          <c:val>
            <c:numRef>
              <c:f>'10'!$BA$2:$BC$2</c:f>
              <c:numCache>
                <c:formatCode>General</c:formatCode>
                <c:ptCount val="3"/>
                <c:pt idx="0">
                  <c:v>23</c:v>
                </c:pt>
                <c:pt idx="1">
                  <c:v>50</c:v>
                </c:pt>
                <c:pt idx="2">
                  <c:v>1</c:v>
                </c:pt>
              </c:numCache>
            </c:numRef>
          </c:val>
          <c:extLst>
            <c:ext xmlns:c16="http://schemas.microsoft.com/office/drawing/2014/chart" uri="{C3380CC4-5D6E-409C-BE32-E72D297353CC}">
              <c16:uniqueId val="{00000000-0599-4AE9-96AF-E3FA76499A1C}"/>
            </c:ext>
          </c:extLst>
        </c:ser>
        <c:ser>
          <c:idx val="1"/>
          <c:order val="1"/>
          <c:tx>
            <c:strRef>
              <c:f>'10'!$AY$3</c:f>
              <c:strCache>
                <c:ptCount val="1"/>
                <c:pt idx="0">
                  <c:v>No, but would be useful</c:v>
                </c:pt>
              </c:strCache>
            </c:strRef>
          </c:tx>
          <c:spPr>
            <a:solidFill>
              <a:srgbClr val="FF7C80"/>
            </a:solidFill>
            <a:ln>
              <a:noFill/>
            </a:ln>
            <a:effectLst/>
          </c:spPr>
          <c:invertIfNegative val="0"/>
          <c:cat>
            <c:strRef>
              <c:f>'10'!$BA$1:$BC$1</c:f>
              <c:strCache>
                <c:ptCount val="3"/>
                <c:pt idx="0">
                  <c:v>full-service</c:v>
                </c:pt>
                <c:pt idx="1">
                  <c:v>hybrid-service</c:v>
                </c:pt>
                <c:pt idx="2">
                  <c:v>self-service</c:v>
                </c:pt>
              </c:strCache>
            </c:strRef>
          </c:cat>
          <c:val>
            <c:numRef>
              <c:f>'10'!$BA$3:$BC$3</c:f>
              <c:numCache>
                <c:formatCode>General</c:formatCode>
                <c:ptCount val="3"/>
                <c:pt idx="0">
                  <c:v>29</c:v>
                </c:pt>
                <c:pt idx="1">
                  <c:v>65</c:v>
                </c:pt>
                <c:pt idx="2">
                  <c:v>10</c:v>
                </c:pt>
              </c:numCache>
            </c:numRef>
          </c:val>
          <c:extLst>
            <c:ext xmlns:c16="http://schemas.microsoft.com/office/drawing/2014/chart" uri="{C3380CC4-5D6E-409C-BE32-E72D297353CC}">
              <c16:uniqueId val="{00000001-0599-4AE9-96AF-E3FA76499A1C}"/>
            </c:ext>
          </c:extLst>
        </c:ser>
        <c:ser>
          <c:idx val="2"/>
          <c:order val="2"/>
          <c:tx>
            <c:strRef>
              <c:f>'10'!$AY$4</c:f>
              <c:strCache>
                <c:ptCount val="1"/>
                <c:pt idx="0">
                  <c:v>No, would not be useful</c:v>
                </c:pt>
              </c:strCache>
            </c:strRef>
          </c:tx>
          <c:spPr>
            <a:solidFill>
              <a:srgbClr val="FF0000"/>
            </a:solidFill>
            <a:ln>
              <a:noFill/>
            </a:ln>
            <a:effectLst/>
          </c:spPr>
          <c:invertIfNegative val="0"/>
          <c:cat>
            <c:strRef>
              <c:f>'10'!$BA$1:$BC$1</c:f>
              <c:strCache>
                <c:ptCount val="3"/>
                <c:pt idx="0">
                  <c:v>full-service</c:v>
                </c:pt>
                <c:pt idx="1">
                  <c:v>hybrid-service</c:v>
                </c:pt>
                <c:pt idx="2">
                  <c:v>self-service</c:v>
                </c:pt>
              </c:strCache>
            </c:strRef>
          </c:cat>
          <c:val>
            <c:numRef>
              <c:f>'10'!$BA$4:$BC$4</c:f>
              <c:numCache>
                <c:formatCode>General</c:formatCode>
                <c:ptCount val="3"/>
                <c:pt idx="0">
                  <c:v>9</c:v>
                </c:pt>
                <c:pt idx="1">
                  <c:v>36</c:v>
                </c:pt>
                <c:pt idx="2">
                  <c:v>9</c:v>
                </c:pt>
              </c:numCache>
            </c:numRef>
          </c:val>
          <c:extLst>
            <c:ext xmlns:c16="http://schemas.microsoft.com/office/drawing/2014/chart" uri="{C3380CC4-5D6E-409C-BE32-E72D297353CC}">
              <c16:uniqueId val="{00000002-0599-4AE9-96AF-E3FA76499A1C}"/>
            </c:ext>
          </c:extLst>
        </c:ser>
        <c:ser>
          <c:idx val="3"/>
          <c:order val="3"/>
          <c:tx>
            <c:strRef>
              <c:f>'10'!$AY$5</c:f>
              <c:strCache>
                <c:ptCount val="1"/>
                <c:pt idx="0">
                  <c:v>No</c:v>
                </c:pt>
              </c:strCache>
            </c:strRef>
          </c:tx>
          <c:spPr>
            <a:solidFill>
              <a:srgbClr val="C00000"/>
            </a:solidFill>
            <a:ln>
              <a:noFill/>
            </a:ln>
            <a:effectLst/>
          </c:spPr>
          <c:invertIfNegative val="0"/>
          <c:cat>
            <c:strRef>
              <c:f>'10'!$BA$1:$BC$1</c:f>
              <c:strCache>
                <c:ptCount val="3"/>
                <c:pt idx="0">
                  <c:v>full-service</c:v>
                </c:pt>
                <c:pt idx="1">
                  <c:v>hybrid-service</c:v>
                </c:pt>
                <c:pt idx="2">
                  <c:v>self-service</c:v>
                </c:pt>
              </c:strCache>
            </c:strRef>
          </c:cat>
          <c:val>
            <c:numRef>
              <c:f>'10'!$BA$5:$BC$5</c:f>
              <c:numCache>
                <c:formatCode>General</c:formatCode>
                <c:ptCount val="3"/>
                <c:pt idx="0">
                  <c:v>5</c:v>
                </c:pt>
                <c:pt idx="1">
                  <c:v>9</c:v>
                </c:pt>
                <c:pt idx="2">
                  <c:v>7</c:v>
                </c:pt>
              </c:numCache>
            </c:numRef>
          </c:val>
          <c:extLst>
            <c:ext xmlns:c16="http://schemas.microsoft.com/office/drawing/2014/chart" uri="{C3380CC4-5D6E-409C-BE32-E72D297353CC}">
              <c16:uniqueId val="{00000003-0599-4AE9-96AF-E3FA76499A1C}"/>
            </c:ext>
          </c:extLst>
        </c:ser>
        <c:dLbls>
          <c:showLegendKey val="0"/>
          <c:showVal val="0"/>
          <c:showCatName val="0"/>
          <c:showSerName val="0"/>
          <c:showPercent val="0"/>
          <c:showBubbleSize val="0"/>
        </c:dLbls>
        <c:gapWidth val="130"/>
        <c:overlap val="100"/>
        <c:axId val="531009200"/>
        <c:axId val="626025040"/>
      </c:barChart>
      <c:catAx>
        <c:axId val="53100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6025040"/>
        <c:crosses val="autoZero"/>
        <c:auto val="1"/>
        <c:lblAlgn val="ctr"/>
        <c:lblOffset val="100"/>
        <c:noMultiLvlLbl val="0"/>
      </c:catAx>
      <c:valAx>
        <c:axId val="626025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1009200"/>
        <c:crosses val="autoZero"/>
        <c:crossBetween val="between"/>
      </c:valAx>
      <c:spPr>
        <a:noFill/>
        <a:ln>
          <a:noFill/>
        </a:ln>
        <a:effectLst/>
      </c:spPr>
    </c:plotArea>
    <c:legend>
      <c:legendPos val="r"/>
      <c:layout>
        <c:manualLayout>
          <c:xMode val="edge"/>
          <c:yMode val="edge"/>
          <c:x val="0.66352698382038222"/>
          <c:y val="0.35155807826775881"/>
          <c:w val="0.31065069206878493"/>
          <c:h val="0.428161033658056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Do CF use a data management plan?</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'10'!$AY$2</c:f>
              <c:strCache>
                <c:ptCount val="1"/>
                <c:pt idx="0">
                  <c:v>Yes</c:v>
                </c:pt>
              </c:strCache>
            </c:strRef>
          </c:tx>
          <c:spPr>
            <a:solidFill>
              <a:schemeClr val="accent1"/>
            </a:solidFill>
            <a:ln>
              <a:noFill/>
            </a:ln>
            <a:effectLst/>
          </c:spPr>
          <c:invertIfNegative val="0"/>
          <c:cat>
            <c:strRef>
              <c:f>'10'!$BE$1:$BL$1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'10'!$BE$2:$BL$2</c:f>
              <c:numCache>
                <c:formatCode>General</c:formatCode>
                <c:ptCount val="8"/>
                <c:pt idx="0">
                  <c:v>11</c:v>
                </c:pt>
                <c:pt idx="1">
                  <c:v>9</c:v>
                </c:pt>
                <c:pt idx="2">
                  <c:v>3</c:v>
                </c:pt>
                <c:pt idx="3">
                  <c:v>1</c:v>
                </c:pt>
                <c:pt idx="4">
                  <c:v>13</c:v>
                </c:pt>
                <c:pt idx="5">
                  <c:v>6</c:v>
                </c:pt>
                <c:pt idx="6">
                  <c:v>5</c:v>
                </c:pt>
                <c:pt idx="7">
                  <c:v>12</c:v>
                </c:pt>
              </c:numCache>
            </c:numRef>
          </c:val>
          <c:extLst>
            <c:ext xmlns:c16="http://schemas.microsoft.com/office/drawing/2014/chart" uri="{C3380CC4-5D6E-409C-BE32-E72D297353CC}">
              <c16:uniqueId val="{00000000-FD14-43D1-A5F5-C76E2AD2FDEC}"/>
            </c:ext>
          </c:extLst>
        </c:ser>
        <c:ser>
          <c:idx val="1"/>
          <c:order val="1"/>
          <c:tx>
            <c:strRef>
              <c:f>'10'!$AY$3</c:f>
              <c:strCache>
                <c:ptCount val="1"/>
                <c:pt idx="0">
                  <c:v>No, but would be useful</c:v>
                </c:pt>
              </c:strCache>
            </c:strRef>
          </c:tx>
          <c:spPr>
            <a:solidFill>
              <a:srgbClr val="FF7C80"/>
            </a:solidFill>
            <a:ln>
              <a:noFill/>
            </a:ln>
            <a:effectLst/>
          </c:spPr>
          <c:invertIfNegative val="0"/>
          <c:cat>
            <c:strRef>
              <c:f>'10'!$BE$1:$BL$1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'10'!$BE$3:$BL$3</c:f>
              <c:numCache>
                <c:formatCode>General</c:formatCode>
                <c:ptCount val="8"/>
                <c:pt idx="0">
                  <c:v>19</c:v>
                </c:pt>
                <c:pt idx="1">
                  <c:v>12</c:v>
                </c:pt>
                <c:pt idx="2">
                  <c:v>3</c:v>
                </c:pt>
                <c:pt idx="3">
                  <c:v>3</c:v>
                </c:pt>
                <c:pt idx="4">
                  <c:v>26</c:v>
                </c:pt>
                <c:pt idx="5">
                  <c:v>3</c:v>
                </c:pt>
                <c:pt idx="6">
                  <c:v>2</c:v>
                </c:pt>
                <c:pt idx="7">
                  <c:v>18</c:v>
                </c:pt>
              </c:numCache>
            </c:numRef>
          </c:val>
          <c:extLst>
            <c:ext xmlns:c16="http://schemas.microsoft.com/office/drawing/2014/chart" uri="{C3380CC4-5D6E-409C-BE32-E72D297353CC}">
              <c16:uniqueId val="{00000001-FD14-43D1-A5F5-C76E2AD2FDEC}"/>
            </c:ext>
          </c:extLst>
        </c:ser>
        <c:ser>
          <c:idx val="2"/>
          <c:order val="2"/>
          <c:tx>
            <c:strRef>
              <c:f>'10'!$AY$4</c:f>
              <c:strCache>
                <c:ptCount val="1"/>
                <c:pt idx="0">
                  <c:v>No, would not be useful</c:v>
                </c:pt>
              </c:strCache>
            </c:strRef>
          </c:tx>
          <c:spPr>
            <a:solidFill>
              <a:srgbClr val="FF0000"/>
            </a:solidFill>
            <a:ln>
              <a:noFill/>
            </a:ln>
            <a:effectLst/>
          </c:spPr>
          <c:invertIfNegative val="0"/>
          <c:cat>
            <c:strRef>
              <c:f>'10'!$BE$1:$BL$1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'10'!$BE$4:$BL$4</c:f>
              <c:numCache>
                <c:formatCode>General</c:formatCode>
                <c:ptCount val="8"/>
                <c:pt idx="0">
                  <c:v>14</c:v>
                </c:pt>
                <c:pt idx="1">
                  <c:v>7</c:v>
                </c:pt>
                <c:pt idx="2">
                  <c:v>3</c:v>
                </c:pt>
                <c:pt idx="3">
                  <c:v>2</c:v>
                </c:pt>
                <c:pt idx="4">
                  <c:v>14</c:v>
                </c:pt>
                <c:pt idx="5">
                  <c:v>2</c:v>
                </c:pt>
                <c:pt idx="6">
                  <c:v>1</c:v>
                </c:pt>
                <c:pt idx="7">
                  <c:v>1</c:v>
                </c:pt>
              </c:numCache>
            </c:numRef>
          </c:val>
          <c:extLst>
            <c:ext xmlns:c16="http://schemas.microsoft.com/office/drawing/2014/chart" uri="{C3380CC4-5D6E-409C-BE32-E72D297353CC}">
              <c16:uniqueId val="{00000002-FD14-43D1-A5F5-C76E2AD2FDEC}"/>
            </c:ext>
          </c:extLst>
        </c:ser>
        <c:ser>
          <c:idx val="3"/>
          <c:order val="3"/>
          <c:tx>
            <c:strRef>
              <c:f>'10'!$AY$5</c:f>
              <c:strCache>
                <c:ptCount val="1"/>
                <c:pt idx="0">
                  <c:v>No</c:v>
                </c:pt>
              </c:strCache>
            </c:strRef>
          </c:tx>
          <c:spPr>
            <a:solidFill>
              <a:srgbClr val="C00000"/>
            </a:solidFill>
            <a:ln>
              <a:noFill/>
            </a:ln>
            <a:effectLst/>
          </c:spPr>
          <c:invertIfNegative val="0"/>
          <c:cat>
            <c:strRef>
              <c:f>'10'!$BE$1:$BL$1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'10'!$BE$5:$BL$5</c:f>
              <c:numCache>
                <c:formatCode>General</c:formatCode>
                <c:ptCount val="8"/>
                <c:pt idx="0">
                  <c:v>1</c:v>
                </c:pt>
                <c:pt idx="1">
                  <c:v>2</c:v>
                </c:pt>
                <c:pt idx="2">
                  <c:v>2</c:v>
                </c:pt>
                <c:pt idx="3">
                  <c:v>1</c:v>
                </c:pt>
                <c:pt idx="4">
                  <c:v>5</c:v>
                </c:pt>
                <c:pt idx="5">
                  <c:v>1</c:v>
                </c:pt>
                <c:pt idx="6">
                  <c:v>0</c:v>
                </c:pt>
                <c:pt idx="7">
                  <c:v>3</c:v>
                </c:pt>
              </c:numCache>
            </c:numRef>
          </c:val>
          <c:extLst>
            <c:ext xmlns:c16="http://schemas.microsoft.com/office/drawing/2014/chart" uri="{C3380CC4-5D6E-409C-BE32-E72D297353CC}">
              <c16:uniqueId val="{00000003-FD14-43D1-A5F5-C76E2AD2FDEC}"/>
            </c:ext>
          </c:extLst>
        </c:ser>
        <c:dLbls>
          <c:showLegendKey val="0"/>
          <c:showVal val="0"/>
          <c:showCatName val="0"/>
          <c:showSerName val="0"/>
          <c:showPercent val="0"/>
          <c:showBubbleSize val="0"/>
        </c:dLbls>
        <c:gapWidth val="130"/>
        <c:overlap val="100"/>
        <c:axId val="529475872"/>
        <c:axId val="529472264"/>
      </c:barChart>
      <c:catAx>
        <c:axId val="52947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9472264"/>
        <c:crosses val="autoZero"/>
        <c:auto val="1"/>
        <c:lblAlgn val="ctr"/>
        <c:lblOffset val="100"/>
        <c:noMultiLvlLbl val="0"/>
      </c:catAx>
      <c:valAx>
        <c:axId val="529472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9475872"/>
        <c:crosses val="autoZero"/>
        <c:crossBetween val="between"/>
      </c:valAx>
      <c:spPr>
        <a:noFill/>
        <a:ln>
          <a:noFill/>
        </a:ln>
        <a:effectLst/>
      </c:spPr>
    </c:plotArea>
    <c:legend>
      <c:legendPos val="r"/>
      <c:layout>
        <c:manualLayout>
          <c:xMode val="edge"/>
          <c:yMode val="edge"/>
          <c:x val="0.76177022820448204"/>
          <c:y val="0.35786152282386685"/>
          <c:w val="0.22517453667193274"/>
          <c:h val="0.30965772796947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 CF use a data management plan?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56E-4072-878B-FE89141B19BC}"/>
              </c:ext>
            </c:extLst>
          </c:dPt>
          <c:dPt>
            <c:idx val="1"/>
            <c:bubble3D val="0"/>
            <c:spPr>
              <a:solidFill>
                <a:srgbClr val="FF7C80"/>
              </a:solidFill>
              <a:ln w="19050">
                <a:solidFill>
                  <a:schemeClr val="lt1"/>
                </a:solidFill>
              </a:ln>
              <a:effectLst/>
            </c:spPr>
            <c:extLst>
              <c:ext xmlns:c16="http://schemas.microsoft.com/office/drawing/2014/chart" uri="{C3380CC4-5D6E-409C-BE32-E72D297353CC}">
                <c16:uniqueId val="{00000003-B56E-4072-878B-FE89141B19BC}"/>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B56E-4072-878B-FE89141B19BC}"/>
              </c:ext>
            </c:extLst>
          </c:dPt>
          <c:dPt>
            <c:idx val="3"/>
            <c:bubble3D val="0"/>
            <c:spPr>
              <a:solidFill>
                <a:srgbClr val="CC0000"/>
              </a:solidFill>
              <a:ln w="19050">
                <a:solidFill>
                  <a:schemeClr val="lt1"/>
                </a:solidFill>
              </a:ln>
              <a:effectLst/>
            </c:spPr>
            <c:extLst>
              <c:ext xmlns:c16="http://schemas.microsoft.com/office/drawing/2014/chart" uri="{C3380CC4-5D6E-409C-BE32-E72D297353CC}">
                <c16:uniqueId val="{00000007-B56E-4072-878B-FE89141B19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'10'!$AY$2:$AY$4</c:f>
              <c:strCache>
                <c:ptCount val="3"/>
                <c:pt idx="0">
                  <c:v>Yes</c:v>
                </c:pt>
                <c:pt idx="1">
                  <c:v>No, but would be useful</c:v>
                </c:pt>
                <c:pt idx="2">
                  <c:v>No, would not be useful</c:v>
                </c:pt>
              </c:strCache>
            </c:strRef>
          </c:cat>
          <c:val>
            <c:numRef>
              <c:f>'10'!$BP$2:$BP$4</c:f>
              <c:numCache>
                <c:formatCode>General</c:formatCode>
                <c:ptCount val="3"/>
                <c:pt idx="0">
                  <c:v>59</c:v>
                </c:pt>
                <c:pt idx="1">
                  <c:v>89</c:v>
                </c:pt>
                <c:pt idx="2">
                  <c:v>48</c:v>
                </c:pt>
              </c:numCache>
            </c:numRef>
          </c:val>
          <c:extLst>
            <c:ext xmlns:c16="http://schemas.microsoft.com/office/drawing/2014/chart" uri="{C3380CC4-5D6E-409C-BE32-E72D297353CC}">
              <c16:uniqueId val="{00000008-B56E-4072-878B-FE89141B19B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Do CF use a data management plan?</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5129456178427719"/>
          <c:y val="0.19829596296248264"/>
          <c:w val="0.48876649505787112"/>
          <c:h val="0.59456944462455996"/>
        </c:manualLayout>
      </c:layout>
      <c:barChart>
        <c:barDir val="col"/>
        <c:grouping val="percentStacked"/>
        <c:varyColors val="0"/>
        <c:ser>
          <c:idx val="0"/>
          <c:order val="0"/>
          <c:tx>
            <c:strRef>
              <c:f>'10'!$AY$2</c:f>
              <c:strCache>
                <c:ptCount val="1"/>
                <c:pt idx="0">
                  <c:v>Yes</c:v>
                </c:pt>
              </c:strCache>
            </c:strRef>
          </c:tx>
          <c:spPr>
            <a:solidFill>
              <a:schemeClr val="accent1"/>
            </a:solidFill>
            <a:ln>
              <a:noFill/>
            </a:ln>
            <a:effectLst/>
          </c:spPr>
          <c:invertIfNegative val="0"/>
          <c:cat>
            <c:strRef>
              <c:f>'10'!$BQ$1:$BS$1</c:f>
              <c:strCache>
                <c:ptCount val="3"/>
                <c:pt idx="0">
                  <c:v>full-service</c:v>
                </c:pt>
                <c:pt idx="1">
                  <c:v>hybrid-service</c:v>
                </c:pt>
                <c:pt idx="2">
                  <c:v>self-service</c:v>
                </c:pt>
              </c:strCache>
            </c:strRef>
          </c:cat>
          <c:val>
            <c:numRef>
              <c:f>'10'!$BQ$2:$BS$2</c:f>
              <c:numCache>
                <c:formatCode>General</c:formatCode>
                <c:ptCount val="3"/>
                <c:pt idx="0">
                  <c:v>18</c:v>
                </c:pt>
                <c:pt idx="1">
                  <c:v>40</c:v>
                </c:pt>
                <c:pt idx="2">
                  <c:v>1</c:v>
                </c:pt>
              </c:numCache>
            </c:numRef>
          </c:val>
          <c:extLst>
            <c:ext xmlns:c16="http://schemas.microsoft.com/office/drawing/2014/chart" uri="{C3380CC4-5D6E-409C-BE32-E72D297353CC}">
              <c16:uniqueId val="{00000000-975E-4AC3-98D9-B590AD13C088}"/>
            </c:ext>
          </c:extLst>
        </c:ser>
        <c:ser>
          <c:idx val="1"/>
          <c:order val="1"/>
          <c:tx>
            <c:strRef>
              <c:f>'10'!$AY$3</c:f>
              <c:strCache>
                <c:ptCount val="1"/>
                <c:pt idx="0">
                  <c:v>No, but would be useful</c:v>
                </c:pt>
              </c:strCache>
            </c:strRef>
          </c:tx>
          <c:spPr>
            <a:solidFill>
              <a:srgbClr val="FF7C80"/>
            </a:solidFill>
            <a:ln>
              <a:noFill/>
            </a:ln>
            <a:effectLst/>
          </c:spPr>
          <c:invertIfNegative val="0"/>
          <c:cat>
            <c:strRef>
              <c:f>'10'!$BQ$1:$BS$1</c:f>
              <c:strCache>
                <c:ptCount val="3"/>
                <c:pt idx="0">
                  <c:v>full-service</c:v>
                </c:pt>
                <c:pt idx="1">
                  <c:v>hybrid-service</c:v>
                </c:pt>
                <c:pt idx="2">
                  <c:v>self-service</c:v>
                </c:pt>
              </c:strCache>
            </c:strRef>
          </c:cat>
          <c:val>
            <c:numRef>
              <c:f>'10'!$BQ$3:$BS$3</c:f>
              <c:numCache>
                <c:formatCode>General</c:formatCode>
                <c:ptCount val="3"/>
                <c:pt idx="0">
                  <c:v>27</c:v>
                </c:pt>
                <c:pt idx="1">
                  <c:v>60</c:v>
                </c:pt>
                <c:pt idx="2">
                  <c:v>2</c:v>
                </c:pt>
              </c:numCache>
            </c:numRef>
          </c:val>
          <c:extLst>
            <c:ext xmlns:c16="http://schemas.microsoft.com/office/drawing/2014/chart" uri="{C3380CC4-5D6E-409C-BE32-E72D297353CC}">
              <c16:uniqueId val="{00000001-975E-4AC3-98D9-B590AD13C088}"/>
            </c:ext>
          </c:extLst>
        </c:ser>
        <c:ser>
          <c:idx val="2"/>
          <c:order val="2"/>
          <c:tx>
            <c:strRef>
              <c:f>'10'!$AY$4</c:f>
              <c:strCache>
                <c:ptCount val="1"/>
                <c:pt idx="0">
                  <c:v>No, would not be useful</c:v>
                </c:pt>
              </c:strCache>
            </c:strRef>
          </c:tx>
          <c:spPr>
            <a:solidFill>
              <a:srgbClr val="FF0000"/>
            </a:solidFill>
            <a:ln>
              <a:noFill/>
            </a:ln>
            <a:effectLst/>
          </c:spPr>
          <c:invertIfNegative val="0"/>
          <c:cat>
            <c:strRef>
              <c:f>'10'!$BQ$1:$BS$1</c:f>
              <c:strCache>
                <c:ptCount val="3"/>
                <c:pt idx="0">
                  <c:v>full-service</c:v>
                </c:pt>
                <c:pt idx="1">
                  <c:v>hybrid-service</c:v>
                </c:pt>
                <c:pt idx="2">
                  <c:v>self-service</c:v>
                </c:pt>
              </c:strCache>
            </c:strRef>
          </c:cat>
          <c:val>
            <c:numRef>
              <c:f>'10'!$BQ$4:$BS$4</c:f>
              <c:numCache>
                <c:formatCode>General</c:formatCode>
                <c:ptCount val="3"/>
                <c:pt idx="0">
                  <c:v>9</c:v>
                </c:pt>
                <c:pt idx="1">
                  <c:v>32</c:v>
                </c:pt>
                <c:pt idx="2">
                  <c:v>7</c:v>
                </c:pt>
              </c:numCache>
            </c:numRef>
          </c:val>
          <c:extLst>
            <c:ext xmlns:c16="http://schemas.microsoft.com/office/drawing/2014/chart" uri="{C3380CC4-5D6E-409C-BE32-E72D297353CC}">
              <c16:uniqueId val="{00000002-975E-4AC3-98D9-B590AD13C088}"/>
            </c:ext>
          </c:extLst>
        </c:ser>
        <c:dLbls>
          <c:showLegendKey val="0"/>
          <c:showVal val="0"/>
          <c:showCatName val="0"/>
          <c:showSerName val="0"/>
          <c:showPercent val="0"/>
          <c:showBubbleSize val="0"/>
        </c:dLbls>
        <c:gapWidth val="130"/>
        <c:overlap val="100"/>
        <c:axId val="531009200"/>
        <c:axId val="626025040"/>
      </c:barChart>
      <c:catAx>
        <c:axId val="53100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6025040"/>
        <c:crosses val="autoZero"/>
        <c:auto val="1"/>
        <c:lblAlgn val="ctr"/>
        <c:lblOffset val="100"/>
        <c:noMultiLvlLbl val="0"/>
      </c:catAx>
      <c:valAx>
        <c:axId val="626025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1009200"/>
        <c:crosses val="autoZero"/>
        <c:crossBetween val="between"/>
      </c:valAx>
      <c:spPr>
        <a:noFill/>
        <a:ln>
          <a:noFill/>
        </a:ln>
        <a:effectLst/>
      </c:spPr>
    </c:plotArea>
    <c:legend>
      <c:legendPos val="r"/>
      <c:layout>
        <c:manualLayout>
          <c:xMode val="edge"/>
          <c:yMode val="edge"/>
          <c:x val="0.67900523685080261"/>
          <c:y val="0.42667150817220195"/>
          <c:w val="0.29503197647676122"/>
          <c:h val="0.304693234428291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Achieving research data quality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tx>
            <c:strRef>
              <c:f>'10bis'!$G$1</c:f>
              <c:strCache>
                <c:ptCount val="1"/>
                <c:pt idx="0">
                  <c:v>important factors</c:v>
                </c:pt>
              </c:strCache>
            </c:strRef>
          </c:tx>
          <c:spPr>
            <a:solidFill>
              <a:schemeClr val="accent1"/>
            </a:solidFill>
            <a:ln>
              <a:noFill/>
            </a:ln>
            <a:effectLst/>
          </c:spPr>
          <c:invertIfNegative val="0"/>
          <c:cat>
            <c:strRef>
              <c:f>'10bis'!$F$2:$F$20</c:f>
              <c:strCache>
                <c:ptCount val="19"/>
                <c:pt idx="0">
                  <c:v>communication, collaboration with user</c:v>
                </c:pt>
                <c:pt idx="1">
                  <c:v>training, advising users</c:v>
                </c:pt>
                <c:pt idx="2">
                  <c:v>enough qualified staff</c:v>
                </c:pt>
                <c:pt idx="3">
                  <c:v>CF management, IT infrastructure, software solutions</c:v>
                </c:pt>
                <c:pt idx="4">
                  <c:v>sample management, project management</c:v>
                </c:pt>
                <c:pt idx="5">
                  <c:v>automation</c:v>
                </c:pt>
                <c:pt idx="6">
                  <c:v>expertise, development</c:v>
                </c:pt>
                <c:pt idx="7">
                  <c:v>experimental design</c:v>
                </c:pt>
                <c:pt idx="8">
                  <c:v>good samples, controls, calibration</c:v>
                </c:pt>
                <c:pt idx="9">
                  <c:v>good scientific practice</c:v>
                </c:pt>
                <c:pt idx="10">
                  <c:v>SOP, standardization</c:v>
                </c:pt>
                <c:pt idx="11">
                  <c:v>equipment (up to date, setup, maintenance)</c:v>
                </c:pt>
                <c:pt idx="12">
                  <c:v>data collection</c:v>
                </c:pt>
                <c:pt idx="13">
                  <c:v>data management, metadata, documentation</c:v>
                </c:pt>
                <c:pt idx="14">
                  <c:v>data analysis</c:v>
                </c:pt>
                <c:pt idx="15">
                  <c:v>quality control</c:v>
                </c:pt>
                <c:pt idx="16">
                  <c:v>reporting</c:v>
                </c:pt>
                <c:pt idx="17">
                  <c:v>funding</c:v>
                </c:pt>
                <c:pt idx="18">
                  <c:v>recognition</c:v>
                </c:pt>
              </c:strCache>
            </c:strRef>
          </c:cat>
          <c:val>
            <c:numRef>
              <c:f>'10bis'!$G$2:$G$20</c:f>
              <c:numCache>
                <c:formatCode>General</c:formatCode>
                <c:ptCount val="19"/>
                <c:pt idx="0">
                  <c:v>14</c:v>
                </c:pt>
                <c:pt idx="1">
                  <c:v>38</c:v>
                </c:pt>
                <c:pt idx="2">
                  <c:v>43</c:v>
                </c:pt>
                <c:pt idx="3">
                  <c:v>0</c:v>
                </c:pt>
                <c:pt idx="4">
                  <c:v>0</c:v>
                </c:pt>
                <c:pt idx="5">
                  <c:v>0</c:v>
                </c:pt>
                <c:pt idx="6">
                  <c:v>16</c:v>
                </c:pt>
                <c:pt idx="7">
                  <c:v>15</c:v>
                </c:pt>
                <c:pt idx="8">
                  <c:v>29</c:v>
                </c:pt>
                <c:pt idx="9">
                  <c:v>12</c:v>
                </c:pt>
                <c:pt idx="10">
                  <c:v>32</c:v>
                </c:pt>
                <c:pt idx="11">
                  <c:v>41</c:v>
                </c:pt>
                <c:pt idx="12">
                  <c:v>5</c:v>
                </c:pt>
                <c:pt idx="13">
                  <c:v>15</c:v>
                </c:pt>
                <c:pt idx="14">
                  <c:v>20</c:v>
                </c:pt>
                <c:pt idx="15">
                  <c:v>22</c:v>
                </c:pt>
                <c:pt idx="16">
                  <c:v>3</c:v>
                </c:pt>
                <c:pt idx="17">
                  <c:v>0</c:v>
                </c:pt>
                <c:pt idx="18">
                  <c:v>0</c:v>
                </c:pt>
              </c:numCache>
            </c:numRef>
          </c:val>
          <c:extLst>
            <c:ext xmlns:c16="http://schemas.microsoft.com/office/drawing/2014/chart" uri="{C3380CC4-5D6E-409C-BE32-E72D297353CC}">
              <c16:uniqueId val="{00000000-17A7-4C70-A542-D7C5CAFB47A8}"/>
            </c:ext>
          </c:extLst>
        </c:ser>
        <c:ser>
          <c:idx val="1"/>
          <c:order val="1"/>
          <c:tx>
            <c:strRef>
              <c:f>'10bis'!$H$1</c:f>
              <c:strCache>
                <c:ptCount val="1"/>
                <c:pt idx="0">
                  <c:v>factors to improve</c:v>
                </c:pt>
              </c:strCache>
            </c:strRef>
          </c:tx>
          <c:spPr>
            <a:solidFill>
              <a:schemeClr val="accent2"/>
            </a:solidFill>
            <a:ln>
              <a:noFill/>
            </a:ln>
            <a:effectLst/>
          </c:spPr>
          <c:invertIfNegative val="0"/>
          <c:cat>
            <c:strRef>
              <c:f>'10bis'!$F$2:$F$20</c:f>
              <c:strCache>
                <c:ptCount val="19"/>
                <c:pt idx="0">
                  <c:v>communication, collaboration with user</c:v>
                </c:pt>
                <c:pt idx="1">
                  <c:v>training, advising users</c:v>
                </c:pt>
                <c:pt idx="2">
                  <c:v>enough qualified staff</c:v>
                </c:pt>
                <c:pt idx="3">
                  <c:v>CF management, IT infrastructure, software solutions</c:v>
                </c:pt>
                <c:pt idx="4">
                  <c:v>sample management, project management</c:v>
                </c:pt>
                <c:pt idx="5">
                  <c:v>automation</c:v>
                </c:pt>
                <c:pt idx="6">
                  <c:v>expertise, development</c:v>
                </c:pt>
                <c:pt idx="7">
                  <c:v>experimental design</c:v>
                </c:pt>
                <c:pt idx="8">
                  <c:v>good samples, controls, calibration</c:v>
                </c:pt>
                <c:pt idx="9">
                  <c:v>good scientific practice</c:v>
                </c:pt>
                <c:pt idx="10">
                  <c:v>SOP, standardization</c:v>
                </c:pt>
                <c:pt idx="11">
                  <c:v>equipment (up to date, setup, maintenance)</c:v>
                </c:pt>
                <c:pt idx="12">
                  <c:v>data collection</c:v>
                </c:pt>
                <c:pt idx="13">
                  <c:v>data management, metadata, documentation</c:v>
                </c:pt>
                <c:pt idx="14">
                  <c:v>data analysis</c:v>
                </c:pt>
                <c:pt idx="15">
                  <c:v>quality control</c:v>
                </c:pt>
                <c:pt idx="16">
                  <c:v>reporting</c:v>
                </c:pt>
                <c:pt idx="17">
                  <c:v>funding</c:v>
                </c:pt>
                <c:pt idx="18">
                  <c:v>recognition</c:v>
                </c:pt>
              </c:strCache>
            </c:strRef>
          </c:cat>
          <c:val>
            <c:numRef>
              <c:f>'10bis'!$H$2:$H$20</c:f>
              <c:numCache>
                <c:formatCode>General</c:formatCode>
                <c:ptCount val="19"/>
                <c:pt idx="0">
                  <c:v>8</c:v>
                </c:pt>
                <c:pt idx="1">
                  <c:v>15</c:v>
                </c:pt>
                <c:pt idx="2">
                  <c:v>70</c:v>
                </c:pt>
                <c:pt idx="3">
                  <c:v>8</c:v>
                </c:pt>
                <c:pt idx="4">
                  <c:v>11</c:v>
                </c:pt>
                <c:pt idx="5">
                  <c:v>8</c:v>
                </c:pt>
                <c:pt idx="6">
                  <c:v>14</c:v>
                </c:pt>
                <c:pt idx="7">
                  <c:v>4</c:v>
                </c:pt>
                <c:pt idx="8">
                  <c:v>0</c:v>
                </c:pt>
                <c:pt idx="9">
                  <c:v>0</c:v>
                </c:pt>
                <c:pt idx="10">
                  <c:v>2</c:v>
                </c:pt>
                <c:pt idx="11">
                  <c:v>36</c:v>
                </c:pt>
                <c:pt idx="12">
                  <c:v>0</c:v>
                </c:pt>
                <c:pt idx="13">
                  <c:v>19</c:v>
                </c:pt>
                <c:pt idx="14">
                  <c:v>21</c:v>
                </c:pt>
                <c:pt idx="15">
                  <c:v>7</c:v>
                </c:pt>
                <c:pt idx="16">
                  <c:v>1</c:v>
                </c:pt>
                <c:pt idx="17">
                  <c:v>4</c:v>
                </c:pt>
                <c:pt idx="18">
                  <c:v>3</c:v>
                </c:pt>
              </c:numCache>
            </c:numRef>
          </c:val>
          <c:extLst>
            <c:ext xmlns:c16="http://schemas.microsoft.com/office/drawing/2014/chart" uri="{C3380CC4-5D6E-409C-BE32-E72D297353CC}">
              <c16:uniqueId val="{00000001-17A7-4C70-A542-D7C5CAFB47A8}"/>
            </c:ext>
          </c:extLst>
        </c:ser>
        <c:dLbls>
          <c:showLegendKey val="0"/>
          <c:showVal val="0"/>
          <c:showCatName val="0"/>
          <c:showSerName val="0"/>
          <c:showPercent val="0"/>
          <c:showBubbleSize val="0"/>
        </c:dLbls>
        <c:gapWidth val="182"/>
        <c:axId val="440365696"/>
        <c:axId val="440365368"/>
      </c:barChart>
      <c:catAx>
        <c:axId val="440365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0365368"/>
        <c:crosses val="autoZero"/>
        <c:auto val="1"/>
        <c:lblAlgn val="ctr"/>
        <c:lblOffset val="100"/>
        <c:noMultiLvlLbl val="0"/>
      </c:catAx>
      <c:valAx>
        <c:axId val="440365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0365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Achieving research quality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tx>
            <c:strRef>
              <c:f>'10bis'!$L$1</c:f>
              <c:strCache>
                <c:ptCount val="1"/>
                <c:pt idx="0">
                  <c:v>important factors</c:v>
                </c:pt>
              </c:strCache>
            </c:strRef>
          </c:tx>
          <c:spPr>
            <a:solidFill>
              <a:schemeClr val="accent1"/>
            </a:solidFill>
            <a:ln>
              <a:noFill/>
            </a:ln>
            <a:effectLst/>
          </c:spPr>
          <c:invertIfNegative val="0"/>
          <c:cat>
            <c:strRef>
              <c:f>'10bis'!$K$2:$K$15</c:f>
              <c:strCache>
                <c:ptCount val="14"/>
                <c:pt idx="0">
                  <c:v>train, advise, communicate with users</c:v>
                </c:pt>
                <c:pt idx="1">
                  <c:v>enough qualified staff</c:v>
                </c:pt>
                <c:pt idx="2">
                  <c:v>equipment (up to date, setup, maintenance)</c:v>
                </c:pt>
                <c:pt idx="3">
                  <c:v>SOP, standardization</c:v>
                </c:pt>
                <c:pt idx="4">
                  <c:v>good samples, controls, calibration</c:v>
                </c:pt>
                <c:pt idx="5">
                  <c:v>quality control</c:v>
                </c:pt>
                <c:pt idx="6">
                  <c:v>data analysis</c:v>
                </c:pt>
                <c:pt idx="7">
                  <c:v>expertise, development</c:v>
                </c:pt>
                <c:pt idx="8">
                  <c:v>data management, metadata, documentation</c:v>
                </c:pt>
                <c:pt idx="9">
                  <c:v>experimental design</c:v>
                </c:pt>
                <c:pt idx="10">
                  <c:v>good scientific practice</c:v>
                </c:pt>
                <c:pt idx="11">
                  <c:v>sample management, project management</c:v>
                </c:pt>
                <c:pt idx="12">
                  <c:v>CF management, IT infrastructure, software solutions</c:v>
                </c:pt>
                <c:pt idx="13">
                  <c:v>automation</c:v>
                </c:pt>
              </c:strCache>
            </c:strRef>
          </c:cat>
          <c:val>
            <c:numRef>
              <c:f>'10bis'!$L$2:$L$15</c:f>
              <c:numCache>
                <c:formatCode>General</c:formatCode>
                <c:ptCount val="14"/>
                <c:pt idx="0">
                  <c:v>52</c:v>
                </c:pt>
                <c:pt idx="1">
                  <c:v>43</c:v>
                </c:pt>
                <c:pt idx="2">
                  <c:v>41</c:v>
                </c:pt>
                <c:pt idx="3">
                  <c:v>32</c:v>
                </c:pt>
                <c:pt idx="4">
                  <c:v>29</c:v>
                </c:pt>
                <c:pt idx="5">
                  <c:v>22</c:v>
                </c:pt>
                <c:pt idx="6">
                  <c:v>20</c:v>
                </c:pt>
                <c:pt idx="7">
                  <c:v>16</c:v>
                </c:pt>
                <c:pt idx="8">
                  <c:v>15</c:v>
                </c:pt>
                <c:pt idx="9">
                  <c:v>15</c:v>
                </c:pt>
                <c:pt idx="10">
                  <c:v>12</c:v>
                </c:pt>
                <c:pt idx="11">
                  <c:v>0</c:v>
                </c:pt>
                <c:pt idx="12">
                  <c:v>0</c:v>
                </c:pt>
                <c:pt idx="13">
                  <c:v>0</c:v>
                </c:pt>
              </c:numCache>
            </c:numRef>
          </c:val>
          <c:extLst>
            <c:ext xmlns:c16="http://schemas.microsoft.com/office/drawing/2014/chart" uri="{C3380CC4-5D6E-409C-BE32-E72D297353CC}">
              <c16:uniqueId val="{00000000-FB3B-4A28-AEC7-B52D9ED32F3E}"/>
            </c:ext>
          </c:extLst>
        </c:ser>
        <c:ser>
          <c:idx val="1"/>
          <c:order val="1"/>
          <c:tx>
            <c:strRef>
              <c:f>'10bis'!$M$1</c:f>
              <c:strCache>
                <c:ptCount val="1"/>
                <c:pt idx="0">
                  <c:v>factors to improve</c:v>
                </c:pt>
              </c:strCache>
            </c:strRef>
          </c:tx>
          <c:spPr>
            <a:solidFill>
              <a:schemeClr val="accent2"/>
            </a:solidFill>
            <a:ln>
              <a:noFill/>
            </a:ln>
            <a:effectLst/>
          </c:spPr>
          <c:invertIfNegative val="0"/>
          <c:cat>
            <c:strRef>
              <c:f>'10bis'!$K$2:$K$15</c:f>
              <c:strCache>
                <c:ptCount val="14"/>
                <c:pt idx="0">
                  <c:v>train, advise, communicate with users</c:v>
                </c:pt>
                <c:pt idx="1">
                  <c:v>enough qualified staff</c:v>
                </c:pt>
                <c:pt idx="2">
                  <c:v>equipment (up to date, setup, maintenance)</c:v>
                </c:pt>
                <c:pt idx="3">
                  <c:v>SOP, standardization</c:v>
                </c:pt>
                <c:pt idx="4">
                  <c:v>good samples, controls, calibration</c:v>
                </c:pt>
                <c:pt idx="5">
                  <c:v>quality control</c:v>
                </c:pt>
                <c:pt idx="6">
                  <c:v>data analysis</c:v>
                </c:pt>
                <c:pt idx="7">
                  <c:v>expertise, development</c:v>
                </c:pt>
                <c:pt idx="8">
                  <c:v>data management, metadata, documentation</c:v>
                </c:pt>
                <c:pt idx="9">
                  <c:v>experimental design</c:v>
                </c:pt>
                <c:pt idx="10">
                  <c:v>good scientific practice</c:v>
                </c:pt>
                <c:pt idx="11">
                  <c:v>sample management, project management</c:v>
                </c:pt>
                <c:pt idx="12">
                  <c:v>CF management, IT infrastructure, software solutions</c:v>
                </c:pt>
                <c:pt idx="13">
                  <c:v>automation</c:v>
                </c:pt>
              </c:strCache>
            </c:strRef>
          </c:cat>
          <c:val>
            <c:numRef>
              <c:f>'10bis'!$M$2:$M$15</c:f>
              <c:numCache>
                <c:formatCode>General</c:formatCode>
                <c:ptCount val="14"/>
                <c:pt idx="0">
                  <c:v>23</c:v>
                </c:pt>
                <c:pt idx="1">
                  <c:v>70</c:v>
                </c:pt>
                <c:pt idx="2">
                  <c:v>36</c:v>
                </c:pt>
                <c:pt idx="3">
                  <c:v>2</c:v>
                </c:pt>
                <c:pt idx="4">
                  <c:v>0</c:v>
                </c:pt>
                <c:pt idx="5">
                  <c:v>7</c:v>
                </c:pt>
                <c:pt idx="6">
                  <c:v>21</c:v>
                </c:pt>
                <c:pt idx="7">
                  <c:v>14</c:v>
                </c:pt>
                <c:pt idx="8">
                  <c:v>19</c:v>
                </c:pt>
                <c:pt idx="9">
                  <c:v>4</c:v>
                </c:pt>
                <c:pt idx="10">
                  <c:v>0</c:v>
                </c:pt>
                <c:pt idx="11">
                  <c:v>11</c:v>
                </c:pt>
                <c:pt idx="12">
                  <c:v>8</c:v>
                </c:pt>
                <c:pt idx="13">
                  <c:v>8</c:v>
                </c:pt>
              </c:numCache>
            </c:numRef>
          </c:val>
          <c:extLst>
            <c:ext xmlns:c16="http://schemas.microsoft.com/office/drawing/2014/chart" uri="{C3380CC4-5D6E-409C-BE32-E72D297353CC}">
              <c16:uniqueId val="{00000001-FB3B-4A28-AEC7-B52D9ED32F3E}"/>
            </c:ext>
          </c:extLst>
        </c:ser>
        <c:dLbls>
          <c:showLegendKey val="0"/>
          <c:showVal val="0"/>
          <c:showCatName val="0"/>
          <c:showSerName val="0"/>
          <c:showPercent val="0"/>
          <c:showBubbleSize val="0"/>
        </c:dLbls>
        <c:gapWidth val="182"/>
        <c:axId val="440365696"/>
        <c:axId val="440365368"/>
      </c:barChart>
      <c:catAx>
        <c:axId val="440365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0365368"/>
        <c:crosses val="autoZero"/>
        <c:auto val="1"/>
        <c:lblAlgn val="ctr"/>
        <c:lblOffset val="100"/>
        <c:noMultiLvlLbl val="0"/>
      </c:catAx>
      <c:valAx>
        <c:axId val="440365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0365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Achieving research quality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tx>
            <c:strRef>
              <c:f>'10bis'!$X$1</c:f>
              <c:strCache>
                <c:ptCount val="1"/>
                <c:pt idx="0">
                  <c:v>important factors</c:v>
                </c:pt>
              </c:strCache>
            </c:strRef>
          </c:tx>
          <c:spPr>
            <a:solidFill>
              <a:schemeClr val="accent1"/>
            </a:solidFill>
            <a:ln>
              <a:noFill/>
            </a:ln>
            <a:effectLst/>
          </c:spPr>
          <c:invertIfNegative val="0"/>
          <c:cat>
            <c:strRef>
              <c:f>'10bis'!$W$2:$W$11</c:f>
              <c:strCache>
                <c:ptCount val="10"/>
                <c:pt idx="0">
                  <c:v>train, advise, communicate with users</c:v>
                </c:pt>
                <c:pt idx="1">
                  <c:v>enough qualified staff</c:v>
                </c:pt>
                <c:pt idx="2">
                  <c:v>equipment (up to date, setup, maintenance)</c:v>
                </c:pt>
                <c:pt idx="3">
                  <c:v>quality control + good scientific practice</c:v>
                </c:pt>
                <c:pt idx="4">
                  <c:v>SOP, standardization</c:v>
                </c:pt>
                <c:pt idx="5">
                  <c:v>good samples, controls, calibration</c:v>
                </c:pt>
                <c:pt idx="6">
                  <c:v>data analysis</c:v>
                </c:pt>
                <c:pt idx="7">
                  <c:v>expertise, development</c:v>
                </c:pt>
                <c:pt idx="8">
                  <c:v>management (facility, project, sample, data), IT infrastructure,  automation, documentation</c:v>
                </c:pt>
                <c:pt idx="9">
                  <c:v>experimental design</c:v>
                </c:pt>
              </c:strCache>
            </c:strRef>
          </c:cat>
          <c:val>
            <c:numRef>
              <c:f>'10bis'!$X$2:$X$11</c:f>
              <c:numCache>
                <c:formatCode>General</c:formatCode>
                <c:ptCount val="10"/>
                <c:pt idx="0">
                  <c:v>52</c:v>
                </c:pt>
                <c:pt idx="1">
                  <c:v>43</c:v>
                </c:pt>
                <c:pt idx="2">
                  <c:v>41</c:v>
                </c:pt>
                <c:pt idx="3">
                  <c:v>34</c:v>
                </c:pt>
                <c:pt idx="4">
                  <c:v>32</c:v>
                </c:pt>
                <c:pt idx="5">
                  <c:v>29</c:v>
                </c:pt>
                <c:pt idx="6">
                  <c:v>20</c:v>
                </c:pt>
                <c:pt idx="7">
                  <c:v>16</c:v>
                </c:pt>
                <c:pt idx="8">
                  <c:v>15</c:v>
                </c:pt>
                <c:pt idx="9">
                  <c:v>15</c:v>
                </c:pt>
              </c:numCache>
            </c:numRef>
          </c:val>
          <c:extLst>
            <c:ext xmlns:c16="http://schemas.microsoft.com/office/drawing/2014/chart" uri="{C3380CC4-5D6E-409C-BE32-E72D297353CC}">
              <c16:uniqueId val="{00000000-20EB-4BDE-8B94-743DECDAFE86}"/>
            </c:ext>
          </c:extLst>
        </c:ser>
        <c:ser>
          <c:idx val="1"/>
          <c:order val="1"/>
          <c:tx>
            <c:strRef>
              <c:f>'10bis'!$Y$1</c:f>
              <c:strCache>
                <c:ptCount val="1"/>
                <c:pt idx="0">
                  <c:v>factors to improve</c:v>
                </c:pt>
              </c:strCache>
            </c:strRef>
          </c:tx>
          <c:spPr>
            <a:solidFill>
              <a:schemeClr val="accent2"/>
            </a:solidFill>
            <a:ln>
              <a:noFill/>
            </a:ln>
            <a:effectLst/>
          </c:spPr>
          <c:invertIfNegative val="0"/>
          <c:cat>
            <c:strRef>
              <c:f>'10bis'!$W$2:$W$11</c:f>
              <c:strCache>
                <c:ptCount val="10"/>
                <c:pt idx="0">
                  <c:v>train, advise, communicate with users</c:v>
                </c:pt>
                <c:pt idx="1">
                  <c:v>enough qualified staff</c:v>
                </c:pt>
                <c:pt idx="2">
                  <c:v>equipment (up to date, setup, maintenance)</c:v>
                </c:pt>
                <c:pt idx="3">
                  <c:v>quality control + good scientific practice</c:v>
                </c:pt>
                <c:pt idx="4">
                  <c:v>SOP, standardization</c:v>
                </c:pt>
                <c:pt idx="5">
                  <c:v>good samples, controls, calibration</c:v>
                </c:pt>
                <c:pt idx="6">
                  <c:v>data analysis</c:v>
                </c:pt>
                <c:pt idx="7">
                  <c:v>expertise, development</c:v>
                </c:pt>
                <c:pt idx="8">
                  <c:v>management (facility, project, sample, data), IT infrastructure,  automation, documentation</c:v>
                </c:pt>
                <c:pt idx="9">
                  <c:v>experimental design</c:v>
                </c:pt>
              </c:strCache>
            </c:strRef>
          </c:cat>
          <c:val>
            <c:numRef>
              <c:f>'10bis'!$Y$2:$Y$11</c:f>
              <c:numCache>
                <c:formatCode>General</c:formatCode>
                <c:ptCount val="10"/>
                <c:pt idx="0">
                  <c:v>23</c:v>
                </c:pt>
                <c:pt idx="1">
                  <c:v>70</c:v>
                </c:pt>
                <c:pt idx="2">
                  <c:v>36</c:v>
                </c:pt>
                <c:pt idx="3">
                  <c:v>7</c:v>
                </c:pt>
                <c:pt idx="4">
                  <c:v>2</c:v>
                </c:pt>
                <c:pt idx="5">
                  <c:v>0</c:v>
                </c:pt>
                <c:pt idx="6">
                  <c:v>21</c:v>
                </c:pt>
                <c:pt idx="7">
                  <c:v>14</c:v>
                </c:pt>
                <c:pt idx="8">
                  <c:v>46</c:v>
                </c:pt>
                <c:pt idx="9">
                  <c:v>4</c:v>
                </c:pt>
              </c:numCache>
            </c:numRef>
          </c:val>
          <c:extLst>
            <c:ext xmlns:c16="http://schemas.microsoft.com/office/drawing/2014/chart" uri="{C3380CC4-5D6E-409C-BE32-E72D297353CC}">
              <c16:uniqueId val="{00000002-20EB-4BDE-8B94-743DECDAFE86}"/>
            </c:ext>
          </c:extLst>
        </c:ser>
        <c:dLbls>
          <c:showLegendKey val="0"/>
          <c:showVal val="0"/>
          <c:showCatName val="0"/>
          <c:showSerName val="0"/>
          <c:showPercent val="0"/>
          <c:showBubbleSize val="0"/>
        </c:dLbls>
        <c:gapWidth val="182"/>
        <c:axId val="470963824"/>
        <c:axId val="470967760"/>
      </c:barChart>
      <c:catAx>
        <c:axId val="470963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967760"/>
        <c:crosses val="autoZero"/>
        <c:auto val="1"/>
        <c:lblAlgn val="ctr"/>
        <c:lblOffset val="100"/>
        <c:noMultiLvlLbl val="0"/>
      </c:catAx>
      <c:valAx>
        <c:axId val="4709677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963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tx>
            <c:strRef>
              <c:f>'10bis'!$Y$1</c:f>
              <c:strCache>
                <c:ptCount val="1"/>
                <c:pt idx="0">
                  <c:v>factors to improve</c:v>
                </c:pt>
              </c:strCache>
            </c:strRef>
          </c:tx>
          <c:spPr>
            <a:solidFill>
              <a:schemeClr val="accent1"/>
            </a:solidFill>
            <a:ln>
              <a:noFill/>
            </a:ln>
            <a:effectLst/>
          </c:spPr>
          <c:invertIfNegative val="0"/>
          <c:cat>
            <c:strRef>
              <c:f>'10bis'!$W$2:$W$11</c:f>
              <c:strCache>
                <c:ptCount val="10"/>
                <c:pt idx="0">
                  <c:v>train, advise, communicate with users</c:v>
                </c:pt>
                <c:pt idx="1">
                  <c:v>enough qualified staff</c:v>
                </c:pt>
                <c:pt idx="2">
                  <c:v>equipment (up to date, setup, maintenance)</c:v>
                </c:pt>
                <c:pt idx="3">
                  <c:v>quality control + good scientific practice</c:v>
                </c:pt>
                <c:pt idx="4">
                  <c:v>SOP, standardization</c:v>
                </c:pt>
                <c:pt idx="5">
                  <c:v>good samples, controls, calibration</c:v>
                </c:pt>
                <c:pt idx="6">
                  <c:v>data analysis</c:v>
                </c:pt>
                <c:pt idx="7">
                  <c:v>expertise, development</c:v>
                </c:pt>
                <c:pt idx="8">
                  <c:v>management (facility, project, sample, data), IT infrastructure,  automation, documentation</c:v>
                </c:pt>
                <c:pt idx="9">
                  <c:v>experimental design</c:v>
                </c:pt>
              </c:strCache>
            </c:strRef>
          </c:cat>
          <c:val>
            <c:numRef>
              <c:f>'10bis'!$Y$2:$Y$11</c:f>
              <c:numCache>
                <c:formatCode>General</c:formatCode>
                <c:ptCount val="10"/>
                <c:pt idx="0">
                  <c:v>23</c:v>
                </c:pt>
                <c:pt idx="1">
                  <c:v>70</c:v>
                </c:pt>
                <c:pt idx="2">
                  <c:v>36</c:v>
                </c:pt>
                <c:pt idx="3">
                  <c:v>7</c:v>
                </c:pt>
                <c:pt idx="4">
                  <c:v>2</c:v>
                </c:pt>
                <c:pt idx="5">
                  <c:v>0</c:v>
                </c:pt>
                <c:pt idx="6">
                  <c:v>21</c:v>
                </c:pt>
                <c:pt idx="7">
                  <c:v>14</c:v>
                </c:pt>
                <c:pt idx="8">
                  <c:v>46</c:v>
                </c:pt>
                <c:pt idx="9">
                  <c:v>4</c:v>
                </c:pt>
              </c:numCache>
            </c:numRef>
          </c:val>
          <c:extLst>
            <c:ext xmlns:c16="http://schemas.microsoft.com/office/drawing/2014/chart" uri="{C3380CC4-5D6E-409C-BE32-E72D297353CC}">
              <c16:uniqueId val="{00000000-D08D-4435-9134-68D081949B06}"/>
            </c:ext>
          </c:extLst>
        </c:ser>
        <c:dLbls>
          <c:showLegendKey val="0"/>
          <c:showVal val="0"/>
          <c:showCatName val="0"/>
          <c:showSerName val="0"/>
          <c:showPercent val="0"/>
          <c:showBubbleSize val="0"/>
        </c:dLbls>
        <c:gapWidth val="182"/>
        <c:axId val="470963824"/>
        <c:axId val="470967760"/>
      </c:barChart>
      <c:catAx>
        <c:axId val="470963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967760"/>
        <c:crosses val="autoZero"/>
        <c:auto val="1"/>
        <c:lblAlgn val="ctr"/>
        <c:lblOffset val="100"/>
        <c:noMultiLvlLbl val="0"/>
      </c:catAx>
      <c:valAx>
        <c:axId val="4709677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963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Achieving research quality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43807550224446246"/>
          <c:y val="0.10944191490240029"/>
          <c:w val="0.49358804915740667"/>
          <c:h val="0.81999150675255217"/>
        </c:manualLayout>
      </c:layout>
      <c:barChart>
        <c:barDir val="bar"/>
        <c:grouping val="clustered"/>
        <c:varyColors val="0"/>
        <c:ser>
          <c:idx val="0"/>
          <c:order val="0"/>
          <c:tx>
            <c:strRef>
              <c:f>'10bis'!$AR$1</c:f>
              <c:strCache>
                <c:ptCount val="1"/>
                <c:pt idx="0">
                  <c:v>important factors</c:v>
                </c:pt>
              </c:strCache>
            </c:strRef>
          </c:tx>
          <c:spPr>
            <a:solidFill>
              <a:schemeClr val="accent1"/>
            </a:solidFill>
            <a:ln>
              <a:noFill/>
            </a:ln>
            <a:effectLst/>
          </c:spPr>
          <c:invertIfNegative val="0"/>
          <c:cat>
            <c:strRef>
              <c:f>'10bis'!$AQ$2:$AQ$11</c:f>
              <c:strCache>
                <c:ptCount val="10"/>
                <c:pt idx="0">
                  <c:v>train, advise, communicate with users</c:v>
                </c:pt>
                <c:pt idx="1">
                  <c:v>enough qualified staff</c:v>
                </c:pt>
                <c:pt idx="2">
                  <c:v>equipment (up to date, setup, maintenance)</c:v>
                </c:pt>
                <c:pt idx="3">
                  <c:v>quality control + good scientific practice</c:v>
                </c:pt>
                <c:pt idx="4">
                  <c:v>SOP, standardization</c:v>
                </c:pt>
                <c:pt idx="5">
                  <c:v>good samples, controls, calibration</c:v>
                </c:pt>
                <c:pt idx="6">
                  <c:v>data analysis</c:v>
                </c:pt>
                <c:pt idx="7">
                  <c:v>expertise, development</c:v>
                </c:pt>
                <c:pt idx="8">
                  <c:v>management, IT, automation, documentation</c:v>
                </c:pt>
                <c:pt idx="9">
                  <c:v>experimental design</c:v>
                </c:pt>
              </c:strCache>
            </c:strRef>
          </c:cat>
          <c:val>
            <c:numRef>
              <c:f>'10bis'!$AR$2:$AR$11</c:f>
              <c:numCache>
                <c:formatCode>General</c:formatCode>
                <c:ptCount val="10"/>
                <c:pt idx="0">
                  <c:v>-52</c:v>
                </c:pt>
                <c:pt idx="1">
                  <c:v>-43</c:v>
                </c:pt>
                <c:pt idx="2">
                  <c:v>-41</c:v>
                </c:pt>
                <c:pt idx="3">
                  <c:v>-34</c:v>
                </c:pt>
                <c:pt idx="4">
                  <c:v>-32</c:v>
                </c:pt>
                <c:pt idx="5">
                  <c:v>-29</c:v>
                </c:pt>
                <c:pt idx="6">
                  <c:v>-20</c:v>
                </c:pt>
                <c:pt idx="7">
                  <c:v>-16</c:v>
                </c:pt>
                <c:pt idx="8">
                  <c:v>-15</c:v>
                </c:pt>
                <c:pt idx="9">
                  <c:v>-15</c:v>
                </c:pt>
              </c:numCache>
            </c:numRef>
          </c:val>
          <c:extLst>
            <c:ext xmlns:c16="http://schemas.microsoft.com/office/drawing/2014/chart" uri="{C3380CC4-5D6E-409C-BE32-E72D297353CC}">
              <c16:uniqueId val="{00000000-936B-4ED0-8825-EF39B0B7DE20}"/>
            </c:ext>
          </c:extLst>
        </c:ser>
        <c:ser>
          <c:idx val="1"/>
          <c:order val="1"/>
          <c:tx>
            <c:strRef>
              <c:f>'10bis'!$AS$1</c:f>
              <c:strCache>
                <c:ptCount val="1"/>
                <c:pt idx="0">
                  <c:v>factors to improve</c:v>
                </c:pt>
              </c:strCache>
            </c:strRef>
          </c:tx>
          <c:spPr>
            <a:solidFill>
              <a:srgbClr val="FF0000"/>
            </a:solidFill>
            <a:ln>
              <a:noFill/>
            </a:ln>
            <a:effectLst/>
          </c:spPr>
          <c:invertIfNegative val="0"/>
          <c:cat>
            <c:strRef>
              <c:f>'10bis'!$AQ$2:$AQ$11</c:f>
              <c:strCache>
                <c:ptCount val="10"/>
                <c:pt idx="0">
                  <c:v>train, advise, communicate with users</c:v>
                </c:pt>
                <c:pt idx="1">
                  <c:v>enough qualified staff</c:v>
                </c:pt>
                <c:pt idx="2">
                  <c:v>equipment (up to date, setup, maintenance)</c:v>
                </c:pt>
                <c:pt idx="3">
                  <c:v>quality control + good scientific practice</c:v>
                </c:pt>
                <c:pt idx="4">
                  <c:v>SOP, standardization</c:v>
                </c:pt>
                <c:pt idx="5">
                  <c:v>good samples, controls, calibration</c:v>
                </c:pt>
                <c:pt idx="6">
                  <c:v>data analysis</c:v>
                </c:pt>
                <c:pt idx="7">
                  <c:v>expertise, development</c:v>
                </c:pt>
                <c:pt idx="8">
                  <c:v>management, IT, automation, documentation</c:v>
                </c:pt>
                <c:pt idx="9">
                  <c:v>experimental design</c:v>
                </c:pt>
              </c:strCache>
            </c:strRef>
          </c:cat>
          <c:val>
            <c:numRef>
              <c:f>'10bis'!$AS$2:$AS$11</c:f>
              <c:numCache>
                <c:formatCode>General</c:formatCode>
                <c:ptCount val="10"/>
                <c:pt idx="0">
                  <c:v>23</c:v>
                </c:pt>
                <c:pt idx="1">
                  <c:v>70</c:v>
                </c:pt>
                <c:pt idx="2">
                  <c:v>36</c:v>
                </c:pt>
                <c:pt idx="3">
                  <c:v>7</c:v>
                </c:pt>
                <c:pt idx="4">
                  <c:v>2</c:v>
                </c:pt>
                <c:pt idx="5">
                  <c:v>0</c:v>
                </c:pt>
                <c:pt idx="6">
                  <c:v>21</c:v>
                </c:pt>
                <c:pt idx="7">
                  <c:v>14</c:v>
                </c:pt>
                <c:pt idx="8">
                  <c:v>46</c:v>
                </c:pt>
                <c:pt idx="9">
                  <c:v>4</c:v>
                </c:pt>
              </c:numCache>
            </c:numRef>
          </c:val>
          <c:extLst>
            <c:ext xmlns:c16="http://schemas.microsoft.com/office/drawing/2014/chart" uri="{C3380CC4-5D6E-409C-BE32-E72D297353CC}">
              <c16:uniqueId val="{00000001-936B-4ED0-8825-EF39B0B7DE20}"/>
            </c:ext>
          </c:extLst>
        </c:ser>
        <c:dLbls>
          <c:showLegendKey val="0"/>
          <c:showVal val="0"/>
          <c:showCatName val="0"/>
          <c:showSerName val="0"/>
          <c:showPercent val="0"/>
          <c:showBubbleSize val="0"/>
        </c:dLbls>
        <c:gapWidth val="130"/>
        <c:overlap val="100"/>
        <c:axId val="470963824"/>
        <c:axId val="470967760"/>
      </c:barChart>
      <c:catAx>
        <c:axId val="4709638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967760"/>
        <c:crosses val="autoZero"/>
        <c:auto val="1"/>
        <c:lblAlgn val="ctr"/>
        <c:lblOffset val="100"/>
        <c:noMultiLvlLbl val="0"/>
      </c:catAx>
      <c:valAx>
        <c:axId val="4709677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9638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Achieving research quality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8182340414995297"/>
          <c:y val="8.5546534337714156E-2"/>
          <c:w val="0.55534228032816657"/>
          <c:h val="0.86094763104950389"/>
        </c:manualLayout>
      </c:layout>
      <c:barChart>
        <c:barDir val="bar"/>
        <c:grouping val="clustered"/>
        <c:varyColors val="0"/>
        <c:ser>
          <c:idx val="0"/>
          <c:order val="0"/>
          <c:tx>
            <c:strRef>
              <c:f>'10bis'!$Q$1</c:f>
              <c:strCache>
                <c:ptCount val="1"/>
                <c:pt idx="0">
                  <c:v>important factors</c:v>
                </c:pt>
              </c:strCache>
            </c:strRef>
          </c:tx>
          <c:spPr>
            <a:solidFill>
              <a:schemeClr val="accent1"/>
            </a:solidFill>
            <a:ln>
              <a:noFill/>
            </a:ln>
            <a:effectLst/>
          </c:spPr>
          <c:invertIfNegative val="0"/>
          <c:cat>
            <c:strRef>
              <c:f>'10bis'!$K$2:$K$15</c:f>
              <c:strCache>
                <c:ptCount val="14"/>
                <c:pt idx="0">
                  <c:v>train, advise, communicate with users</c:v>
                </c:pt>
                <c:pt idx="1">
                  <c:v>enough qualified staff</c:v>
                </c:pt>
                <c:pt idx="2">
                  <c:v>equipment (up to date, setup, maintenance)</c:v>
                </c:pt>
                <c:pt idx="3">
                  <c:v>SOP, standardization</c:v>
                </c:pt>
                <c:pt idx="4">
                  <c:v>good samples, controls, calibration</c:v>
                </c:pt>
                <c:pt idx="5">
                  <c:v>quality control</c:v>
                </c:pt>
                <c:pt idx="6">
                  <c:v>data analysis</c:v>
                </c:pt>
                <c:pt idx="7">
                  <c:v>expertise, development</c:v>
                </c:pt>
                <c:pt idx="8">
                  <c:v>data management, metadata, documentation</c:v>
                </c:pt>
                <c:pt idx="9">
                  <c:v>experimental design</c:v>
                </c:pt>
                <c:pt idx="10">
                  <c:v>good scientific practice</c:v>
                </c:pt>
                <c:pt idx="11">
                  <c:v>sample management, project management</c:v>
                </c:pt>
                <c:pt idx="12">
                  <c:v>CF management, IT infrastructure, software solutions</c:v>
                </c:pt>
                <c:pt idx="13">
                  <c:v>automation</c:v>
                </c:pt>
              </c:strCache>
            </c:strRef>
          </c:cat>
          <c:val>
            <c:numRef>
              <c:f>'10bis'!$Q$2:$Q$15</c:f>
              <c:numCache>
                <c:formatCode>General</c:formatCode>
                <c:ptCount val="14"/>
                <c:pt idx="0">
                  <c:v>-52</c:v>
                </c:pt>
                <c:pt idx="1">
                  <c:v>-43</c:v>
                </c:pt>
                <c:pt idx="2">
                  <c:v>-41</c:v>
                </c:pt>
                <c:pt idx="3">
                  <c:v>-32</c:v>
                </c:pt>
                <c:pt idx="4">
                  <c:v>-29</c:v>
                </c:pt>
                <c:pt idx="5">
                  <c:v>-22</c:v>
                </c:pt>
                <c:pt idx="6">
                  <c:v>-20</c:v>
                </c:pt>
                <c:pt idx="7">
                  <c:v>-16</c:v>
                </c:pt>
                <c:pt idx="8">
                  <c:v>-15</c:v>
                </c:pt>
                <c:pt idx="9">
                  <c:v>-15</c:v>
                </c:pt>
                <c:pt idx="10">
                  <c:v>-12</c:v>
                </c:pt>
                <c:pt idx="11">
                  <c:v>0</c:v>
                </c:pt>
                <c:pt idx="12">
                  <c:v>0</c:v>
                </c:pt>
                <c:pt idx="13">
                  <c:v>0</c:v>
                </c:pt>
              </c:numCache>
            </c:numRef>
          </c:val>
          <c:extLst>
            <c:ext xmlns:c16="http://schemas.microsoft.com/office/drawing/2014/chart" uri="{C3380CC4-5D6E-409C-BE32-E72D297353CC}">
              <c16:uniqueId val="{00000000-ABE2-4E66-B358-920E2E770344}"/>
            </c:ext>
          </c:extLst>
        </c:ser>
        <c:ser>
          <c:idx val="1"/>
          <c:order val="1"/>
          <c:tx>
            <c:strRef>
              <c:f>'10bis'!$R$1</c:f>
              <c:strCache>
                <c:ptCount val="1"/>
                <c:pt idx="0">
                  <c:v>factors to improve</c:v>
                </c:pt>
              </c:strCache>
            </c:strRef>
          </c:tx>
          <c:spPr>
            <a:solidFill>
              <a:schemeClr val="accent2"/>
            </a:solidFill>
            <a:ln>
              <a:noFill/>
            </a:ln>
            <a:effectLst/>
          </c:spPr>
          <c:invertIfNegative val="0"/>
          <c:cat>
            <c:strRef>
              <c:f>'10bis'!$K$2:$K$15</c:f>
              <c:strCache>
                <c:ptCount val="14"/>
                <c:pt idx="0">
                  <c:v>train, advise, communicate with users</c:v>
                </c:pt>
                <c:pt idx="1">
                  <c:v>enough qualified staff</c:v>
                </c:pt>
                <c:pt idx="2">
                  <c:v>equipment (up to date, setup, maintenance)</c:v>
                </c:pt>
                <c:pt idx="3">
                  <c:v>SOP, standardization</c:v>
                </c:pt>
                <c:pt idx="4">
                  <c:v>good samples, controls, calibration</c:v>
                </c:pt>
                <c:pt idx="5">
                  <c:v>quality control</c:v>
                </c:pt>
                <c:pt idx="6">
                  <c:v>data analysis</c:v>
                </c:pt>
                <c:pt idx="7">
                  <c:v>expertise, development</c:v>
                </c:pt>
                <c:pt idx="8">
                  <c:v>data management, metadata, documentation</c:v>
                </c:pt>
                <c:pt idx="9">
                  <c:v>experimental design</c:v>
                </c:pt>
                <c:pt idx="10">
                  <c:v>good scientific practice</c:v>
                </c:pt>
                <c:pt idx="11">
                  <c:v>sample management, project management</c:v>
                </c:pt>
                <c:pt idx="12">
                  <c:v>CF management, IT infrastructure, software solutions</c:v>
                </c:pt>
                <c:pt idx="13">
                  <c:v>automation</c:v>
                </c:pt>
              </c:strCache>
            </c:strRef>
          </c:cat>
          <c:val>
            <c:numRef>
              <c:f>'10bis'!$R$2:$R$15</c:f>
              <c:numCache>
                <c:formatCode>General</c:formatCode>
                <c:ptCount val="14"/>
                <c:pt idx="0">
                  <c:v>23</c:v>
                </c:pt>
                <c:pt idx="1">
                  <c:v>70</c:v>
                </c:pt>
                <c:pt idx="2">
                  <c:v>36</c:v>
                </c:pt>
                <c:pt idx="3">
                  <c:v>2</c:v>
                </c:pt>
                <c:pt idx="4">
                  <c:v>0</c:v>
                </c:pt>
                <c:pt idx="5">
                  <c:v>7</c:v>
                </c:pt>
                <c:pt idx="6">
                  <c:v>21</c:v>
                </c:pt>
                <c:pt idx="7">
                  <c:v>14</c:v>
                </c:pt>
                <c:pt idx="8">
                  <c:v>19</c:v>
                </c:pt>
                <c:pt idx="9">
                  <c:v>4</c:v>
                </c:pt>
                <c:pt idx="10">
                  <c:v>0</c:v>
                </c:pt>
                <c:pt idx="11">
                  <c:v>11</c:v>
                </c:pt>
                <c:pt idx="12">
                  <c:v>8</c:v>
                </c:pt>
                <c:pt idx="13">
                  <c:v>8</c:v>
                </c:pt>
              </c:numCache>
            </c:numRef>
          </c:val>
          <c:extLst>
            <c:ext xmlns:c16="http://schemas.microsoft.com/office/drawing/2014/chart" uri="{C3380CC4-5D6E-409C-BE32-E72D297353CC}">
              <c16:uniqueId val="{00000001-ABE2-4E66-B358-920E2E770344}"/>
            </c:ext>
          </c:extLst>
        </c:ser>
        <c:dLbls>
          <c:showLegendKey val="0"/>
          <c:showVal val="0"/>
          <c:showCatName val="0"/>
          <c:showSerName val="0"/>
          <c:showPercent val="0"/>
          <c:showBubbleSize val="0"/>
        </c:dLbls>
        <c:gapWidth val="150"/>
        <c:overlap val="100"/>
        <c:axId val="440365696"/>
        <c:axId val="440365368"/>
      </c:barChart>
      <c:catAx>
        <c:axId val="44036569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0365368"/>
        <c:crosses val="autoZero"/>
        <c:auto val="1"/>
        <c:lblAlgn val="ctr"/>
        <c:lblOffset val="100"/>
        <c:noMultiLvlLbl val="0"/>
      </c:catAx>
      <c:valAx>
        <c:axId val="440365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0365696"/>
        <c:crosses val="autoZero"/>
        <c:crossBetween val="between"/>
      </c:valAx>
      <c:spPr>
        <a:noFill/>
        <a:ln>
          <a:noFill/>
        </a:ln>
        <a:effectLst/>
      </c:spPr>
    </c:plotArea>
    <c:legend>
      <c:legendPos val="r"/>
      <c:layout>
        <c:manualLayout>
          <c:xMode val="edge"/>
          <c:yMode val="edge"/>
          <c:x val="0.80836065303157856"/>
          <c:y val="0.61571464426605416"/>
          <c:w val="0.17486785849881972"/>
          <c:h val="7.78435088093990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Experiments performed by: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6CCEE"/>
              </a:solidFill>
              <a:ln>
                <a:noFill/>
              </a:ln>
              <a:effectLst/>
            </c:spPr>
            <c:extLst>
              <c:ext xmlns:c16="http://schemas.microsoft.com/office/drawing/2014/chart" uri="{C3380CC4-5D6E-409C-BE32-E72D297353CC}">
                <c16:uniqueId val="{00000000-DBA5-4492-988A-5B4EB92F7753}"/>
              </c:ext>
            </c:extLst>
          </c:dPt>
          <c:dPt>
            <c:idx val="1"/>
            <c:invertIfNegative val="0"/>
            <c:bubble3D val="0"/>
            <c:spPr>
              <a:solidFill>
                <a:srgbClr val="AA3377"/>
              </a:solidFill>
              <a:ln>
                <a:noFill/>
              </a:ln>
              <a:effectLst/>
            </c:spPr>
            <c:extLst>
              <c:ext xmlns:c16="http://schemas.microsoft.com/office/drawing/2014/chart" uri="{C3380CC4-5D6E-409C-BE32-E72D297353CC}">
                <c16:uniqueId val="{00000001-DBA5-4492-988A-5B4EB92F7753}"/>
              </c:ext>
            </c:extLst>
          </c:dPt>
          <c:dPt>
            <c:idx val="2"/>
            <c:invertIfNegative val="0"/>
            <c:bubble3D val="0"/>
            <c:spPr>
              <a:solidFill>
                <a:srgbClr val="EE6677"/>
              </a:solidFill>
              <a:ln>
                <a:noFill/>
              </a:ln>
              <a:effectLst/>
            </c:spPr>
            <c:extLst>
              <c:ext xmlns:c16="http://schemas.microsoft.com/office/drawing/2014/chart" uri="{C3380CC4-5D6E-409C-BE32-E72D297353CC}">
                <c16:uniqueId val="{00000002-DBA5-4492-988A-5B4EB92F7753}"/>
              </c:ext>
            </c:extLst>
          </c:dPt>
          <c:cat>
            <c:strRef>
              <c:f>'1'!$P$2:$P$4</c:f>
              <c:strCache>
                <c:ptCount val="3"/>
                <c:pt idx="0">
                  <c:v>core facility staff</c:v>
                </c:pt>
                <c:pt idx="1">
                  <c:v>both</c:v>
                </c:pt>
                <c:pt idx="2">
                  <c:v>user only</c:v>
                </c:pt>
              </c:strCache>
            </c:strRef>
          </c:cat>
          <c:val>
            <c:numRef>
              <c:f>'1'!$Q$2:$Q$4</c:f>
              <c:numCache>
                <c:formatCode>General</c:formatCode>
                <c:ptCount val="3"/>
                <c:pt idx="0">
                  <c:v>73</c:v>
                </c:pt>
                <c:pt idx="1">
                  <c:v>175</c:v>
                </c:pt>
                <c:pt idx="2">
                  <c:v>28</c:v>
                </c:pt>
              </c:numCache>
            </c:numRef>
          </c:val>
          <c:extLst>
            <c:ext xmlns:c16="http://schemas.microsoft.com/office/drawing/2014/chart" uri="{C3380CC4-5D6E-409C-BE32-E72D297353CC}">
              <c16:uniqueId val="{00000000-97CD-4640-9EC4-DB946BB3E9C6}"/>
            </c:ext>
          </c:extLst>
        </c:ser>
        <c:dLbls>
          <c:showLegendKey val="0"/>
          <c:showVal val="0"/>
          <c:showCatName val="0"/>
          <c:showSerName val="0"/>
          <c:showPercent val="0"/>
          <c:showBubbleSize val="0"/>
        </c:dLbls>
        <c:gapWidth val="130"/>
        <c:axId val="503011528"/>
        <c:axId val="351724896"/>
      </c:barChart>
      <c:catAx>
        <c:axId val="503011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51724896"/>
        <c:crosses val="autoZero"/>
        <c:auto val="1"/>
        <c:lblAlgn val="ctr"/>
        <c:lblOffset val="100"/>
        <c:noMultiLvlLbl val="0"/>
      </c:catAx>
      <c:valAx>
        <c:axId val="351724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3011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a:t>
            </a:r>
            <a:r>
              <a:rPr lang="en-GB" baseline="0"/>
              <a:t> needs improvement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551806556095382"/>
          <c:y val="0.28828703703703706"/>
          <c:w val="0.68002769866532631"/>
          <c:h val="0.55488371245261003"/>
        </c:manualLayout>
      </c:layout>
      <c:pieChart>
        <c:varyColors val="1"/>
        <c:ser>
          <c:idx val="0"/>
          <c:order val="0"/>
          <c:spPr>
            <a:solidFill>
              <a:srgbClr val="FF0000"/>
            </a:solidFill>
          </c:spPr>
          <c:dPt>
            <c:idx val="0"/>
            <c:bubble3D val="0"/>
            <c:spPr>
              <a:solidFill>
                <a:srgbClr val="FF0000"/>
              </a:solidFill>
              <a:ln w="19050">
                <a:solidFill>
                  <a:schemeClr val="lt1"/>
                </a:solidFill>
              </a:ln>
              <a:effectLst/>
            </c:spPr>
            <c:extLst>
              <c:ext xmlns:c16="http://schemas.microsoft.com/office/drawing/2014/chart" uri="{C3380CC4-5D6E-409C-BE32-E72D297353CC}">
                <c16:uniqueId val="{00000003-D7AE-4D3C-A173-9D22A0742FF9}"/>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1-D7AE-4D3C-A173-9D22A0742FF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'2'!$AJ$2:$AJ$3</c:f>
              <c:strCache>
                <c:ptCount val="2"/>
                <c:pt idx="0">
                  <c:v>yes</c:v>
                </c:pt>
                <c:pt idx="1">
                  <c:v>no</c:v>
                </c:pt>
              </c:strCache>
            </c:strRef>
          </c:cat>
          <c:val>
            <c:numRef>
              <c:f>'2'!$AK$2:$AK$3</c:f>
              <c:numCache>
                <c:formatCode>General</c:formatCode>
                <c:ptCount val="2"/>
                <c:pt idx="0">
                  <c:v>103</c:v>
                </c:pt>
                <c:pt idx="1">
                  <c:v>173</c:v>
                </c:pt>
              </c:numCache>
            </c:numRef>
          </c:val>
          <c:extLst>
            <c:ext xmlns:c16="http://schemas.microsoft.com/office/drawing/2014/chart" uri="{C3380CC4-5D6E-409C-BE32-E72D297353CC}">
              <c16:uniqueId val="{00000000-D7AE-4D3C-A173-9D22A0742FF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Core Facilities...</a:t>
            </a:r>
          </a:p>
        </c:rich>
      </c:tx>
      <c:layout>
        <c:manualLayout>
          <c:xMode val="edge"/>
          <c:yMode val="edge"/>
          <c:x val="7.2155267437846018E-2"/>
          <c:y val="4.6695854639849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44662520633196712"/>
          <c:y val="0.17171296296296296"/>
          <c:w val="0.51716983652905457"/>
          <c:h val="0.72176637011282685"/>
        </c:manualLayout>
      </c:layout>
      <c:barChart>
        <c:barDir val="bar"/>
        <c:grouping val="percentStacked"/>
        <c:varyColors val="0"/>
        <c:ser>
          <c:idx val="0"/>
          <c:order val="0"/>
          <c:tx>
            <c:strRef>
              <c:f>'combined figure'!$C$2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figure'!$C$3:$C$14</c:f>
              <c:numCache>
                <c:formatCode>0</c:formatCode>
                <c:ptCount val="12"/>
                <c:pt idx="0">
                  <c:v>62.681159420289859</c:v>
                </c:pt>
                <c:pt idx="1">
                  <c:v>89.179104477611943</c:v>
                </c:pt>
                <c:pt idx="2">
                  <c:v>98.550724637681171</c:v>
                </c:pt>
                <c:pt idx="3">
                  <c:v>95.63636363636364</c:v>
                </c:pt>
                <c:pt idx="4">
                  <c:v>73.725490196078439</c:v>
                </c:pt>
                <c:pt idx="5">
                  <c:v>98.892988929889299</c:v>
                </c:pt>
                <c:pt idx="6">
                  <c:v>84.883720930232556</c:v>
                </c:pt>
                <c:pt idx="7">
                  <c:v>64.390243902439025</c:v>
                </c:pt>
                <c:pt idx="8">
                  <c:v>86.973180076628353</c:v>
                </c:pt>
                <c:pt idx="9">
                  <c:v>68.84615384615384</c:v>
                </c:pt>
                <c:pt idx="10">
                  <c:v>93.07692307692308</c:v>
                </c:pt>
                <c:pt idx="11">
                  <c:v>85.239852398523979</c:v>
                </c:pt>
              </c:numCache>
            </c:numRef>
          </c:val>
          <c:extLst>
            <c:ext xmlns:c16="http://schemas.microsoft.com/office/drawing/2014/chart" uri="{C3380CC4-5D6E-409C-BE32-E72D297353CC}">
              <c16:uniqueId val="{00000000-BB18-485E-AB4A-7484E20D6C40}"/>
            </c:ext>
          </c:extLst>
        </c:ser>
        <c:ser>
          <c:idx val="1"/>
          <c:order val="1"/>
          <c:tx>
            <c:strRef>
              <c:f>'combined figure'!$D$2</c:f>
              <c:strCache>
                <c:ptCount val="1"/>
                <c:pt idx="0">
                  <c:v>no</c:v>
                </c:pt>
              </c:strCache>
            </c:strRef>
          </c:tx>
          <c:spPr>
            <a:solidFill>
              <a:srgbClr val="FF0000"/>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figure'!$D$3:$D$14</c:f>
              <c:numCache>
                <c:formatCode>0</c:formatCode>
                <c:ptCount val="12"/>
                <c:pt idx="0">
                  <c:v>37.318840579710141</c:v>
                </c:pt>
                <c:pt idx="1">
                  <c:v>10.820895522388058</c:v>
                </c:pt>
                <c:pt idx="2">
                  <c:v>1.4492753623188406</c:v>
                </c:pt>
                <c:pt idx="3">
                  <c:v>4.3636363636363642</c:v>
                </c:pt>
                <c:pt idx="4">
                  <c:v>26.274509803921571</c:v>
                </c:pt>
                <c:pt idx="5">
                  <c:v>1.107011070110701</c:v>
                </c:pt>
                <c:pt idx="6">
                  <c:v>15.11627906976744</c:v>
                </c:pt>
                <c:pt idx="7">
                  <c:v>35.609756097560975</c:v>
                </c:pt>
                <c:pt idx="8">
                  <c:v>13.026819923371647</c:v>
                </c:pt>
                <c:pt idx="9">
                  <c:v>31.153846153846153</c:v>
                </c:pt>
                <c:pt idx="10">
                  <c:v>6.9230769230769234</c:v>
                </c:pt>
                <c:pt idx="11">
                  <c:v>14.760147601476014</c:v>
                </c:pt>
              </c:numCache>
            </c:numRef>
          </c:val>
          <c:extLst>
            <c:ext xmlns:c16="http://schemas.microsoft.com/office/drawing/2014/chart" uri="{C3380CC4-5D6E-409C-BE32-E72D297353CC}">
              <c16:uniqueId val="{00000001-BB18-485E-AB4A-7484E20D6C40}"/>
            </c:ext>
          </c:extLst>
        </c:ser>
        <c:dLbls>
          <c:showLegendKey val="0"/>
          <c:showVal val="0"/>
          <c:showCatName val="0"/>
          <c:showSerName val="0"/>
          <c:showPercent val="0"/>
          <c:showBubbleSize val="0"/>
        </c:dLbls>
        <c:gapWidth val="150"/>
        <c:overlap val="100"/>
        <c:axId val="450666128"/>
        <c:axId val="362757592"/>
      </c:barChart>
      <c:catAx>
        <c:axId val="4506661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2757592"/>
        <c:crosses val="autoZero"/>
        <c:auto val="1"/>
        <c:lblAlgn val="ctr"/>
        <c:lblOffset val="100"/>
        <c:noMultiLvlLbl val="0"/>
      </c:catAx>
      <c:valAx>
        <c:axId val="3627575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0666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Flow cytometry facilities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'combined figure'!$AV$2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figure'!$AV$3:$AV$14</c:f>
              <c:numCache>
                <c:formatCode>0</c:formatCode>
                <c:ptCount val="12"/>
                <c:pt idx="0">
                  <c:v>60</c:v>
                </c:pt>
                <c:pt idx="1">
                  <c:v>97.916666666666657</c:v>
                </c:pt>
                <c:pt idx="2">
                  <c:v>100</c:v>
                </c:pt>
                <c:pt idx="3">
                  <c:v>96</c:v>
                </c:pt>
                <c:pt idx="4">
                  <c:v>61.702127659574465</c:v>
                </c:pt>
                <c:pt idx="5">
                  <c:v>98</c:v>
                </c:pt>
                <c:pt idx="6">
                  <c:v>91.304347826086953</c:v>
                </c:pt>
                <c:pt idx="7">
                  <c:v>53.658536585365859</c:v>
                </c:pt>
                <c:pt idx="8">
                  <c:v>82.608695652173907</c:v>
                </c:pt>
                <c:pt idx="9">
                  <c:v>45.652173913043477</c:v>
                </c:pt>
                <c:pt idx="10">
                  <c:v>84.782608695652172</c:v>
                </c:pt>
                <c:pt idx="11">
                  <c:v>90</c:v>
                </c:pt>
              </c:numCache>
            </c:numRef>
          </c:val>
          <c:extLst>
            <c:ext xmlns:c16="http://schemas.microsoft.com/office/drawing/2014/chart" uri="{C3380CC4-5D6E-409C-BE32-E72D297353CC}">
              <c16:uniqueId val="{00000000-E3C3-454E-95F9-A9F42AD06B78}"/>
            </c:ext>
          </c:extLst>
        </c:ser>
        <c:ser>
          <c:idx val="1"/>
          <c:order val="1"/>
          <c:tx>
            <c:strRef>
              <c:f>'combined figure'!$AW$2</c:f>
              <c:strCache>
                <c:ptCount val="1"/>
                <c:pt idx="0">
                  <c:v>no</c:v>
                </c:pt>
              </c:strCache>
            </c:strRef>
          </c:tx>
          <c:spPr>
            <a:solidFill>
              <a:schemeClr val="accent2"/>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figure'!$AW$3:$AW$14</c:f>
              <c:numCache>
                <c:formatCode>0</c:formatCode>
                <c:ptCount val="12"/>
                <c:pt idx="0">
                  <c:v>40</c:v>
                </c:pt>
                <c:pt idx="1">
                  <c:v>2.083333333333333</c:v>
                </c:pt>
                <c:pt idx="2">
                  <c:v>0</c:v>
                </c:pt>
                <c:pt idx="3">
                  <c:v>4</c:v>
                </c:pt>
                <c:pt idx="4">
                  <c:v>38.297872340425535</c:v>
                </c:pt>
                <c:pt idx="5">
                  <c:v>2</c:v>
                </c:pt>
                <c:pt idx="6">
                  <c:v>8.695652173913043</c:v>
                </c:pt>
                <c:pt idx="7">
                  <c:v>46.341463414634148</c:v>
                </c:pt>
                <c:pt idx="8">
                  <c:v>17.391304347826086</c:v>
                </c:pt>
                <c:pt idx="9">
                  <c:v>54.347826086956516</c:v>
                </c:pt>
                <c:pt idx="10">
                  <c:v>15.217391304347828</c:v>
                </c:pt>
                <c:pt idx="11">
                  <c:v>10</c:v>
                </c:pt>
              </c:numCache>
            </c:numRef>
          </c:val>
          <c:extLst>
            <c:ext xmlns:c16="http://schemas.microsoft.com/office/drawing/2014/chart" uri="{C3380CC4-5D6E-409C-BE32-E72D297353CC}">
              <c16:uniqueId val="{00000001-E3C3-454E-95F9-A9F42AD06B78}"/>
            </c:ext>
          </c:extLst>
        </c:ser>
        <c:dLbls>
          <c:showLegendKey val="0"/>
          <c:showVal val="0"/>
          <c:showCatName val="0"/>
          <c:showSerName val="0"/>
          <c:showPercent val="0"/>
          <c:showBubbleSize val="0"/>
        </c:dLbls>
        <c:gapWidth val="150"/>
        <c:overlap val="100"/>
        <c:axId val="558176584"/>
        <c:axId val="558188720"/>
      </c:barChart>
      <c:catAx>
        <c:axId val="558176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188720"/>
        <c:crosses val="autoZero"/>
        <c:auto val="1"/>
        <c:lblAlgn val="ctr"/>
        <c:lblOffset val="100"/>
        <c:noMultiLvlLbl val="0"/>
      </c:catAx>
      <c:valAx>
        <c:axId val="5581887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176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genomics facilities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'combined figure'!$BF$2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figure'!$BF$3:$BF$14</c:f>
              <c:numCache>
                <c:formatCode>0</c:formatCode>
                <c:ptCount val="12"/>
                <c:pt idx="0">
                  <c:v>42.424242424242422</c:v>
                </c:pt>
                <c:pt idx="1">
                  <c:v>75.757575757575751</c:v>
                </c:pt>
                <c:pt idx="2">
                  <c:v>100</c:v>
                </c:pt>
                <c:pt idx="3">
                  <c:v>96.969696969696969</c:v>
                </c:pt>
                <c:pt idx="4">
                  <c:v>60</c:v>
                </c:pt>
                <c:pt idx="5">
                  <c:v>100</c:v>
                </c:pt>
                <c:pt idx="6">
                  <c:v>50</c:v>
                </c:pt>
                <c:pt idx="7">
                  <c:v>75</c:v>
                </c:pt>
                <c:pt idx="8">
                  <c:v>93.333333333333329</c:v>
                </c:pt>
                <c:pt idx="9">
                  <c:v>100</c:v>
                </c:pt>
                <c:pt idx="10">
                  <c:v>90</c:v>
                </c:pt>
                <c:pt idx="11">
                  <c:v>93.75</c:v>
                </c:pt>
              </c:numCache>
            </c:numRef>
          </c:val>
          <c:extLst>
            <c:ext xmlns:c16="http://schemas.microsoft.com/office/drawing/2014/chart" uri="{C3380CC4-5D6E-409C-BE32-E72D297353CC}">
              <c16:uniqueId val="{00000000-20E1-49A3-8A20-024C9BB336C1}"/>
            </c:ext>
          </c:extLst>
        </c:ser>
        <c:ser>
          <c:idx val="1"/>
          <c:order val="1"/>
          <c:tx>
            <c:strRef>
              <c:f>'combined figure'!$BG$2</c:f>
              <c:strCache>
                <c:ptCount val="1"/>
                <c:pt idx="0">
                  <c:v>no</c:v>
                </c:pt>
              </c:strCache>
            </c:strRef>
          </c:tx>
          <c:spPr>
            <a:solidFill>
              <a:schemeClr val="accent2"/>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figure'!$BG$3:$BG$14</c:f>
              <c:numCache>
                <c:formatCode>0</c:formatCode>
                <c:ptCount val="12"/>
                <c:pt idx="0">
                  <c:v>57.575757575757578</c:v>
                </c:pt>
                <c:pt idx="1">
                  <c:v>24.242424242424242</c:v>
                </c:pt>
                <c:pt idx="2">
                  <c:v>0</c:v>
                </c:pt>
                <c:pt idx="3">
                  <c:v>3.0303030303030303</c:v>
                </c:pt>
                <c:pt idx="4">
                  <c:v>40</c:v>
                </c:pt>
                <c:pt idx="5">
                  <c:v>0</c:v>
                </c:pt>
                <c:pt idx="6">
                  <c:v>50</c:v>
                </c:pt>
                <c:pt idx="7">
                  <c:v>25</c:v>
                </c:pt>
                <c:pt idx="8">
                  <c:v>6.666666666666667</c:v>
                </c:pt>
                <c:pt idx="9">
                  <c:v>0</c:v>
                </c:pt>
                <c:pt idx="10">
                  <c:v>10</c:v>
                </c:pt>
                <c:pt idx="11">
                  <c:v>6.25</c:v>
                </c:pt>
              </c:numCache>
            </c:numRef>
          </c:val>
          <c:extLst>
            <c:ext xmlns:c16="http://schemas.microsoft.com/office/drawing/2014/chart" uri="{C3380CC4-5D6E-409C-BE32-E72D297353CC}">
              <c16:uniqueId val="{00000001-20E1-49A3-8A20-024C9BB336C1}"/>
            </c:ext>
          </c:extLst>
        </c:ser>
        <c:dLbls>
          <c:showLegendKey val="0"/>
          <c:showVal val="0"/>
          <c:showCatName val="0"/>
          <c:showSerName val="0"/>
          <c:showPercent val="0"/>
          <c:showBubbleSize val="0"/>
        </c:dLbls>
        <c:gapWidth val="150"/>
        <c:overlap val="100"/>
        <c:axId val="558143784"/>
        <c:axId val="558151000"/>
      </c:barChart>
      <c:catAx>
        <c:axId val="558143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151000"/>
        <c:crosses val="autoZero"/>
        <c:auto val="1"/>
        <c:lblAlgn val="ctr"/>
        <c:lblOffset val="100"/>
        <c:noMultiLvlLbl val="0"/>
      </c:catAx>
      <c:valAx>
        <c:axId val="5581510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143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histology facilities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'combined figure'!$BP$2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figure'!$BP$3:$BP$14</c:f>
              <c:numCache>
                <c:formatCode>0</c:formatCode>
                <c:ptCount val="12"/>
                <c:pt idx="0">
                  <c:v>54.54545454545454</c:v>
                </c:pt>
                <c:pt idx="1">
                  <c:v>100</c:v>
                </c:pt>
                <c:pt idx="2">
                  <c:v>100</c:v>
                </c:pt>
                <c:pt idx="3">
                  <c:v>100</c:v>
                </c:pt>
                <c:pt idx="4">
                  <c:v>90</c:v>
                </c:pt>
                <c:pt idx="5">
                  <c:v>100</c:v>
                </c:pt>
                <c:pt idx="6">
                  <c:v>88.888888888888886</c:v>
                </c:pt>
                <c:pt idx="7">
                  <c:v>57.142857142857139</c:v>
                </c:pt>
                <c:pt idx="8">
                  <c:v>90.909090909090907</c:v>
                </c:pt>
                <c:pt idx="9">
                  <c:v>63.636363636363633</c:v>
                </c:pt>
                <c:pt idx="10">
                  <c:v>90.909090909090907</c:v>
                </c:pt>
                <c:pt idx="11">
                  <c:v>81.818181818181827</c:v>
                </c:pt>
              </c:numCache>
            </c:numRef>
          </c:val>
          <c:extLst>
            <c:ext xmlns:c16="http://schemas.microsoft.com/office/drawing/2014/chart" uri="{C3380CC4-5D6E-409C-BE32-E72D297353CC}">
              <c16:uniqueId val="{00000000-5E83-4A00-B7BA-1C231C040221}"/>
            </c:ext>
          </c:extLst>
        </c:ser>
        <c:ser>
          <c:idx val="1"/>
          <c:order val="1"/>
          <c:tx>
            <c:strRef>
              <c:f>'combined figure'!$BQ$2</c:f>
              <c:strCache>
                <c:ptCount val="1"/>
                <c:pt idx="0">
                  <c:v>no</c:v>
                </c:pt>
              </c:strCache>
            </c:strRef>
          </c:tx>
          <c:spPr>
            <a:solidFill>
              <a:schemeClr val="accent2"/>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figure'!$BQ$3:$BQ$14</c:f>
              <c:numCache>
                <c:formatCode>0</c:formatCode>
                <c:ptCount val="12"/>
                <c:pt idx="0">
                  <c:v>45.454545454545453</c:v>
                </c:pt>
                <c:pt idx="1">
                  <c:v>0</c:v>
                </c:pt>
                <c:pt idx="2">
                  <c:v>0</c:v>
                </c:pt>
                <c:pt idx="3">
                  <c:v>0</c:v>
                </c:pt>
                <c:pt idx="4">
                  <c:v>10</c:v>
                </c:pt>
                <c:pt idx="5">
                  <c:v>0</c:v>
                </c:pt>
                <c:pt idx="6">
                  <c:v>11.111111111111111</c:v>
                </c:pt>
                <c:pt idx="7">
                  <c:v>42.857142857142854</c:v>
                </c:pt>
                <c:pt idx="8">
                  <c:v>9.0909090909090917</c:v>
                </c:pt>
                <c:pt idx="9">
                  <c:v>36.363636363636367</c:v>
                </c:pt>
                <c:pt idx="10">
                  <c:v>9.0909090909090917</c:v>
                </c:pt>
                <c:pt idx="11">
                  <c:v>18.181818181818183</c:v>
                </c:pt>
              </c:numCache>
            </c:numRef>
          </c:val>
          <c:extLst>
            <c:ext xmlns:c16="http://schemas.microsoft.com/office/drawing/2014/chart" uri="{C3380CC4-5D6E-409C-BE32-E72D297353CC}">
              <c16:uniqueId val="{00000001-5E83-4A00-B7BA-1C231C040221}"/>
            </c:ext>
          </c:extLst>
        </c:ser>
        <c:dLbls>
          <c:showLegendKey val="0"/>
          <c:showVal val="0"/>
          <c:showCatName val="0"/>
          <c:showSerName val="0"/>
          <c:showPercent val="0"/>
          <c:showBubbleSize val="0"/>
        </c:dLbls>
        <c:gapWidth val="150"/>
        <c:overlap val="100"/>
        <c:axId val="642444752"/>
        <c:axId val="642442456"/>
      </c:barChart>
      <c:catAx>
        <c:axId val="642444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42442456"/>
        <c:crosses val="autoZero"/>
        <c:auto val="1"/>
        <c:lblAlgn val="ctr"/>
        <c:lblOffset val="100"/>
        <c:noMultiLvlLbl val="0"/>
      </c:catAx>
      <c:valAx>
        <c:axId val="6424424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42444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metabolomics facilities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'combined figure'!$BZ$2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figure'!$BZ$3:$BZ$14</c:f>
              <c:numCache>
                <c:formatCode>0</c:formatCode>
                <c:ptCount val="12"/>
                <c:pt idx="0">
                  <c:v>75</c:v>
                </c:pt>
                <c:pt idx="1">
                  <c:v>75</c:v>
                </c:pt>
                <c:pt idx="2">
                  <c:v>100</c:v>
                </c:pt>
                <c:pt idx="3">
                  <c:v>100</c:v>
                </c:pt>
                <c:pt idx="4">
                  <c:v>75</c:v>
                </c:pt>
                <c:pt idx="5">
                  <c:v>100</c:v>
                </c:pt>
                <c:pt idx="6">
                  <c:v>100</c:v>
                </c:pt>
                <c:pt idx="7">
                  <c:v>100</c:v>
                </c:pt>
                <c:pt idx="8">
                  <c:v>85.714285714285708</c:v>
                </c:pt>
                <c:pt idx="9">
                  <c:v>85.714285714285708</c:v>
                </c:pt>
                <c:pt idx="10">
                  <c:v>100</c:v>
                </c:pt>
                <c:pt idx="11">
                  <c:v>100</c:v>
                </c:pt>
              </c:numCache>
            </c:numRef>
          </c:val>
          <c:extLst>
            <c:ext xmlns:c16="http://schemas.microsoft.com/office/drawing/2014/chart" uri="{C3380CC4-5D6E-409C-BE32-E72D297353CC}">
              <c16:uniqueId val="{00000000-4946-49E1-97E1-10FEE4957F29}"/>
            </c:ext>
          </c:extLst>
        </c:ser>
        <c:ser>
          <c:idx val="1"/>
          <c:order val="1"/>
          <c:tx>
            <c:strRef>
              <c:f>'combined figure'!$CA$2</c:f>
              <c:strCache>
                <c:ptCount val="1"/>
                <c:pt idx="0">
                  <c:v>no</c:v>
                </c:pt>
              </c:strCache>
            </c:strRef>
          </c:tx>
          <c:spPr>
            <a:solidFill>
              <a:schemeClr val="accent2"/>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figure'!$CA$3:$CA$14</c:f>
              <c:numCache>
                <c:formatCode>0</c:formatCode>
                <c:ptCount val="12"/>
                <c:pt idx="0">
                  <c:v>25</c:v>
                </c:pt>
                <c:pt idx="1">
                  <c:v>25</c:v>
                </c:pt>
                <c:pt idx="2">
                  <c:v>0</c:v>
                </c:pt>
                <c:pt idx="3">
                  <c:v>0</c:v>
                </c:pt>
                <c:pt idx="4">
                  <c:v>25</c:v>
                </c:pt>
                <c:pt idx="5">
                  <c:v>0</c:v>
                </c:pt>
                <c:pt idx="6">
                  <c:v>0</c:v>
                </c:pt>
                <c:pt idx="7">
                  <c:v>0</c:v>
                </c:pt>
                <c:pt idx="8">
                  <c:v>14.285714285714285</c:v>
                </c:pt>
                <c:pt idx="9">
                  <c:v>14.285714285714285</c:v>
                </c:pt>
                <c:pt idx="10">
                  <c:v>0</c:v>
                </c:pt>
                <c:pt idx="11">
                  <c:v>0</c:v>
                </c:pt>
              </c:numCache>
            </c:numRef>
          </c:val>
          <c:extLst>
            <c:ext xmlns:c16="http://schemas.microsoft.com/office/drawing/2014/chart" uri="{C3380CC4-5D6E-409C-BE32-E72D297353CC}">
              <c16:uniqueId val="{00000001-4946-49E1-97E1-10FEE4957F29}"/>
            </c:ext>
          </c:extLst>
        </c:ser>
        <c:dLbls>
          <c:showLegendKey val="0"/>
          <c:showVal val="0"/>
          <c:showCatName val="0"/>
          <c:showSerName val="0"/>
          <c:showPercent val="0"/>
          <c:showBubbleSize val="0"/>
        </c:dLbls>
        <c:gapWidth val="150"/>
        <c:overlap val="100"/>
        <c:axId val="623340984"/>
        <c:axId val="623340656"/>
      </c:barChart>
      <c:catAx>
        <c:axId val="6233409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3340656"/>
        <c:crosses val="autoZero"/>
        <c:auto val="1"/>
        <c:lblAlgn val="ctr"/>
        <c:lblOffset val="100"/>
        <c:noMultiLvlLbl val="0"/>
      </c:catAx>
      <c:valAx>
        <c:axId val="6233406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3340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microscopy facilities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'combined figure'!$CJ$2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figure'!$CJ$3:$CJ$14</c:f>
              <c:numCache>
                <c:formatCode>0</c:formatCode>
                <c:ptCount val="12"/>
                <c:pt idx="0">
                  <c:v>66.666666666666657</c:v>
                </c:pt>
                <c:pt idx="1">
                  <c:v>96.825396825396822</c:v>
                </c:pt>
                <c:pt idx="2">
                  <c:v>98.412698412698404</c:v>
                </c:pt>
                <c:pt idx="3">
                  <c:v>100</c:v>
                </c:pt>
                <c:pt idx="4">
                  <c:v>70.689655172413794</c:v>
                </c:pt>
                <c:pt idx="5">
                  <c:v>100</c:v>
                </c:pt>
                <c:pt idx="6">
                  <c:v>92.857142857142861</c:v>
                </c:pt>
                <c:pt idx="7">
                  <c:v>48</c:v>
                </c:pt>
                <c:pt idx="8">
                  <c:v>78.333333333333329</c:v>
                </c:pt>
                <c:pt idx="9">
                  <c:v>43.333333333333336</c:v>
                </c:pt>
                <c:pt idx="10">
                  <c:v>96.666666666666671</c:v>
                </c:pt>
                <c:pt idx="11">
                  <c:v>85</c:v>
                </c:pt>
              </c:numCache>
            </c:numRef>
          </c:val>
          <c:extLst>
            <c:ext xmlns:c16="http://schemas.microsoft.com/office/drawing/2014/chart" uri="{C3380CC4-5D6E-409C-BE32-E72D297353CC}">
              <c16:uniqueId val="{00000000-237A-4DB8-8D8D-BFFF737CB672}"/>
            </c:ext>
          </c:extLst>
        </c:ser>
        <c:ser>
          <c:idx val="1"/>
          <c:order val="1"/>
          <c:tx>
            <c:strRef>
              <c:f>'combined figure'!$CK$2</c:f>
              <c:strCache>
                <c:ptCount val="1"/>
                <c:pt idx="0">
                  <c:v>no</c:v>
                </c:pt>
              </c:strCache>
            </c:strRef>
          </c:tx>
          <c:spPr>
            <a:solidFill>
              <a:schemeClr val="accent2"/>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figure'!$CK$3:$CK$14</c:f>
              <c:numCache>
                <c:formatCode>0</c:formatCode>
                <c:ptCount val="12"/>
                <c:pt idx="0">
                  <c:v>33.333333333333329</c:v>
                </c:pt>
                <c:pt idx="1">
                  <c:v>3.1746031746031744</c:v>
                </c:pt>
                <c:pt idx="2">
                  <c:v>1.5873015873015872</c:v>
                </c:pt>
                <c:pt idx="3">
                  <c:v>0</c:v>
                </c:pt>
                <c:pt idx="4">
                  <c:v>29.310344827586203</c:v>
                </c:pt>
                <c:pt idx="5">
                  <c:v>0</c:v>
                </c:pt>
                <c:pt idx="6">
                  <c:v>7.1428571428571423</c:v>
                </c:pt>
                <c:pt idx="7">
                  <c:v>52</c:v>
                </c:pt>
                <c:pt idx="8">
                  <c:v>21.666666666666668</c:v>
                </c:pt>
                <c:pt idx="9">
                  <c:v>56.666666666666664</c:v>
                </c:pt>
                <c:pt idx="10">
                  <c:v>3.3333333333333335</c:v>
                </c:pt>
                <c:pt idx="11">
                  <c:v>15</c:v>
                </c:pt>
              </c:numCache>
            </c:numRef>
          </c:val>
          <c:extLst>
            <c:ext xmlns:c16="http://schemas.microsoft.com/office/drawing/2014/chart" uri="{C3380CC4-5D6E-409C-BE32-E72D297353CC}">
              <c16:uniqueId val="{00000001-237A-4DB8-8D8D-BFFF737CB672}"/>
            </c:ext>
          </c:extLst>
        </c:ser>
        <c:dLbls>
          <c:showLegendKey val="0"/>
          <c:showVal val="0"/>
          <c:showCatName val="0"/>
          <c:showSerName val="0"/>
          <c:showPercent val="0"/>
          <c:showBubbleSize val="0"/>
        </c:dLbls>
        <c:gapWidth val="150"/>
        <c:overlap val="100"/>
        <c:axId val="542642672"/>
        <c:axId val="542643328"/>
      </c:barChart>
      <c:catAx>
        <c:axId val="5426426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2643328"/>
        <c:crosses val="autoZero"/>
        <c:auto val="1"/>
        <c:lblAlgn val="ctr"/>
        <c:lblOffset val="100"/>
        <c:noMultiLvlLbl val="0"/>
      </c:catAx>
      <c:valAx>
        <c:axId val="54264332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264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mouse facilities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'combined figure'!$CT$2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figure'!$CT$3:$CT$14</c:f>
              <c:numCache>
                <c:formatCode>0</c:formatCode>
                <c:ptCount val="12"/>
                <c:pt idx="0">
                  <c:v>62.5</c:v>
                </c:pt>
                <c:pt idx="1">
                  <c:v>93.333333333333329</c:v>
                </c:pt>
                <c:pt idx="2">
                  <c:v>100</c:v>
                </c:pt>
                <c:pt idx="3">
                  <c:v>93.75</c:v>
                </c:pt>
                <c:pt idx="4">
                  <c:v>93.333333333333329</c:v>
                </c:pt>
                <c:pt idx="5">
                  <c:v>100</c:v>
                </c:pt>
                <c:pt idx="6">
                  <c:v>54.54545454545454</c:v>
                </c:pt>
                <c:pt idx="7">
                  <c:v>88.888888888888886</c:v>
                </c:pt>
                <c:pt idx="8">
                  <c:v>92.307692307692307</c:v>
                </c:pt>
                <c:pt idx="9">
                  <c:v>69.230769230769226</c:v>
                </c:pt>
                <c:pt idx="10">
                  <c:v>100</c:v>
                </c:pt>
                <c:pt idx="11">
                  <c:v>81.25</c:v>
                </c:pt>
              </c:numCache>
            </c:numRef>
          </c:val>
          <c:extLst>
            <c:ext xmlns:c16="http://schemas.microsoft.com/office/drawing/2014/chart" uri="{C3380CC4-5D6E-409C-BE32-E72D297353CC}">
              <c16:uniqueId val="{00000000-081B-4FE0-BDA7-DC1FF531CE77}"/>
            </c:ext>
          </c:extLst>
        </c:ser>
        <c:ser>
          <c:idx val="1"/>
          <c:order val="1"/>
          <c:tx>
            <c:strRef>
              <c:f>'combined figure'!$CU$2</c:f>
              <c:strCache>
                <c:ptCount val="1"/>
                <c:pt idx="0">
                  <c:v>no</c:v>
                </c:pt>
              </c:strCache>
            </c:strRef>
          </c:tx>
          <c:spPr>
            <a:solidFill>
              <a:schemeClr val="accent2"/>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figure'!$CU$3:$CU$14</c:f>
              <c:numCache>
                <c:formatCode>0</c:formatCode>
                <c:ptCount val="12"/>
                <c:pt idx="0">
                  <c:v>37.5</c:v>
                </c:pt>
                <c:pt idx="1">
                  <c:v>6.666666666666667</c:v>
                </c:pt>
                <c:pt idx="2">
                  <c:v>0</c:v>
                </c:pt>
                <c:pt idx="3">
                  <c:v>6.25</c:v>
                </c:pt>
                <c:pt idx="4">
                  <c:v>6.666666666666667</c:v>
                </c:pt>
                <c:pt idx="5">
                  <c:v>0</c:v>
                </c:pt>
                <c:pt idx="6">
                  <c:v>45.454545454545453</c:v>
                </c:pt>
                <c:pt idx="7">
                  <c:v>11.111111111111111</c:v>
                </c:pt>
                <c:pt idx="8">
                  <c:v>7.6923076923076925</c:v>
                </c:pt>
                <c:pt idx="9">
                  <c:v>30.76923076923077</c:v>
                </c:pt>
                <c:pt idx="10">
                  <c:v>0</c:v>
                </c:pt>
                <c:pt idx="11">
                  <c:v>18.75</c:v>
                </c:pt>
              </c:numCache>
            </c:numRef>
          </c:val>
          <c:extLst>
            <c:ext xmlns:c16="http://schemas.microsoft.com/office/drawing/2014/chart" uri="{C3380CC4-5D6E-409C-BE32-E72D297353CC}">
              <c16:uniqueId val="{00000001-081B-4FE0-BDA7-DC1FF531CE77}"/>
            </c:ext>
          </c:extLst>
        </c:ser>
        <c:dLbls>
          <c:showLegendKey val="0"/>
          <c:showVal val="0"/>
          <c:showCatName val="0"/>
          <c:showSerName val="0"/>
          <c:showPercent val="0"/>
          <c:showBubbleSize val="0"/>
        </c:dLbls>
        <c:gapWidth val="150"/>
        <c:overlap val="100"/>
        <c:axId val="558266456"/>
        <c:axId val="558257272"/>
      </c:barChart>
      <c:catAx>
        <c:axId val="558266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257272"/>
        <c:crosses val="autoZero"/>
        <c:auto val="1"/>
        <c:lblAlgn val="ctr"/>
        <c:lblOffset val="100"/>
        <c:noMultiLvlLbl val="0"/>
      </c:catAx>
      <c:valAx>
        <c:axId val="5582572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266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protein expression facilities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'combined figure'!$DD$2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figure'!$DD$3:$DD$14</c:f>
              <c:numCache>
                <c:formatCode>0</c:formatCode>
                <c:ptCount val="12"/>
                <c:pt idx="0">
                  <c:v>50</c:v>
                </c:pt>
                <c:pt idx="1">
                  <c:v>75</c:v>
                </c:pt>
                <c:pt idx="2">
                  <c:v>100</c:v>
                </c:pt>
                <c:pt idx="3">
                  <c:v>100</c:v>
                </c:pt>
                <c:pt idx="4">
                  <c:v>87.5</c:v>
                </c:pt>
                <c:pt idx="5">
                  <c:v>100</c:v>
                </c:pt>
                <c:pt idx="6">
                  <c:v>75</c:v>
                </c:pt>
                <c:pt idx="7">
                  <c:v>85.714285714285708</c:v>
                </c:pt>
                <c:pt idx="8">
                  <c:v>87.5</c:v>
                </c:pt>
                <c:pt idx="9">
                  <c:v>87.5</c:v>
                </c:pt>
                <c:pt idx="10">
                  <c:v>100</c:v>
                </c:pt>
                <c:pt idx="11">
                  <c:v>75</c:v>
                </c:pt>
              </c:numCache>
            </c:numRef>
          </c:val>
          <c:extLst>
            <c:ext xmlns:c16="http://schemas.microsoft.com/office/drawing/2014/chart" uri="{C3380CC4-5D6E-409C-BE32-E72D297353CC}">
              <c16:uniqueId val="{00000000-ADE3-4F17-A207-F0CFE462C755}"/>
            </c:ext>
          </c:extLst>
        </c:ser>
        <c:ser>
          <c:idx val="1"/>
          <c:order val="1"/>
          <c:tx>
            <c:strRef>
              <c:f>'combined figure'!$DE$2</c:f>
              <c:strCache>
                <c:ptCount val="1"/>
                <c:pt idx="0">
                  <c:v>no</c:v>
                </c:pt>
              </c:strCache>
            </c:strRef>
          </c:tx>
          <c:spPr>
            <a:solidFill>
              <a:schemeClr val="accent2"/>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figure'!$DE$3:$DE$14</c:f>
              <c:numCache>
                <c:formatCode>0</c:formatCode>
                <c:ptCount val="12"/>
                <c:pt idx="0">
                  <c:v>50</c:v>
                </c:pt>
                <c:pt idx="1">
                  <c:v>25</c:v>
                </c:pt>
                <c:pt idx="2">
                  <c:v>0</c:v>
                </c:pt>
                <c:pt idx="3">
                  <c:v>0</c:v>
                </c:pt>
                <c:pt idx="4">
                  <c:v>12.5</c:v>
                </c:pt>
                <c:pt idx="5">
                  <c:v>0</c:v>
                </c:pt>
                <c:pt idx="6">
                  <c:v>25</c:v>
                </c:pt>
                <c:pt idx="7">
                  <c:v>14.285714285714285</c:v>
                </c:pt>
                <c:pt idx="8">
                  <c:v>12.5</c:v>
                </c:pt>
                <c:pt idx="9">
                  <c:v>12.5</c:v>
                </c:pt>
                <c:pt idx="10">
                  <c:v>0</c:v>
                </c:pt>
                <c:pt idx="11">
                  <c:v>25</c:v>
                </c:pt>
              </c:numCache>
            </c:numRef>
          </c:val>
          <c:extLst>
            <c:ext xmlns:c16="http://schemas.microsoft.com/office/drawing/2014/chart" uri="{C3380CC4-5D6E-409C-BE32-E72D297353CC}">
              <c16:uniqueId val="{00000001-ADE3-4F17-A207-F0CFE462C755}"/>
            </c:ext>
          </c:extLst>
        </c:ser>
        <c:dLbls>
          <c:showLegendKey val="0"/>
          <c:showVal val="0"/>
          <c:showCatName val="0"/>
          <c:showSerName val="0"/>
          <c:showPercent val="0"/>
          <c:showBubbleSize val="0"/>
        </c:dLbls>
        <c:gapWidth val="150"/>
        <c:overlap val="100"/>
        <c:axId val="558267768"/>
        <c:axId val="558268096"/>
      </c:barChart>
      <c:catAx>
        <c:axId val="558267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268096"/>
        <c:crosses val="autoZero"/>
        <c:auto val="1"/>
        <c:lblAlgn val="ctr"/>
        <c:lblOffset val="100"/>
        <c:noMultiLvlLbl val="0"/>
      </c:catAx>
      <c:valAx>
        <c:axId val="5582680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8267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proteomics facilities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'combined figure'!$DN$2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figure'!$DN$3:$DN$14</c:f>
              <c:numCache>
                <c:formatCode>0</c:formatCode>
                <c:ptCount val="12"/>
                <c:pt idx="0">
                  <c:v>54.285714285714285</c:v>
                </c:pt>
                <c:pt idx="1">
                  <c:v>81.818181818181827</c:v>
                </c:pt>
                <c:pt idx="2">
                  <c:v>100</c:v>
                </c:pt>
                <c:pt idx="3">
                  <c:v>100</c:v>
                </c:pt>
                <c:pt idx="4">
                  <c:v>84.848484848484844</c:v>
                </c:pt>
                <c:pt idx="5">
                  <c:v>97.142857142857139</c:v>
                </c:pt>
                <c:pt idx="6">
                  <c:v>100</c:v>
                </c:pt>
                <c:pt idx="7">
                  <c:v>77.777777777777786</c:v>
                </c:pt>
                <c:pt idx="8">
                  <c:v>97.142857142857139</c:v>
                </c:pt>
                <c:pt idx="9">
                  <c:v>94.285714285714278</c:v>
                </c:pt>
                <c:pt idx="10">
                  <c:v>100</c:v>
                </c:pt>
                <c:pt idx="11">
                  <c:v>91.428571428571431</c:v>
                </c:pt>
              </c:numCache>
            </c:numRef>
          </c:val>
          <c:extLst>
            <c:ext xmlns:c16="http://schemas.microsoft.com/office/drawing/2014/chart" uri="{C3380CC4-5D6E-409C-BE32-E72D297353CC}">
              <c16:uniqueId val="{00000000-2B55-47F2-8162-586CCA9ECF1D}"/>
            </c:ext>
          </c:extLst>
        </c:ser>
        <c:ser>
          <c:idx val="1"/>
          <c:order val="1"/>
          <c:tx>
            <c:strRef>
              <c:f>'combined figure'!$DO$2</c:f>
              <c:strCache>
                <c:ptCount val="1"/>
                <c:pt idx="0">
                  <c:v>no</c:v>
                </c:pt>
              </c:strCache>
            </c:strRef>
          </c:tx>
          <c:spPr>
            <a:solidFill>
              <a:schemeClr val="accent2"/>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figure'!$DO$3:$DO$14</c:f>
              <c:numCache>
                <c:formatCode>0</c:formatCode>
                <c:ptCount val="12"/>
                <c:pt idx="0">
                  <c:v>45.714285714285715</c:v>
                </c:pt>
                <c:pt idx="1">
                  <c:v>18.181818181818183</c:v>
                </c:pt>
                <c:pt idx="2">
                  <c:v>0</c:v>
                </c:pt>
                <c:pt idx="3">
                  <c:v>0</c:v>
                </c:pt>
                <c:pt idx="4">
                  <c:v>15.151515151515152</c:v>
                </c:pt>
                <c:pt idx="5">
                  <c:v>2.8571428571428572</c:v>
                </c:pt>
                <c:pt idx="6">
                  <c:v>0</c:v>
                </c:pt>
                <c:pt idx="7">
                  <c:v>22.222222222222221</c:v>
                </c:pt>
                <c:pt idx="8">
                  <c:v>2.8571428571428572</c:v>
                </c:pt>
                <c:pt idx="9">
                  <c:v>5.7142857142857144</c:v>
                </c:pt>
                <c:pt idx="10">
                  <c:v>0</c:v>
                </c:pt>
                <c:pt idx="11">
                  <c:v>8.5714285714285712</c:v>
                </c:pt>
              </c:numCache>
            </c:numRef>
          </c:val>
          <c:extLst>
            <c:ext xmlns:c16="http://schemas.microsoft.com/office/drawing/2014/chart" uri="{C3380CC4-5D6E-409C-BE32-E72D297353CC}">
              <c16:uniqueId val="{00000001-2B55-47F2-8162-586CCA9ECF1D}"/>
            </c:ext>
          </c:extLst>
        </c:ser>
        <c:dLbls>
          <c:showLegendKey val="0"/>
          <c:showVal val="0"/>
          <c:showCatName val="0"/>
          <c:showSerName val="0"/>
          <c:showPercent val="0"/>
          <c:showBubbleSize val="0"/>
        </c:dLbls>
        <c:gapWidth val="150"/>
        <c:overlap val="100"/>
        <c:axId val="623326224"/>
        <c:axId val="623334424"/>
      </c:barChart>
      <c:catAx>
        <c:axId val="623326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3334424"/>
        <c:crosses val="autoZero"/>
        <c:auto val="1"/>
        <c:lblAlgn val="ctr"/>
        <c:lblOffset val="100"/>
        <c:noMultiLvlLbl val="0"/>
      </c:catAx>
      <c:valAx>
        <c:axId val="6233344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3326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Full-service facilities</a:t>
            </a:r>
          </a:p>
        </c:rich>
      </c:tx>
      <c:layout>
        <c:manualLayout>
          <c:xMode val="edge"/>
          <c:yMode val="edge"/>
          <c:x val="5.5101537874481799E-2"/>
          <c:y val="4.08588634204016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'combined figure'!$H$2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figure'!$H$3:$H$14</c:f>
              <c:numCache>
                <c:formatCode>0</c:formatCode>
                <c:ptCount val="12"/>
                <c:pt idx="0">
                  <c:v>64.38356164383562</c:v>
                </c:pt>
                <c:pt idx="1">
                  <c:v>69.117647058823522</c:v>
                </c:pt>
                <c:pt idx="2">
                  <c:v>98.630136986301366</c:v>
                </c:pt>
                <c:pt idx="3">
                  <c:v>98.611111111111114</c:v>
                </c:pt>
                <c:pt idx="4">
                  <c:v>74.626865671641795</c:v>
                </c:pt>
                <c:pt idx="5">
                  <c:v>97.142857142857139</c:v>
                </c:pt>
                <c:pt idx="6">
                  <c:v>52.631578947368418</c:v>
                </c:pt>
                <c:pt idx="7">
                  <c:v>82.142857142857139</c:v>
                </c:pt>
                <c:pt idx="8">
                  <c:v>92.64705882352942</c:v>
                </c:pt>
                <c:pt idx="9">
                  <c:v>95.588235294117652</c:v>
                </c:pt>
                <c:pt idx="10">
                  <c:v>97.058823529411768</c:v>
                </c:pt>
                <c:pt idx="11">
                  <c:v>85.714285714285708</c:v>
                </c:pt>
              </c:numCache>
            </c:numRef>
          </c:val>
          <c:extLst>
            <c:ext xmlns:c16="http://schemas.microsoft.com/office/drawing/2014/chart" uri="{C3380CC4-5D6E-409C-BE32-E72D297353CC}">
              <c16:uniqueId val="{00000000-9EC5-4C58-A029-408B879BC6A9}"/>
            </c:ext>
          </c:extLst>
        </c:ser>
        <c:ser>
          <c:idx val="1"/>
          <c:order val="1"/>
          <c:tx>
            <c:strRef>
              <c:f>'combined figure'!$I$2</c:f>
              <c:strCache>
                <c:ptCount val="1"/>
                <c:pt idx="0">
                  <c:v>no</c:v>
                </c:pt>
              </c:strCache>
            </c:strRef>
          </c:tx>
          <c:spPr>
            <a:solidFill>
              <a:schemeClr val="accent2"/>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figure'!$I$3:$I$14</c:f>
              <c:numCache>
                <c:formatCode>0</c:formatCode>
                <c:ptCount val="12"/>
                <c:pt idx="0">
                  <c:v>35.61643835616438</c:v>
                </c:pt>
                <c:pt idx="1">
                  <c:v>30.882352941176471</c:v>
                </c:pt>
                <c:pt idx="2">
                  <c:v>1.3698630136986301</c:v>
                </c:pt>
                <c:pt idx="3">
                  <c:v>1.3888888888888888</c:v>
                </c:pt>
                <c:pt idx="4">
                  <c:v>25.373134328358208</c:v>
                </c:pt>
                <c:pt idx="5">
                  <c:v>2.8571428571428572</c:v>
                </c:pt>
                <c:pt idx="6">
                  <c:v>47.368421052631575</c:v>
                </c:pt>
                <c:pt idx="7">
                  <c:v>17.857142857142858</c:v>
                </c:pt>
                <c:pt idx="8">
                  <c:v>7.3529411764705888</c:v>
                </c:pt>
                <c:pt idx="9">
                  <c:v>4.4117647058823533</c:v>
                </c:pt>
                <c:pt idx="10">
                  <c:v>2.9411764705882351</c:v>
                </c:pt>
                <c:pt idx="11">
                  <c:v>14.285714285714285</c:v>
                </c:pt>
              </c:numCache>
            </c:numRef>
          </c:val>
          <c:extLst>
            <c:ext xmlns:c16="http://schemas.microsoft.com/office/drawing/2014/chart" uri="{C3380CC4-5D6E-409C-BE32-E72D297353CC}">
              <c16:uniqueId val="{00000001-9EC5-4C58-A029-408B879BC6A9}"/>
            </c:ext>
          </c:extLst>
        </c:ser>
        <c:dLbls>
          <c:showLegendKey val="0"/>
          <c:showVal val="0"/>
          <c:showCatName val="0"/>
          <c:showSerName val="0"/>
          <c:showPercent val="0"/>
          <c:showBubbleSize val="0"/>
        </c:dLbls>
        <c:gapWidth val="150"/>
        <c:overlap val="100"/>
        <c:axId val="436564504"/>
        <c:axId val="436572376"/>
      </c:barChart>
      <c:catAx>
        <c:axId val="4365645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6572376"/>
        <c:crosses val="autoZero"/>
        <c:auto val="1"/>
        <c:lblAlgn val="ctr"/>
        <c:lblOffset val="100"/>
        <c:noMultiLvlLbl val="0"/>
      </c:catAx>
      <c:valAx>
        <c:axId val="43657237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6564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use of communication/management software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42-4371-9FBA-E0765830D117}"/>
              </c:ext>
            </c:extLst>
          </c:dPt>
          <c:dPt>
            <c:idx val="1"/>
            <c:bubble3D val="0"/>
            <c:spPr>
              <a:solidFill>
                <a:srgbClr val="FF7C80"/>
              </a:solidFill>
              <a:ln w="19050">
                <a:solidFill>
                  <a:schemeClr val="lt1"/>
                </a:solidFill>
              </a:ln>
              <a:effectLst/>
            </c:spPr>
            <c:extLst>
              <c:ext xmlns:c16="http://schemas.microsoft.com/office/drawing/2014/chart" uri="{C3380CC4-5D6E-409C-BE32-E72D297353CC}">
                <c16:uniqueId val="{00000003-F742-4371-9FBA-E0765830D117}"/>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4-5C68-47A8-8FAF-266003261C3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'2'!$BA$2:$BA$4</c:f>
              <c:strCache>
                <c:ptCount val="3"/>
                <c:pt idx="0">
                  <c:v>yes</c:v>
                </c:pt>
                <c:pt idx="1">
                  <c:v>no, but would make sense</c:v>
                </c:pt>
                <c:pt idx="2">
                  <c:v>no, would not make sense</c:v>
                </c:pt>
              </c:strCache>
            </c:strRef>
          </c:cat>
          <c:val>
            <c:numRef>
              <c:f>'2'!$BB$2:$BB$4</c:f>
              <c:numCache>
                <c:formatCode>General</c:formatCode>
                <c:ptCount val="3"/>
                <c:pt idx="0">
                  <c:v>80</c:v>
                </c:pt>
                <c:pt idx="1">
                  <c:v>93</c:v>
                </c:pt>
                <c:pt idx="2">
                  <c:v>102</c:v>
                </c:pt>
              </c:numCache>
            </c:numRef>
          </c:val>
          <c:extLst>
            <c:ext xmlns:c16="http://schemas.microsoft.com/office/drawing/2014/chart" uri="{C3380CC4-5D6E-409C-BE32-E72D297353CC}">
              <c16:uniqueId val="{00000000-D972-4A81-B84E-DE3F414B2B4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Hybrid-service facilities</a:t>
            </a:r>
          </a:p>
        </c:rich>
      </c:tx>
      <c:layout>
        <c:manualLayout>
          <c:xMode val="edge"/>
          <c:yMode val="edge"/>
          <c:x val="5.5238758795494433E-2"/>
          <c:y val="4.65599591225555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'combined figure'!$R$2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figure'!$R$3:$R$14</c:f>
              <c:numCache>
                <c:formatCode>0</c:formatCode>
                <c:ptCount val="12"/>
                <c:pt idx="0">
                  <c:v>64</c:v>
                </c:pt>
                <c:pt idx="1">
                  <c:v>95.930232558139537</c:v>
                </c:pt>
                <c:pt idx="2">
                  <c:v>98.857142857142861</c:v>
                </c:pt>
                <c:pt idx="3">
                  <c:v>94.857142857142861</c:v>
                </c:pt>
                <c:pt idx="4">
                  <c:v>76.397515527950304</c:v>
                </c:pt>
                <c:pt idx="5">
                  <c:v>99.421965317919074</c:v>
                </c:pt>
                <c:pt idx="6">
                  <c:v>90.769230769230774</c:v>
                </c:pt>
                <c:pt idx="7">
                  <c:v>58.992805755395686</c:v>
                </c:pt>
                <c:pt idx="8">
                  <c:v>86.746987951807228</c:v>
                </c:pt>
                <c:pt idx="9">
                  <c:v>64.848484848484844</c:v>
                </c:pt>
                <c:pt idx="10">
                  <c:v>93.939393939393938</c:v>
                </c:pt>
                <c:pt idx="11">
                  <c:v>84.393063583815035</c:v>
                </c:pt>
              </c:numCache>
            </c:numRef>
          </c:val>
          <c:extLst>
            <c:ext xmlns:c16="http://schemas.microsoft.com/office/drawing/2014/chart" uri="{C3380CC4-5D6E-409C-BE32-E72D297353CC}">
              <c16:uniqueId val="{00000000-6C4E-4FE4-8BCD-429FA754179A}"/>
            </c:ext>
          </c:extLst>
        </c:ser>
        <c:ser>
          <c:idx val="1"/>
          <c:order val="1"/>
          <c:tx>
            <c:strRef>
              <c:f>'combined figure'!$S$2</c:f>
              <c:strCache>
                <c:ptCount val="1"/>
                <c:pt idx="0">
                  <c:v>no</c:v>
                </c:pt>
              </c:strCache>
            </c:strRef>
          </c:tx>
          <c:spPr>
            <a:solidFill>
              <a:schemeClr val="accent2"/>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figure'!$S$3:$S$14</c:f>
              <c:numCache>
                <c:formatCode>0</c:formatCode>
                <c:ptCount val="12"/>
                <c:pt idx="0">
                  <c:v>36</c:v>
                </c:pt>
                <c:pt idx="1">
                  <c:v>4.0697674418604652</c:v>
                </c:pt>
                <c:pt idx="2">
                  <c:v>1.1428571428571428</c:v>
                </c:pt>
                <c:pt idx="3">
                  <c:v>5.1428571428571423</c:v>
                </c:pt>
                <c:pt idx="4">
                  <c:v>23.602484472049689</c:v>
                </c:pt>
                <c:pt idx="5">
                  <c:v>0.57803468208092479</c:v>
                </c:pt>
                <c:pt idx="6">
                  <c:v>9.2307692307692317</c:v>
                </c:pt>
                <c:pt idx="7">
                  <c:v>41.007194244604314</c:v>
                </c:pt>
                <c:pt idx="8">
                  <c:v>13.253012048192772</c:v>
                </c:pt>
                <c:pt idx="9">
                  <c:v>35.151515151515149</c:v>
                </c:pt>
                <c:pt idx="10">
                  <c:v>6.0606060606060606</c:v>
                </c:pt>
                <c:pt idx="11">
                  <c:v>15.606936416184972</c:v>
                </c:pt>
              </c:numCache>
            </c:numRef>
          </c:val>
          <c:extLst>
            <c:ext xmlns:c16="http://schemas.microsoft.com/office/drawing/2014/chart" uri="{C3380CC4-5D6E-409C-BE32-E72D297353CC}">
              <c16:uniqueId val="{00000001-6C4E-4FE4-8BCD-429FA754179A}"/>
            </c:ext>
          </c:extLst>
        </c:ser>
        <c:dLbls>
          <c:showLegendKey val="0"/>
          <c:showVal val="0"/>
          <c:showCatName val="0"/>
          <c:showSerName val="0"/>
          <c:showPercent val="0"/>
          <c:showBubbleSize val="0"/>
        </c:dLbls>
        <c:gapWidth val="150"/>
        <c:overlap val="100"/>
        <c:axId val="436569752"/>
        <c:axId val="436570408"/>
      </c:barChart>
      <c:catAx>
        <c:axId val="436569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6570408"/>
        <c:crosses val="autoZero"/>
        <c:auto val="1"/>
        <c:lblAlgn val="ctr"/>
        <c:lblOffset val="100"/>
        <c:noMultiLvlLbl val="0"/>
      </c:catAx>
      <c:valAx>
        <c:axId val="43657040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6569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Self</a:t>
            </a:r>
            <a:r>
              <a:rPr lang="en-GB" baseline="0"/>
              <a:t>-service facilities</a:t>
            </a:r>
            <a:endParaRPr lang="en-GB"/>
          </a:p>
        </c:rich>
      </c:tx>
      <c:layout>
        <c:manualLayout>
          <c:xMode val="edge"/>
          <c:yMode val="edge"/>
          <c:x val="5.7858247483528517E-2"/>
          <c:y val="4.62237031601134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'combined figure'!$AB$2</c:f>
              <c:strCache>
                <c:ptCount val="1"/>
                <c:pt idx="0">
                  <c:v>yes</c:v>
                </c:pt>
              </c:strCache>
            </c:strRef>
          </c:tx>
          <c:spPr>
            <a:solidFill>
              <a:schemeClr val="accent1"/>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figure'!$AB$3:$AB$14</c:f>
              <c:numCache>
                <c:formatCode>0</c:formatCode>
                <c:ptCount val="12"/>
                <c:pt idx="0">
                  <c:v>50</c:v>
                </c:pt>
                <c:pt idx="1">
                  <c:v>96.428571428571431</c:v>
                </c:pt>
                <c:pt idx="2">
                  <c:v>96.428571428571431</c:v>
                </c:pt>
                <c:pt idx="3">
                  <c:v>92.857142857142861</c:v>
                </c:pt>
                <c:pt idx="4">
                  <c:v>55.555555555555557</c:v>
                </c:pt>
                <c:pt idx="5">
                  <c:v>100</c:v>
                </c:pt>
                <c:pt idx="6">
                  <c:v>78.260869565217391</c:v>
                </c:pt>
                <c:pt idx="7">
                  <c:v>40</c:v>
                </c:pt>
                <c:pt idx="8">
                  <c:v>74.074074074074076</c:v>
                </c:pt>
                <c:pt idx="9">
                  <c:v>25.925925925925924</c:v>
                </c:pt>
                <c:pt idx="10">
                  <c:v>77.777777777777786</c:v>
                </c:pt>
                <c:pt idx="11">
                  <c:v>89.285714285714292</c:v>
                </c:pt>
              </c:numCache>
            </c:numRef>
          </c:val>
          <c:extLst>
            <c:ext xmlns:c16="http://schemas.microsoft.com/office/drawing/2014/chart" uri="{C3380CC4-5D6E-409C-BE32-E72D297353CC}">
              <c16:uniqueId val="{00000000-63E0-4648-8177-407269E78DF1}"/>
            </c:ext>
          </c:extLst>
        </c:ser>
        <c:ser>
          <c:idx val="1"/>
          <c:order val="1"/>
          <c:tx>
            <c:strRef>
              <c:f>'combined figure'!$AC$2</c:f>
              <c:strCache>
                <c:ptCount val="1"/>
                <c:pt idx="0">
                  <c:v>no</c:v>
                </c:pt>
              </c:strCache>
            </c:strRef>
          </c:tx>
          <c:spPr>
            <a:solidFill>
              <a:schemeClr val="accent2"/>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figure'!$AC$3:$AC$14</c:f>
              <c:numCache>
                <c:formatCode>0</c:formatCode>
                <c:ptCount val="12"/>
                <c:pt idx="0">
                  <c:v>50</c:v>
                </c:pt>
                <c:pt idx="1">
                  <c:v>3.5714285714285712</c:v>
                </c:pt>
                <c:pt idx="2">
                  <c:v>3.5714285714285712</c:v>
                </c:pt>
                <c:pt idx="3">
                  <c:v>7.1428571428571423</c:v>
                </c:pt>
                <c:pt idx="4">
                  <c:v>44.444444444444443</c:v>
                </c:pt>
                <c:pt idx="5">
                  <c:v>0</c:v>
                </c:pt>
                <c:pt idx="6">
                  <c:v>21.739130434782609</c:v>
                </c:pt>
                <c:pt idx="7">
                  <c:v>60</c:v>
                </c:pt>
                <c:pt idx="8">
                  <c:v>25.925925925925924</c:v>
                </c:pt>
                <c:pt idx="9">
                  <c:v>74.074074074074076</c:v>
                </c:pt>
                <c:pt idx="10">
                  <c:v>22.222222222222221</c:v>
                </c:pt>
                <c:pt idx="11">
                  <c:v>10.714285714285714</c:v>
                </c:pt>
              </c:numCache>
            </c:numRef>
          </c:val>
          <c:extLst>
            <c:ext xmlns:c16="http://schemas.microsoft.com/office/drawing/2014/chart" uri="{C3380CC4-5D6E-409C-BE32-E72D297353CC}">
              <c16:uniqueId val="{00000001-63E0-4648-8177-407269E78DF1}"/>
            </c:ext>
          </c:extLst>
        </c:ser>
        <c:dLbls>
          <c:showLegendKey val="0"/>
          <c:showVal val="0"/>
          <c:showCatName val="0"/>
          <c:showSerName val="0"/>
          <c:showPercent val="0"/>
          <c:showBubbleSize val="0"/>
        </c:dLbls>
        <c:gapWidth val="150"/>
        <c:overlap val="100"/>
        <c:axId val="583571568"/>
        <c:axId val="583570584"/>
      </c:barChart>
      <c:catAx>
        <c:axId val="583571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3570584"/>
        <c:crosses val="autoZero"/>
        <c:auto val="1"/>
        <c:lblAlgn val="ctr"/>
        <c:lblOffset val="100"/>
        <c:noMultiLvlLbl val="0"/>
      </c:catAx>
      <c:valAx>
        <c:axId val="58357058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357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Core facilities...</a:t>
            </a:r>
          </a:p>
        </c:rich>
      </c:tx>
      <c:layout>
        <c:manualLayout>
          <c:xMode val="edge"/>
          <c:yMode val="edge"/>
          <c:x val="6.3667367567503144E-2"/>
          <c:y val="4.3777353664716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tx>
            <c:strRef>
              <c:f>'combined figure'!$AL$2</c:f>
              <c:strCache>
                <c:ptCount val="1"/>
                <c:pt idx="0">
                  <c:v>full-service</c:v>
                </c:pt>
              </c:strCache>
            </c:strRef>
          </c:tx>
          <c:spPr>
            <a:solidFill>
              <a:srgbClr val="88CCEE"/>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figure'!$AL$3:$AL$14</c:f>
              <c:numCache>
                <c:formatCode>0</c:formatCode>
                <c:ptCount val="12"/>
                <c:pt idx="0">
                  <c:v>64.38356164383562</c:v>
                </c:pt>
                <c:pt idx="1">
                  <c:v>69.117647058823522</c:v>
                </c:pt>
                <c:pt idx="2">
                  <c:v>98.630136986301366</c:v>
                </c:pt>
                <c:pt idx="3">
                  <c:v>98.611111111111114</c:v>
                </c:pt>
                <c:pt idx="4">
                  <c:v>74.626865671641795</c:v>
                </c:pt>
                <c:pt idx="5">
                  <c:v>97.142857142857139</c:v>
                </c:pt>
                <c:pt idx="6">
                  <c:v>52.631578947368418</c:v>
                </c:pt>
                <c:pt idx="7">
                  <c:v>82.142857142857139</c:v>
                </c:pt>
                <c:pt idx="8">
                  <c:v>92.64705882352942</c:v>
                </c:pt>
                <c:pt idx="9">
                  <c:v>95.588235294117652</c:v>
                </c:pt>
                <c:pt idx="10">
                  <c:v>97.058823529411768</c:v>
                </c:pt>
                <c:pt idx="11">
                  <c:v>85.714285714285708</c:v>
                </c:pt>
              </c:numCache>
            </c:numRef>
          </c:val>
          <c:extLst>
            <c:ext xmlns:c16="http://schemas.microsoft.com/office/drawing/2014/chart" uri="{C3380CC4-5D6E-409C-BE32-E72D297353CC}">
              <c16:uniqueId val="{00000000-BBD0-47E1-AA3C-9183B1F18EB5}"/>
            </c:ext>
          </c:extLst>
        </c:ser>
        <c:ser>
          <c:idx val="1"/>
          <c:order val="1"/>
          <c:tx>
            <c:strRef>
              <c:f>'combined figure'!$AM$2</c:f>
              <c:strCache>
                <c:ptCount val="1"/>
                <c:pt idx="0">
                  <c:v>hybrid-service</c:v>
                </c:pt>
              </c:strCache>
            </c:strRef>
          </c:tx>
          <c:spPr>
            <a:solidFill>
              <a:srgbClr val="AA3377"/>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figure'!$AM$3:$AM$14</c:f>
              <c:numCache>
                <c:formatCode>0</c:formatCode>
                <c:ptCount val="12"/>
                <c:pt idx="0">
                  <c:v>64</c:v>
                </c:pt>
                <c:pt idx="1">
                  <c:v>95.930232558139537</c:v>
                </c:pt>
                <c:pt idx="2">
                  <c:v>98.857142857142861</c:v>
                </c:pt>
                <c:pt idx="3">
                  <c:v>94.857142857142861</c:v>
                </c:pt>
                <c:pt idx="4">
                  <c:v>76.397515527950304</c:v>
                </c:pt>
                <c:pt idx="5">
                  <c:v>99.421965317919074</c:v>
                </c:pt>
                <c:pt idx="6">
                  <c:v>90.769230769230774</c:v>
                </c:pt>
                <c:pt idx="7">
                  <c:v>58.992805755395686</c:v>
                </c:pt>
                <c:pt idx="8">
                  <c:v>86.746987951807228</c:v>
                </c:pt>
                <c:pt idx="9">
                  <c:v>64.848484848484844</c:v>
                </c:pt>
                <c:pt idx="10">
                  <c:v>93.939393939393938</c:v>
                </c:pt>
                <c:pt idx="11">
                  <c:v>84.393063583815035</c:v>
                </c:pt>
              </c:numCache>
            </c:numRef>
          </c:val>
          <c:extLst>
            <c:ext xmlns:c16="http://schemas.microsoft.com/office/drawing/2014/chart" uri="{C3380CC4-5D6E-409C-BE32-E72D297353CC}">
              <c16:uniqueId val="{00000001-BBD0-47E1-AA3C-9183B1F18EB5}"/>
            </c:ext>
          </c:extLst>
        </c:ser>
        <c:ser>
          <c:idx val="2"/>
          <c:order val="2"/>
          <c:tx>
            <c:strRef>
              <c:f>'combined figure'!$AN$2</c:f>
              <c:strCache>
                <c:ptCount val="1"/>
                <c:pt idx="0">
                  <c:v>self-service</c:v>
                </c:pt>
              </c:strCache>
            </c:strRef>
          </c:tx>
          <c:spPr>
            <a:solidFill>
              <a:srgbClr val="EE6677"/>
            </a:solidFill>
            <a:ln>
              <a:noFill/>
            </a:ln>
            <a:effectLst/>
          </c:spPr>
          <c:invertIfNegative val="0"/>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figure'!$AN$3:$AN$14</c:f>
              <c:numCache>
                <c:formatCode>0</c:formatCode>
                <c:ptCount val="12"/>
                <c:pt idx="0">
                  <c:v>50</c:v>
                </c:pt>
                <c:pt idx="1">
                  <c:v>96.428571428571431</c:v>
                </c:pt>
                <c:pt idx="2">
                  <c:v>96.428571428571431</c:v>
                </c:pt>
                <c:pt idx="3">
                  <c:v>92.857142857142861</c:v>
                </c:pt>
                <c:pt idx="4">
                  <c:v>55.555555555555557</c:v>
                </c:pt>
                <c:pt idx="5">
                  <c:v>100</c:v>
                </c:pt>
                <c:pt idx="6">
                  <c:v>78.260869565217391</c:v>
                </c:pt>
                <c:pt idx="7">
                  <c:v>40</c:v>
                </c:pt>
                <c:pt idx="8">
                  <c:v>74.074074074074076</c:v>
                </c:pt>
                <c:pt idx="9">
                  <c:v>25.925925925925924</c:v>
                </c:pt>
                <c:pt idx="10">
                  <c:v>77.777777777777786</c:v>
                </c:pt>
                <c:pt idx="11">
                  <c:v>89.285714285714292</c:v>
                </c:pt>
              </c:numCache>
            </c:numRef>
          </c:val>
          <c:extLst>
            <c:ext xmlns:c16="http://schemas.microsoft.com/office/drawing/2014/chart" uri="{C3380CC4-5D6E-409C-BE32-E72D297353CC}">
              <c16:uniqueId val="{00000006-BBD0-47E1-AA3C-9183B1F18EB5}"/>
            </c:ext>
          </c:extLst>
        </c:ser>
        <c:dLbls>
          <c:showLegendKey val="0"/>
          <c:showVal val="0"/>
          <c:showCatName val="0"/>
          <c:showSerName val="0"/>
          <c:showPercent val="0"/>
          <c:showBubbleSize val="0"/>
        </c:dLbls>
        <c:gapWidth val="150"/>
        <c:axId val="436564504"/>
        <c:axId val="436572376"/>
      </c:barChart>
      <c:catAx>
        <c:axId val="4365645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6572376"/>
        <c:crosses val="autoZero"/>
        <c:auto val="1"/>
        <c:lblAlgn val="ctr"/>
        <c:lblOffset val="100"/>
        <c:noMultiLvlLbl val="0"/>
      </c:catAx>
      <c:valAx>
        <c:axId val="4365723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6564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Core facilities...</a:t>
            </a:r>
          </a:p>
        </c:rich>
      </c:tx>
      <c:layout>
        <c:manualLayout>
          <c:xMode val="edge"/>
          <c:yMode val="edge"/>
          <c:x val="6.3667367567503144E-2"/>
          <c:y val="4.3777353664716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tx>
            <c:strRef>
              <c:f>'combined figure'!$AK$2</c:f>
              <c:strCache>
                <c:ptCount val="1"/>
                <c:pt idx="0">
                  <c:v>all</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figure'!$AK$3:$AK$14</c:f>
              <c:numCache>
                <c:formatCode>0</c:formatCode>
                <c:ptCount val="12"/>
                <c:pt idx="0">
                  <c:v>62.681159420289859</c:v>
                </c:pt>
                <c:pt idx="1">
                  <c:v>89.179104477611943</c:v>
                </c:pt>
                <c:pt idx="2">
                  <c:v>98.550724637681171</c:v>
                </c:pt>
                <c:pt idx="3">
                  <c:v>95.63636363636364</c:v>
                </c:pt>
                <c:pt idx="4">
                  <c:v>73.725490196078439</c:v>
                </c:pt>
                <c:pt idx="5">
                  <c:v>98.892988929889299</c:v>
                </c:pt>
                <c:pt idx="6">
                  <c:v>84.883720930232556</c:v>
                </c:pt>
                <c:pt idx="7">
                  <c:v>64.390243902439025</c:v>
                </c:pt>
                <c:pt idx="8">
                  <c:v>86.973180076628353</c:v>
                </c:pt>
                <c:pt idx="9">
                  <c:v>68.84615384615384</c:v>
                </c:pt>
                <c:pt idx="10">
                  <c:v>93.07692307692308</c:v>
                </c:pt>
                <c:pt idx="11">
                  <c:v>85.239852398523979</c:v>
                </c:pt>
              </c:numCache>
            </c:numRef>
          </c:val>
          <c:extLst>
            <c:ext xmlns:c16="http://schemas.microsoft.com/office/drawing/2014/chart" uri="{C3380CC4-5D6E-409C-BE32-E72D297353CC}">
              <c16:uniqueId val="{00000000-EA43-4B9A-95C0-7E91A13148AB}"/>
            </c:ext>
          </c:extLst>
        </c:ser>
        <c:ser>
          <c:idx val="1"/>
          <c:order val="1"/>
          <c:tx>
            <c:strRef>
              <c:f>'combined figure'!$AL$2</c:f>
              <c:strCache>
                <c:ptCount val="1"/>
                <c:pt idx="0">
                  <c:v>full-service</c:v>
                </c:pt>
              </c:strCache>
            </c:strRef>
          </c:tx>
          <c:spPr>
            <a:solidFill>
              <a:srgbClr val="88C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figure'!$AL$3:$AL$14</c:f>
              <c:numCache>
                <c:formatCode>0</c:formatCode>
                <c:ptCount val="12"/>
                <c:pt idx="0">
                  <c:v>64.38356164383562</c:v>
                </c:pt>
                <c:pt idx="1">
                  <c:v>69.117647058823522</c:v>
                </c:pt>
                <c:pt idx="2">
                  <c:v>98.630136986301366</c:v>
                </c:pt>
                <c:pt idx="3">
                  <c:v>98.611111111111114</c:v>
                </c:pt>
                <c:pt idx="4">
                  <c:v>74.626865671641795</c:v>
                </c:pt>
                <c:pt idx="5">
                  <c:v>97.142857142857139</c:v>
                </c:pt>
                <c:pt idx="6">
                  <c:v>52.631578947368418</c:v>
                </c:pt>
                <c:pt idx="7">
                  <c:v>82.142857142857139</c:v>
                </c:pt>
                <c:pt idx="8">
                  <c:v>92.64705882352942</c:v>
                </c:pt>
                <c:pt idx="9">
                  <c:v>95.588235294117652</c:v>
                </c:pt>
                <c:pt idx="10">
                  <c:v>97.058823529411768</c:v>
                </c:pt>
                <c:pt idx="11">
                  <c:v>85.714285714285708</c:v>
                </c:pt>
              </c:numCache>
            </c:numRef>
          </c:val>
          <c:extLst>
            <c:ext xmlns:c16="http://schemas.microsoft.com/office/drawing/2014/chart" uri="{C3380CC4-5D6E-409C-BE32-E72D297353CC}">
              <c16:uniqueId val="{00000001-EA43-4B9A-95C0-7E91A13148AB}"/>
            </c:ext>
          </c:extLst>
        </c:ser>
        <c:ser>
          <c:idx val="2"/>
          <c:order val="2"/>
          <c:tx>
            <c:strRef>
              <c:f>'combined figure'!$AM$2</c:f>
              <c:strCache>
                <c:ptCount val="1"/>
                <c:pt idx="0">
                  <c:v>hybrid-service</c:v>
                </c:pt>
              </c:strCache>
            </c:strRef>
          </c:tx>
          <c:spPr>
            <a:solidFill>
              <a:srgbClr val="AA337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figure'!$AM$3:$AM$14</c:f>
              <c:numCache>
                <c:formatCode>0</c:formatCode>
                <c:ptCount val="12"/>
                <c:pt idx="0">
                  <c:v>64</c:v>
                </c:pt>
                <c:pt idx="1">
                  <c:v>95.930232558139537</c:v>
                </c:pt>
                <c:pt idx="2">
                  <c:v>98.857142857142861</c:v>
                </c:pt>
                <c:pt idx="3">
                  <c:v>94.857142857142861</c:v>
                </c:pt>
                <c:pt idx="4">
                  <c:v>76.397515527950304</c:v>
                </c:pt>
                <c:pt idx="5">
                  <c:v>99.421965317919074</c:v>
                </c:pt>
                <c:pt idx="6">
                  <c:v>90.769230769230774</c:v>
                </c:pt>
                <c:pt idx="7">
                  <c:v>58.992805755395686</c:v>
                </c:pt>
                <c:pt idx="8">
                  <c:v>86.746987951807228</c:v>
                </c:pt>
                <c:pt idx="9">
                  <c:v>64.848484848484844</c:v>
                </c:pt>
                <c:pt idx="10">
                  <c:v>93.939393939393938</c:v>
                </c:pt>
                <c:pt idx="11">
                  <c:v>84.393063583815035</c:v>
                </c:pt>
              </c:numCache>
            </c:numRef>
          </c:val>
          <c:extLst>
            <c:ext xmlns:c16="http://schemas.microsoft.com/office/drawing/2014/chart" uri="{C3380CC4-5D6E-409C-BE32-E72D297353CC}">
              <c16:uniqueId val="{00000002-EA43-4B9A-95C0-7E91A13148AB}"/>
            </c:ext>
          </c:extLst>
        </c:ser>
        <c:ser>
          <c:idx val="3"/>
          <c:order val="3"/>
          <c:tx>
            <c:strRef>
              <c:f>'combined figure'!$AN$2</c:f>
              <c:strCache>
                <c:ptCount val="1"/>
                <c:pt idx="0">
                  <c:v>self-service</c:v>
                </c:pt>
              </c:strCache>
            </c:strRef>
          </c:tx>
          <c:spPr>
            <a:solidFill>
              <a:srgbClr val="EE667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'combined figure'!$B$3:$B$14</c:f>
              <c:strCache>
                <c:ptCount val="12"/>
                <c:pt idx="0">
                  <c:v>communicate satisfactorily with users</c:v>
                </c:pt>
                <c:pt idx="1">
                  <c:v>train users</c:v>
                </c:pt>
                <c:pt idx="2">
                  <c:v>provide information on experimental design</c:v>
                </c:pt>
                <c:pt idx="3">
                  <c:v>provide information on sample preparation</c:v>
                </c:pt>
                <c:pt idx="4">
                  <c:v>provide written standard experimental protocols</c:v>
                </c:pt>
                <c:pt idx="5">
                  <c:v>help troubleshoot</c:v>
                </c:pt>
                <c:pt idx="6">
                  <c:v>provide guidance how to analyse raw data</c:v>
                </c:pt>
                <c:pt idx="7">
                  <c:v>store raw data long term</c:v>
                </c:pt>
                <c:pt idx="8">
                  <c:v>backup data</c:v>
                </c:pt>
                <c:pt idx="9">
                  <c:v>keep documentation</c:v>
                </c:pt>
                <c:pt idx="10">
                  <c:v>provide support for writing material and methods</c:v>
                </c:pt>
                <c:pt idx="11">
                  <c:v>give guidance to increase data quality</c:v>
                </c:pt>
              </c:strCache>
            </c:strRef>
          </c:cat>
          <c:val>
            <c:numRef>
              <c:f>'combined figure'!$AN$3:$AN$14</c:f>
              <c:numCache>
                <c:formatCode>0</c:formatCode>
                <c:ptCount val="12"/>
                <c:pt idx="0">
                  <c:v>50</c:v>
                </c:pt>
                <c:pt idx="1">
                  <c:v>96.428571428571431</c:v>
                </c:pt>
                <c:pt idx="2">
                  <c:v>96.428571428571431</c:v>
                </c:pt>
                <c:pt idx="3">
                  <c:v>92.857142857142861</c:v>
                </c:pt>
                <c:pt idx="4">
                  <c:v>55.555555555555557</c:v>
                </c:pt>
                <c:pt idx="5">
                  <c:v>100</c:v>
                </c:pt>
                <c:pt idx="6">
                  <c:v>78.260869565217391</c:v>
                </c:pt>
                <c:pt idx="7">
                  <c:v>40</c:v>
                </c:pt>
                <c:pt idx="8">
                  <c:v>74.074074074074076</c:v>
                </c:pt>
                <c:pt idx="9">
                  <c:v>25.925925925925924</c:v>
                </c:pt>
                <c:pt idx="10">
                  <c:v>77.777777777777786</c:v>
                </c:pt>
                <c:pt idx="11">
                  <c:v>89.285714285714292</c:v>
                </c:pt>
              </c:numCache>
            </c:numRef>
          </c:val>
          <c:extLst>
            <c:ext xmlns:c16="http://schemas.microsoft.com/office/drawing/2014/chart" uri="{C3380CC4-5D6E-409C-BE32-E72D297353CC}">
              <c16:uniqueId val="{00000004-EA43-4B9A-95C0-7E91A13148AB}"/>
            </c:ext>
          </c:extLst>
        </c:ser>
        <c:dLbls>
          <c:showLegendKey val="0"/>
          <c:showVal val="0"/>
          <c:showCatName val="0"/>
          <c:showSerName val="0"/>
          <c:showPercent val="0"/>
          <c:showBubbleSize val="0"/>
        </c:dLbls>
        <c:gapWidth val="150"/>
        <c:axId val="436564504"/>
        <c:axId val="436572376"/>
      </c:barChart>
      <c:catAx>
        <c:axId val="4365645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6572376"/>
        <c:crosses val="autoZero"/>
        <c:auto val="1"/>
        <c:lblAlgn val="ctr"/>
        <c:lblOffset val="100"/>
        <c:noMultiLvlLbl val="0"/>
      </c:catAx>
      <c:valAx>
        <c:axId val="43657237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6564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If NOT using a communication software, would it make sense to use one?</a:t>
            </a:r>
            <a:endParaRPr lang="en-GB" sz="1400">
              <a:effectLst/>
            </a:endParaRPr>
          </a:p>
        </c:rich>
      </c:tx>
      <c:layout>
        <c:manualLayout>
          <c:xMode val="edge"/>
          <c:yMode val="edge"/>
          <c:x val="0.12549666868564507"/>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B05-44C2-A18E-49857AF87E5A}"/>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CB05-44C2-A18E-49857AF87E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B05-44C2-A18E-49857AF87E5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'2'!$CL$2:$CL$3</c:f>
              <c:strCache>
                <c:ptCount val="2"/>
                <c:pt idx="0">
                  <c:v>yes</c:v>
                </c:pt>
                <c:pt idx="1">
                  <c:v>no</c:v>
                </c:pt>
              </c:strCache>
            </c:strRef>
          </c:cat>
          <c:val>
            <c:numRef>
              <c:f>'2'!$CM$2:$CM$3</c:f>
              <c:numCache>
                <c:formatCode>General</c:formatCode>
                <c:ptCount val="2"/>
                <c:pt idx="0">
                  <c:v>100</c:v>
                </c:pt>
                <c:pt idx="1">
                  <c:v>109</c:v>
                </c:pt>
              </c:numCache>
            </c:numRef>
          </c:val>
          <c:extLst>
            <c:ext xmlns:c16="http://schemas.microsoft.com/office/drawing/2014/chart" uri="{C3380CC4-5D6E-409C-BE32-E72D297353CC}">
              <c16:uniqueId val="{00000000-288B-4628-8124-1508D4568E7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If using communication software, does communication still need improvement?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D28-48FC-83F7-45E4960CE43F}"/>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D28-48FC-83F7-45E4960CE4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'2'!$CF$2:$CF$3</c:f>
              <c:strCache>
                <c:ptCount val="2"/>
                <c:pt idx="0">
                  <c:v>yes</c:v>
                </c:pt>
                <c:pt idx="1">
                  <c:v>no</c:v>
                </c:pt>
              </c:strCache>
            </c:strRef>
          </c:cat>
          <c:val>
            <c:numRef>
              <c:f>'2'!$CG$2:$CG$3</c:f>
              <c:numCache>
                <c:formatCode>General</c:formatCode>
                <c:ptCount val="2"/>
                <c:pt idx="0">
                  <c:v>36</c:v>
                </c:pt>
                <c:pt idx="1">
                  <c:v>44</c:v>
                </c:pt>
              </c:numCache>
            </c:numRef>
          </c:val>
          <c:extLst>
            <c:ext xmlns:c16="http://schemas.microsoft.com/office/drawing/2014/chart" uri="{C3380CC4-5D6E-409C-BE32-E72D297353CC}">
              <c16:uniqueId val="{00000000-0DF1-43FF-9CC3-E6B893BA324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If NOT using communication software, does communication need improvement?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CA0-4D0B-A0E7-15A55EB9A93E}"/>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9CA0-4D0B-A0E7-15A55EB9A93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'2'!$CI$2:$CI$3</c:f>
              <c:strCache>
                <c:ptCount val="2"/>
                <c:pt idx="0">
                  <c:v>yes</c:v>
                </c:pt>
                <c:pt idx="1">
                  <c:v>no</c:v>
                </c:pt>
              </c:strCache>
            </c:strRef>
          </c:cat>
          <c:val>
            <c:numRef>
              <c:f>'2'!$CJ$2:$CJ$3</c:f>
              <c:numCache>
                <c:formatCode>General</c:formatCode>
                <c:ptCount val="2"/>
                <c:pt idx="0">
                  <c:v>67</c:v>
                </c:pt>
                <c:pt idx="1">
                  <c:v>129</c:v>
                </c:pt>
              </c:numCache>
            </c:numRef>
          </c:val>
          <c:extLst>
            <c:ext xmlns:c16="http://schemas.microsoft.com/office/drawing/2014/chart" uri="{C3380CC4-5D6E-409C-BE32-E72D297353CC}">
              <c16:uniqueId val="{00000000-7C22-4FB4-986C-8EB7B8A9F3A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 with users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cat>
            <c:strRef>
              <c:f>'2'!$V$2:$V$10</c:f>
              <c:strCache>
                <c:ptCount val="9"/>
                <c:pt idx="0">
                  <c:v>email</c:v>
                </c:pt>
                <c:pt idx="1">
                  <c:v>in person</c:v>
                </c:pt>
                <c:pt idx="2">
                  <c:v>phone</c:v>
                </c:pt>
                <c:pt idx="3">
                  <c:v>seminars/workshops</c:v>
                </c:pt>
                <c:pt idx="4">
                  <c:v>website</c:v>
                </c:pt>
                <c:pt idx="5">
                  <c:v>user group meeting</c:v>
                </c:pt>
                <c:pt idx="6">
                  <c:v>communication/management software</c:v>
                </c:pt>
                <c:pt idx="7">
                  <c:v>social media</c:v>
                </c:pt>
                <c:pt idx="8">
                  <c:v>other</c:v>
                </c:pt>
              </c:strCache>
            </c:strRef>
          </c:cat>
          <c:val>
            <c:numRef>
              <c:f>'2'!$W$2:$W$10</c:f>
              <c:numCache>
                <c:formatCode>General</c:formatCode>
                <c:ptCount val="9"/>
                <c:pt idx="0">
                  <c:v>266</c:v>
                </c:pt>
                <c:pt idx="1">
                  <c:v>255</c:v>
                </c:pt>
                <c:pt idx="2">
                  <c:v>176</c:v>
                </c:pt>
                <c:pt idx="3">
                  <c:v>122</c:v>
                </c:pt>
                <c:pt idx="4">
                  <c:v>110</c:v>
                </c:pt>
                <c:pt idx="5">
                  <c:v>83</c:v>
                </c:pt>
                <c:pt idx="6">
                  <c:v>70</c:v>
                </c:pt>
                <c:pt idx="7">
                  <c:v>32</c:v>
                </c:pt>
                <c:pt idx="8">
                  <c:v>10</c:v>
                </c:pt>
              </c:numCache>
            </c:numRef>
          </c:val>
          <c:extLst>
            <c:ext xmlns:c16="http://schemas.microsoft.com/office/drawing/2014/chart" uri="{C3380CC4-5D6E-409C-BE32-E72D297353CC}">
              <c16:uniqueId val="{00000000-8D74-47B1-A9FE-525AA0AB537C}"/>
            </c:ext>
          </c:extLst>
        </c:ser>
        <c:dLbls>
          <c:showLegendKey val="0"/>
          <c:showVal val="0"/>
          <c:showCatName val="0"/>
          <c:showSerName val="0"/>
          <c:showPercent val="0"/>
          <c:showBubbleSize val="0"/>
        </c:dLbls>
        <c:gapWidth val="130"/>
        <c:axId val="611822728"/>
        <c:axId val="611823056"/>
      </c:barChart>
      <c:catAx>
        <c:axId val="611822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1823056"/>
        <c:crosses val="autoZero"/>
        <c:auto val="1"/>
        <c:lblAlgn val="ctr"/>
        <c:lblOffset val="100"/>
        <c:noMultiLvlLbl val="0"/>
      </c:catAx>
      <c:valAx>
        <c:axId val="611823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1822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baseline="0">
                <a:solidFill>
                  <a:schemeClr val="tx1">
                    <a:lumMod val="65000"/>
                    <a:lumOff val="35000"/>
                  </a:schemeClr>
                </a:solidFill>
                <a:latin typeface="+mn-lt"/>
                <a:ea typeface="+mn-ea"/>
                <a:cs typeface="+mn-cs"/>
              </a:defRPr>
            </a:pPr>
            <a:r>
              <a:rPr lang="en-GB" sz="1400"/>
              <a:t>Communication / management Software used:</a:t>
            </a:r>
          </a:p>
        </c:rich>
      </c:tx>
      <c:overlay val="0"/>
      <c:spPr>
        <a:noFill/>
        <a:ln>
          <a:noFill/>
        </a:ln>
        <a:effectLst/>
      </c:spPr>
      <c:txPr>
        <a:bodyPr rot="0" spcFirstLastPara="1" vertOverflow="ellipsis" vert="horz" wrap="square" anchor="ctr" anchorCtr="1"/>
        <a:lstStyle/>
        <a:p>
          <a:pPr>
            <a:defRPr sz="1400" b="1" i="0" u="none" strike="noStrike" kern="1200" cap="all"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rgbClr val="4477AA"/>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EDBD-41CF-84B1-9CAFC155C3AF}"/>
              </c:ext>
            </c:extLst>
          </c:dPt>
          <c:dPt>
            <c:idx val="1"/>
            <c:bubble3D val="0"/>
            <c:spPr>
              <a:solidFill>
                <a:srgbClr val="66CCEE"/>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EDBD-41CF-84B1-9CAFC155C3AF}"/>
              </c:ext>
            </c:extLst>
          </c:dPt>
          <c:dPt>
            <c:idx val="2"/>
            <c:bubble3D val="0"/>
            <c:spPr>
              <a:solidFill>
                <a:srgbClr val="22883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EDBD-41CF-84B1-9CAFC155C3AF}"/>
              </c:ext>
            </c:extLst>
          </c:dPt>
          <c:dPt>
            <c:idx val="3"/>
            <c:bubble3D val="0"/>
            <c:spPr>
              <a:solidFill>
                <a:srgbClr val="CCBB4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EDBD-41CF-84B1-9CAFC155C3AF}"/>
              </c:ext>
            </c:extLst>
          </c:dPt>
          <c:dPt>
            <c:idx val="4"/>
            <c:bubble3D val="0"/>
            <c:spPr>
              <a:solidFill>
                <a:srgbClr val="AA3377"/>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EDBD-41CF-84B1-9CAFC155C3AF}"/>
              </c:ext>
            </c:extLst>
          </c:dPt>
          <c:dPt>
            <c:idx val="5"/>
            <c:bubble3D val="0"/>
            <c:spPr>
              <a:solidFill>
                <a:srgbClr val="EE6677"/>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EDBD-41CF-84B1-9CAFC155C3AF}"/>
              </c:ext>
            </c:extLst>
          </c:dPt>
          <c:dPt>
            <c:idx val="6"/>
            <c:bubble3D val="0"/>
            <c:spPr>
              <a:solidFill>
                <a:srgbClr val="BBBBBB"/>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C-54FA-4FCE-9F8A-17BBB9F42EA0}"/>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4477AA"/>
                      </a:solidFill>
                      <a:latin typeface="+mn-lt"/>
                      <a:ea typeface="+mn-ea"/>
                      <a:cs typeface="+mn-cs"/>
                    </a:defRPr>
                  </a:pPr>
                  <a:endParaRPr lang="de-DE"/>
                </a:p>
              </c:txPr>
              <c:dLblPos val="outEnd"/>
              <c:showLegendKey val="0"/>
              <c:showVal val="0"/>
              <c:showCatName val="1"/>
              <c:showSerName val="0"/>
              <c:showPercent val="1"/>
              <c:showBubbleSize val="0"/>
              <c:extLst>
                <c:ext xmlns:c16="http://schemas.microsoft.com/office/drawing/2014/chart" uri="{C3380CC4-5D6E-409C-BE32-E72D297353CC}">
                  <c16:uniqueId val="{00000001-EDBD-41CF-84B1-9CAFC155C3A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0F0"/>
                      </a:solidFill>
                      <a:latin typeface="+mn-lt"/>
                      <a:ea typeface="+mn-ea"/>
                      <a:cs typeface="+mn-cs"/>
                    </a:defRPr>
                  </a:pPr>
                  <a:endParaRPr lang="de-DE"/>
                </a:p>
              </c:txPr>
              <c:dLblPos val="outEnd"/>
              <c:showLegendKey val="0"/>
              <c:showVal val="0"/>
              <c:showCatName val="1"/>
              <c:showSerName val="0"/>
              <c:showPercent val="1"/>
              <c:showBubbleSize val="0"/>
              <c:extLst>
                <c:ext xmlns:c16="http://schemas.microsoft.com/office/drawing/2014/chart" uri="{C3380CC4-5D6E-409C-BE32-E72D297353CC}">
                  <c16:uniqueId val="{00000002-EDBD-41CF-84B1-9CAFC155C3A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228833"/>
                      </a:solidFill>
                      <a:latin typeface="+mn-lt"/>
                      <a:ea typeface="+mn-ea"/>
                      <a:cs typeface="+mn-cs"/>
                    </a:defRPr>
                  </a:pPr>
                  <a:endParaRPr lang="de-DE"/>
                </a:p>
              </c:txPr>
              <c:dLblPos val="outEnd"/>
              <c:showLegendKey val="0"/>
              <c:showVal val="0"/>
              <c:showCatName val="1"/>
              <c:showSerName val="0"/>
              <c:showPercent val="1"/>
              <c:showBubbleSize val="0"/>
              <c:extLst>
                <c:ext xmlns:c16="http://schemas.microsoft.com/office/drawing/2014/chart" uri="{C3380CC4-5D6E-409C-BE32-E72D297353CC}">
                  <c16:uniqueId val="{00000003-EDBD-41CF-84B1-9CAFC155C3A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B5A531"/>
                      </a:solidFill>
                      <a:latin typeface="+mn-lt"/>
                      <a:ea typeface="+mn-ea"/>
                      <a:cs typeface="+mn-cs"/>
                    </a:defRPr>
                  </a:pPr>
                  <a:endParaRPr lang="de-DE"/>
                </a:p>
              </c:txPr>
              <c:dLblPos val="outEnd"/>
              <c:showLegendKey val="0"/>
              <c:showVal val="0"/>
              <c:showCatName val="1"/>
              <c:showSerName val="0"/>
              <c:showPercent val="1"/>
              <c:showBubbleSize val="0"/>
              <c:extLst>
                <c:ext xmlns:c16="http://schemas.microsoft.com/office/drawing/2014/chart" uri="{C3380CC4-5D6E-409C-BE32-E72D297353CC}">
                  <c16:uniqueId val="{00000004-EDBD-41CF-84B1-9CAFC155C3A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AA3377"/>
                      </a:solidFill>
                      <a:latin typeface="+mn-lt"/>
                      <a:ea typeface="+mn-ea"/>
                      <a:cs typeface="+mn-cs"/>
                    </a:defRPr>
                  </a:pPr>
                  <a:endParaRPr lang="de-DE"/>
                </a:p>
              </c:txPr>
              <c:dLblPos val="outEnd"/>
              <c:showLegendKey val="0"/>
              <c:showVal val="0"/>
              <c:showCatName val="1"/>
              <c:showSerName val="0"/>
              <c:showPercent val="1"/>
              <c:showBubbleSize val="0"/>
              <c:extLst>
                <c:ext xmlns:c16="http://schemas.microsoft.com/office/drawing/2014/chart" uri="{C3380CC4-5D6E-409C-BE32-E72D297353CC}">
                  <c16:uniqueId val="{00000005-EDBD-41CF-84B1-9CAFC155C3A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E6677"/>
                      </a:solidFill>
                      <a:latin typeface="+mn-lt"/>
                      <a:ea typeface="+mn-ea"/>
                      <a:cs typeface="+mn-cs"/>
                    </a:defRPr>
                  </a:pPr>
                  <a:endParaRPr lang="de-DE"/>
                </a:p>
              </c:txPr>
              <c:dLblPos val="outEnd"/>
              <c:showLegendKey val="0"/>
              <c:showVal val="0"/>
              <c:showCatName val="1"/>
              <c:showSerName val="0"/>
              <c:showPercent val="1"/>
              <c:showBubbleSize val="0"/>
              <c:extLst>
                <c:ext xmlns:c16="http://schemas.microsoft.com/office/drawing/2014/chart" uri="{C3380CC4-5D6E-409C-BE32-E72D297353CC}">
                  <c16:uniqueId val="{00000006-EDBD-41CF-84B1-9CAFC155C3AF}"/>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lumMod val="50000"/>
                        </a:schemeClr>
                      </a:solidFill>
                      <a:latin typeface="+mn-lt"/>
                      <a:ea typeface="+mn-ea"/>
                      <a:cs typeface="+mn-cs"/>
                    </a:defRPr>
                  </a:pPr>
                  <a:endParaRPr lang="de-DE"/>
                </a:p>
              </c:txPr>
              <c:dLblPos val="outEnd"/>
              <c:showLegendKey val="0"/>
              <c:showVal val="0"/>
              <c:showCatName val="1"/>
              <c:showSerName val="0"/>
              <c:showPercent val="1"/>
              <c:showBubbleSize val="0"/>
              <c:extLst>
                <c:ext xmlns:c16="http://schemas.microsoft.com/office/drawing/2014/chart" uri="{C3380CC4-5D6E-409C-BE32-E72D297353CC}">
                  <c16:uniqueId val="{0000000C-54FA-4FCE-9F8A-17BBB9F42EA0}"/>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'2'!$BQ$2:$BQ$8</c:f>
              <c:strCache>
                <c:ptCount val="7"/>
                <c:pt idx="0">
                  <c:v>PPMS</c:v>
                </c:pt>
                <c:pt idx="1">
                  <c:v>iLab</c:v>
                </c:pt>
                <c:pt idx="2">
                  <c:v>Open IRIS</c:v>
                </c:pt>
                <c:pt idx="3">
                  <c:v>Slack</c:v>
                </c:pt>
                <c:pt idx="4">
                  <c:v>Agendo</c:v>
                </c:pt>
                <c:pt idx="5">
                  <c:v>LIMS, ELN</c:v>
                </c:pt>
                <c:pt idx="6">
                  <c:v>other</c:v>
                </c:pt>
              </c:strCache>
            </c:strRef>
          </c:cat>
          <c:val>
            <c:numRef>
              <c:f>'2'!$BR$2:$BR$8</c:f>
              <c:numCache>
                <c:formatCode>0</c:formatCode>
                <c:ptCount val="7"/>
                <c:pt idx="0">
                  <c:v>13.402061855670103</c:v>
                </c:pt>
                <c:pt idx="1">
                  <c:v>9.2783505154639183</c:v>
                </c:pt>
                <c:pt idx="2">
                  <c:v>8.2474226804123703</c:v>
                </c:pt>
                <c:pt idx="3">
                  <c:v>6.1855670103092786</c:v>
                </c:pt>
                <c:pt idx="4">
                  <c:v>4.1237113402061851</c:v>
                </c:pt>
                <c:pt idx="5">
                  <c:v>34.020618556701031</c:v>
                </c:pt>
                <c:pt idx="6">
                  <c:v>24.742268041237114</c:v>
                </c:pt>
              </c:numCache>
            </c:numRef>
          </c:val>
          <c:extLst>
            <c:ext xmlns:c16="http://schemas.microsoft.com/office/drawing/2014/chart" uri="{C3380CC4-5D6E-409C-BE32-E72D297353CC}">
              <c16:uniqueId val="{00000000-EDBD-41CF-84B1-9CAFC155C3A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How to improve communication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cat>
            <c:strRef>
              <c:f>'2'!$AX$2:$AX$14</c:f>
              <c:strCache>
                <c:ptCount val="13"/>
                <c:pt idx="0">
                  <c:v>communication/management software</c:v>
                </c:pt>
                <c:pt idx="1">
                  <c:v>chat, social media, discussion platform</c:v>
                </c:pt>
                <c:pt idx="2">
                  <c:v>get the users read + cooperate</c:v>
                </c:pt>
                <c:pt idx="3">
                  <c:v>more seminars</c:v>
                </c:pt>
                <c:pt idx="4">
                  <c:v>more visibility/advertising</c:v>
                </c:pt>
                <c:pt idx="5">
                  <c:v>better website</c:v>
                </c:pt>
                <c:pt idx="6">
                  <c:v>more staff/time</c:v>
                </c:pt>
                <c:pt idx="7">
                  <c:v>feedback from users</c:v>
                </c:pt>
                <c:pt idx="8">
                  <c:v>automation</c:v>
                </c:pt>
                <c:pt idx="9">
                  <c:v>early involvement</c:v>
                </c:pt>
                <c:pt idx="10">
                  <c:v>PI involvement</c:v>
                </c:pt>
                <c:pt idx="11">
                  <c:v>open door hours</c:v>
                </c:pt>
                <c:pt idx="12">
                  <c:v>better follow-up</c:v>
                </c:pt>
              </c:strCache>
            </c:strRef>
          </c:cat>
          <c:val>
            <c:numRef>
              <c:f>'2'!$AY$2:$AY$14</c:f>
              <c:numCache>
                <c:formatCode>General</c:formatCode>
                <c:ptCount val="13"/>
                <c:pt idx="0">
                  <c:v>20</c:v>
                </c:pt>
                <c:pt idx="1">
                  <c:v>14</c:v>
                </c:pt>
                <c:pt idx="2">
                  <c:v>13</c:v>
                </c:pt>
                <c:pt idx="3">
                  <c:v>7</c:v>
                </c:pt>
                <c:pt idx="4">
                  <c:v>7</c:v>
                </c:pt>
                <c:pt idx="5">
                  <c:v>5</c:v>
                </c:pt>
                <c:pt idx="6">
                  <c:v>4</c:v>
                </c:pt>
                <c:pt idx="7">
                  <c:v>4</c:v>
                </c:pt>
                <c:pt idx="8">
                  <c:v>4</c:v>
                </c:pt>
                <c:pt idx="9">
                  <c:v>3</c:v>
                </c:pt>
                <c:pt idx="10">
                  <c:v>1</c:v>
                </c:pt>
                <c:pt idx="11">
                  <c:v>1</c:v>
                </c:pt>
                <c:pt idx="12">
                  <c:v>1</c:v>
                </c:pt>
              </c:numCache>
            </c:numRef>
          </c:val>
          <c:extLst>
            <c:ext xmlns:c16="http://schemas.microsoft.com/office/drawing/2014/chart" uri="{C3380CC4-5D6E-409C-BE32-E72D297353CC}">
              <c16:uniqueId val="{00000000-099E-4BA0-9509-E073DD178B06}"/>
            </c:ext>
          </c:extLst>
        </c:ser>
        <c:dLbls>
          <c:showLegendKey val="0"/>
          <c:showVal val="0"/>
          <c:showCatName val="0"/>
          <c:showSerName val="0"/>
          <c:showPercent val="0"/>
          <c:showBubbleSize val="0"/>
        </c:dLbls>
        <c:gapWidth val="130"/>
        <c:axId val="489859288"/>
        <c:axId val="489861912"/>
      </c:barChart>
      <c:catAx>
        <c:axId val="489859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9861912"/>
        <c:crosses val="autoZero"/>
        <c:auto val="1"/>
        <c:lblAlgn val="ctr"/>
        <c:lblOffset val="100"/>
        <c:noMultiLvlLbl val="0"/>
      </c:catAx>
      <c:valAx>
        <c:axId val="489861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9859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de-D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Obstacles using a communication platform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cat>
            <c:strRef>
              <c:f>'2'!$CO$2:$CO$7</c:f>
              <c:strCache>
                <c:ptCount val="6"/>
                <c:pt idx="0">
                  <c:v>user involvement, overload</c:v>
                </c:pt>
                <c:pt idx="1">
                  <c:v>heterogeneity, complexity, customisation</c:v>
                </c:pt>
                <c:pt idx="2">
                  <c:v>implementation, maintenance</c:v>
                </c:pt>
                <c:pt idx="3">
                  <c:v>cost, time</c:v>
                </c:pt>
                <c:pt idx="4">
                  <c:v>data protection</c:v>
                </c:pt>
                <c:pt idx="5">
                  <c:v>discussion is better</c:v>
                </c:pt>
              </c:strCache>
            </c:strRef>
          </c:cat>
          <c:val>
            <c:numRef>
              <c:f>'2'!$CP$2:$CP$7</c:f>
              <c:numCache>
                <c:formatCode>General</c:formatCode>
                <c:ptCount val="6"/>
                <c:pt idx="0">
                  <c:v>18</c:v>
                </c:pt>
                <c:pt idx="1">
                  <c:v>19</c:v>
                </c:pt>
                <c:pt idx="2">
                  <c:v>12</c:v>
                </c:pt>
                <c:pt idx="3">
                  <c:v>11</c:v>
                </c:pt>
                <c:pt idx="4">
                  <c:v>10</c:v>
                </c:pt>
                <c:pt idx="5">
                  <c:v>8</c:v>
                </c:pt>
              </c:numCache>
            </c:numRef>
          </c:val>
          <c:extLst>
            <c:ext xmlns:c16="http://schemas.microsoft.com/office/drawing/2014/chart" uri="{C3380CC4-5D6E-409C-BE32-E72D297353CC}">
              <c16:uniqueId val="{00000000-608D-4C20-81DD-BF559D3C6FDD}"/>
            </c:ext>
          </c:extLst>
        </c:ser>
        <c:dLbls>
          <c:showLegendKey val="0"/>
          <c:showVal val="0"/>
          <c:showCatName val="0"/>
          <c:showSerName val="0"/>
          <c:showPercent val="0"/>
          <c:showBubbleSize val="0"/>
        </c:dLbls>
        <c:gapWidth val="130"/>
        <c:axId val="635091432"/>
        <c:axId val="635091760"/>
      </c:barChart>
      <c:catAx>
        <c:axId val="635091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5091760"/>
        <c:crosses val="autoZero"/>
        <c:auto val="1"/>
        <c:lblAlgn val="ctr"/>
        <c:lblOffset val="100"/>
        <c:noMultiLvlLbl val="0"/>
      </c:catAx>
      <c:valAx>
        <c:axId val="6350917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5091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a:t>
            </a:r>
            <a:r>
              <a:rPr lang="en-GB" baseline="0"/>
              <a:t> with users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'2'!$V$2</c:f>
              <c:strCache>
                <c:ptCount val="1"/>
                <c:pt idx="0">
                  <c:v>email</c:v>
                </c:pt>
              </c:strCache>
            </c:strRef>
          </c:tx>
          <c:spPr>
            <a:solidFill>
              <a:srgbClr val="CC6677"/>
            </a:solidFill>
            <a:ln>
              <a:noFill/>
            </a:ln>
            <a:effectLst/>
          </c:spPr>
          <c:invertIfNegative val="0"/>
          <c:cat>
            <c:strRef>
              <c:f>'2'!$AA$1:$AH$1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'2'!$AA$2:$AH$2</c:f>
              <c:numCache>
                <c:formatCode>General</c:formatCode>
                <c:ptCount val="8"/>
                <c:pt idx="0">
                  <c:v>49</c:v>
                </c:pt>
                <c:pt idx="1">
                  <c:v>33</c:v>
                </c:pt>
                <c:pt idx="2">
                  <c:v>11</c:v>
                </c:pt>
                <c:pt idx="3">
                  <c:v>8</c:v>
                </c:pt>
                <c:pt idx="4">
                  <c:v>60</c:v>
                </c:pt>
                <c:pt idx="5">
                  <c:v>15</c:v>
                </c:pt>
                <c:pt idx="6">
                  <c:v>8</c:v>
                </c:pt>
                <c:pt idx="7">
                  <c:v>32</c:v>
                </c:pt>
              </c:numCache>
            </c:numRef>
          </c:val>
          <c:extLst>
            <c:ext xmlns:c16="http://schemas.microsoft.com/office/drawing/2014/chart" uri="{C3380CC4-5D6E-409C-BE32-E72D297353CC}">
              <c16:uniqueId val="{00000000-E7CF-4EFF-A293-5FD05E193412}"/>
            </c:ext>
          </c:extLst>
        </c:ser>
        <c:ser>
          <c:idx val="1"/>
          <c:order val="1"/>
          <c:tx>
            <c:strRef>
              <c:f>'2'!$V$3</c:f>
              <c:strCache>
                <c:ptCount val="1"/>
                <c:pt idx="0">
                  <c:v>in person</c:v>
                </c:pt>
              </c:strCache>
            </c:strRef>
          </c:tx>
          <c:spPr>
            <a:solidFill>
              <a:srgbClr val="332288"/>
            </a:solidFill>
            <a:ln>
              <a:noFill/>
            </a:ln>
            <a:effectLst/>
          </c:spPr>
          <c:invertIfNegative val="0"/>
          <c:cat>
            <c:strRef>
              <c:f>'2'!$AA$1:$AH$1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'2'!$AA$3:$AH$3</c:f>
              <c:numCache>
                <c:formatCode>General</c:formatCode>
                <c:ptCount val="8"/>
                <c:pt idx="0">
                  <c:v>44</c:v>
                </c:pt>
                <c:pt idx="1">
                  <c:v>31</c:v>
                </c:pt>
                <c:pt idx="2">
                  <c:v>10</c:v>
                </c:pt>
                <c:pt idx="3">
                  <c:v>8</c:v>
                </c:pt>
                <c:pt idx="4">
                  <c:v>60</c:v>
                </c:pt>
                <c:pt idx="5">
                  <c:v>14</c:v>
                </c:pt>
                <c:pt idx="6">
                  <c:v>8</c:v>
                </c:pt>
                <c:pt idx="7">
                  <c:v>31</c:v>
                </c:pt>
              </c:numCache>
            </c:numRef>
          </c:val>
          <c:extLst>
            <c:ext xmlns:c16="http://schemas.microsoft.com/office/drawing/2014/chart" uri="{C3380CC4-5D6E-409C-BE32-E72D297353CC}">
              <c16:uniqueId val="{00000001-E7CF-4EFF-A293-5FD05E193412}"/>
            </c:ext>
          </c:extLst>
        </c:ser>
        <c:ser>
          <c:idx val="2"/>
          <c:order val="2"/>
          <c:tx>
            <c:strRef>
              <c:f>'2'!$V$4</c:f>
              <c:strCache>
                <c:ptCount val="1"/>
                <c:pt idx="0">
                  <c:v>phone</c:v>
                </c:pt>
              </c:strCache>
            </c:strRef>
          </c:tx>
          <c:spPr>
            <a:solidFill>
              <a:srgbClr val="DDCC77"/>
            </a:solidFill>
            <a:ln>
              <a:noFill/>
            </a:ln>
            <a:effectLst/>
          </c:spPr>
          <c:invertIfNegative val="0"/>
          <c:cat>
            <c:strRef>
              <c:f>'2'!$AA$1:$AH$1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'2'!$AA$4:$AH$4</c:f>
              <c:numCache>
                <c:formatCode>General</c:formatCode>
                <c:ptCount val="8"/>
                <c:pt idx="0">
                  <c:v>29</c:v>
                </c:pt>
                <c:pt idx="1">
                  <c:v>24</c:v>
                </c:pt>
                <c:pt idx="2">
                  <c:v>6</c:v>
                </c:pt>
                <c:pt idx="3">
                  <c:v>4</c:v>
                </c:pt>
                <c:pt idx="4">
                  <c:v>36</c:v>
                </c:pt>
                <c:pt idx="5">
                  <c:v>9</c:v>
                </c:pt>
                <c:pt idx="6">
                  <c:v>7</c:v>
                </c:pt>
                <c:pt idx="7">
                  <c:v>26</c:v>
                </c:pt>
              </c:numCache>
            </c:numRef>
          </c:val>
          <c:extLst>
            <c:ext xmlns:c16="http://schemas.microsoft.com/office/drawing/2014/chart" uri="{C3380CC4-5D6E-409C-BE32-E72D297353CC}">
              <c16:uniqueId val="{00000002-E7CF-4EFF-A293-5FD05E193412}"/>
            </c:ext>
          </c:extLst>
        </c:ser>
        <c:ser>
          <c:idx val="3"/>
          <c:order val="3"/>
          <c:tx>
            <c:strRef>
              <c:f>'2'!$V$5</c:f>
              <c:strCache>
                <c:ptCount val="1"/>
                <c:pt idx="0">
                  <c:v>seminars/workshops</c:v>
                </c:pt>
              </c:strCache>
            </c:strRef>
          </c:tx>
          <c:spPr>
            <a:solidFill>
              <a:srgbClr val="117733"/>
            </a:solidFill>
            <a:ln>
              <a:noFill/>
            </a:ln>
            <a:effectLst/>
          </c:spPr>
          <c:invertIfNegative val="0"/>
          <c:cat>
            <c:strRef>
              <c:f>'2'!$AA$1:$AH$1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'2'!$AA$5:$AH$5</c:f>
              <c:numCache>
                <c:formatCode>General</c:formatCode>
                <c:ptCount val="8"/>
                <c:pt idx="0">
                  <c:v>27</c:v>
                </c:pt>
                <c:pt idx="1">
                  <c:v>17</c:v>
                </c:pt>
                <c:pt idx="2">
                  <c:v>5</c:v>
                </c:pt>
                <c:pt idx="3">
                  <c:v>4</c:v>
                </c:pt>
                <c:pt idx="4">
                  <c:v>31</c:v>
                </c:pt>
                <c:pt idx="5">
                  <c:v>3</c:v>
                </c:pt>
                <c:pt idx="6">
                  <c:v>6</c:v>
                </c:pt>
                <c:pt idx="7">
                  <c:v>10</c:v>
                </c:pt>
              </c:numCache>
            </c:numRef>
          </c:val>
          <c:extLst>
            <c:ext xmlns:c16="http://schemas.microsoft.com/office/drawing/2014/chart" uri="{C3380CC4-5D6E-409C-BE32-E72D297353CC}">
              <c16:uniqueId val="{00000003-E7CF-4EFF-A293-5FD05E193412}"/>
            </c:ext>
          </c:extLst>
        </c:ser>
        <c:ser>
          <c:idx val="4"/>
          <c:order val="4"/>
          <c:tx>
            <c:strRef>
              <c:f>'2'!$V$6</c:f>
              <c:strCache>
                <c:ptCount val="1"/>
                <c:pt idx="0">
                  <c:v>website</c:v>
                </c:pt>
              </c:strCache>
            </c:strRef>
          </c:tx>
          <c:spPr>
            <a:solidFill>
              <a:srgbClr val="88CCEE"/>
            </a:solidFill>
            <a:ln>
              <a:noFill/>
            </a:ln>
            <a:effectLst/>
          </c:spPr>
          <c:invertIfNegative val="0"/>
          <c:cat>
            <c:strRef>
              <c:f>'2'!$AA$1:$AH$1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'2'!$AA$6:$AH$6</c:f>
              <c:numCache>
                <c:formatCode>General</c:formatCode>
                <c:ptCount val="8"/>
                <c:pt idx="0">
                  <c:v>18</c:v>
                </c:pt>
                <c:pt idx="1">
                  <c:v>18</c:v>
                </c:pt>
                <c:pt idx="2">
                  <c:v>5</c:v>
                </c:pt>
                <c:pt idx="3">
                  <c:v>3</c:v>
                </c:pt>
                <c:pt idx="4">
                  <c:v>36</c:v>
                </c:pt>
                <c:pt idx="5">
                  <c:v>3</c:v>
                </c:pt>
                <c:pt idx="6">
                  <c:v>5</c:v>
                </c:pt>
                <c:pt idx="7">
                  <c:v>10</c:v>
                </c:pt>
              </c:numCache>
            </c:numRef>
          </c:val>
          <c:extLst>
            <c:ext xmlns:c16="http://schemas.microsoft.com/office/drawing/2014/chart" uri="{C3380CC4-5D6E-409C-BE32-E72D297353CC}">
              <c16:uniqueId val="{00000004-E7CF-4EFF-A293-5FD05E193412}"/>
            </c:ext>
          </c:extLst>
        </c:ser>
        <c:ser>
          <c:idx val="5"/>
          <c:order val="5"/>
          <c:tx>
            <c:strRef>
              <c:f>'2'!$V$7</c:f>
              <c:strCache>
                <c:ptCount val="1"/>
                <c:pt idx="0">
                  <c:v>user group meeting</c:v>
                </c:pt>
              </c:strCache>
            </c:strRef>
          </c:tx>
          <c:spPr>
            <a:solidFill>
              <a:srgbClr val="882255"/>
            </a:solidFill>
            <a:ln>
              <a:noFill/>
            </a:ln>
            <a:effectLst/>
          </c:spPr>
          <c:invertIfNegative val="0"/>
          <c:cat>
            <c:strRef>
              <c:f>'2'!$AA$1:$AH$1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'2'!$AA$7:$AH$7</c:f>
              <c:numCache>
                <c:formatCode>General</c:formatCode>
                <c:ptCount val="8"/>
                <c:pt idx="0">
                  <c:v>10</c:v>
                </c:pt>
                <c:pt idx="1">
                  <c:v>9</c:v>
                </c:pt>
                <c:pt idx="2">
                  <c:v>3</c:v>
                </c:pt>
                <c:pt idx="3">
                  <c:v>1</c:v>
                </c:pt>
                <c:pt idx="4">
                  <c:v>24</c:v>
                </c:pt>
                <c:pt idx="5">
                  <c:v>3</c:v>
                </c:pt>
                <c:pt idx="6">
                  <c:v>3</c:v>
                </c:pt>
                <c:pt idx="7">
                  <c:v>7</c:v>
                </c:pt>
              </c:numCache>
            </c:numRef>
          </c:val>
          <c:extLst>
            <c:ext xmlns:c16="http://schemas.microsoft.com/office/drawing/2014/chart" uri="{C3380CC4-5D6E-409C-BE32-E72D297353CC}">
              <c16:uniqueId val="{00000005-E7CF-4EFF-A293-5FD05E193412}"/>
            </c:ext>
          </c:extLst>
        </c:ser>
        <c:ser>
          <c:idx val="6"/>
          <c:order val="6"/>
          <c:tx>
            <c:strRef>
              <c:f>'2'!$V$8</c:f>
              <c:strCache>
                <c:ptCount val="1"/>
                <c:pt idx="0">
                  <c:v>communication/management software</c:v>
                </c:pt>
              </c:strCache>
            </c:strRef>
          </c:tx>
          <c:spPr>
            <a:solidFill>
              <a:srgbClr val="44AA99"/>
            </a:solidFill>
            <a:ln>
              <a:noFill/>
            </a:ln>
            <a:effectLst/>
          </c:spPr>
          <c:invertIfNegative val="0"/>
          <c:cat>
            <c:strRef>
              <c:f>'2'!$AA$1:$AH$1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'2'!$AA$8:$AH$8</c:f>
              <c:numCache>
                <c:formatCode>General</c:formatCode>
                <c:ptCount val="8"/>
                <c:pt idx="0">
                  <c:v>13</c:v>
                </c:pt>
                <c:pt idx="1">
                  <c:v>12</c:v>
                </c:pt>
                <c:pt idx="2">
                  <c:v>3</c:v>
                </c:pt>
                <c:pt idx="3">
                  <c:v>3</c:v>
                </c:pt>
                <c:pt idx="4">
                  <c:v>12</c:v>
                </c:pt>
                <c:pt idx="5">
                  <c:v>2</c:v>
                </c:pt>
                <c:pt idx="6">
                  <c:v>3</c:v>
                </c:pt>
                <c:pt idx="7">
                  <c:v>11</c:v>
                </c:pt>
              </c:numCache>
            </c:numRef>
          </c:val>
          <c:extLst>
            <c:ext xmlns:c16="http://schemas.microsoft.com/office/drawing/2014/chart" uri="{C3380CC4-5D6E-409C-BE32-E72D297353CC}">
              <c16:uniqueId val="{00000006-E7CF-4EFF-A293-5FD05E193412}"/>
            </c:ext>
          </c:extLst>
        </c:ser>
        <c:ser>
          <c:idx val="7"/>
          <c:order val="7"/>
          <c:tx>
            <c:strRef>
              <c:f>'2'!$V$9</c:f>
              <c:strCache>
                <c:ptCount val="1"/>
                <c:pt idx="0">
                  <c:v>social media</c:v>
                </c:pt>
              </c:strCache>
            </c:strRef>
          </c:tx>
          <c:spPr>
            <a:solidFill>
              <a:srgbClr val="AA4499"/>
            </a:solidFill>
            <a:ln>
              <a:noFill/>
            </a:ln>
            <a:effectLst/>
          </c:spPr>
          <c:invertIfNegative val="0"/>
          <c:cat>
            <c:strRef>
              <c:f>'2'!$AA$1:$AH$1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'2'!$AA$9:$AH$9</c:f>
              <c:numCache>
                <c:formatCode>General</c:formatCode>
                <c:ptCount val="8"/>
                <c:pt idx="0">
                  <c:v>7</c:v>
                </c:pt>
                <c:pt idx="1">
                  <c:v>5</c:v>
                </c:pt>
                <c:pt idx="2">
                  <c:v>2</c:v>
                </c:pt>
                <c:pt idx="3">
                  <c:v>1</c:v>
                </c:pt>
                <c:pt idx="4">
                  <c:v>8</c:v>
                </c:pt>
                <c:pt idx="5">
                  <c:v>0</c:v>
                </c:pt>
                <c:pt idx="6">
                  <c:v>1</c:v>
                </c:pt>
                <c:pt idx="7">
                  <c:v>2</c:v>
                </c:pt>
              </c:numCache>
            </c:numRef>
          </c:val>
          <c:extLst>
            <c:ext xmlns:c16="http://schemas.microsoft.com/office/drawing/2014/chart" uri="{C3380CC4-5D6E-409C-BE32-E72D297353CC}">
              <c16:uniqueId val="{00000007-E7CF-4EFF-A293-5FD05E193412}"/>
            </c:ext>
          </c:extLst>
        </c:ser>
        <c:ser>
          <c:idx val="8"/>
          <c:order val="8"/>
          <c:tx>
            <c:strRef>
              <c:f>'2'!$V$10</c:f>
              <c:strCache>
                <c:ptCount val="1"/>
                <c:pt idx="0">
                  <c:v>other</c:v>
                </c:pt>
              </c:strCache>
            </c:strRef>
          </c:tx>
          <c:spPr>
            <a:solidFill>
              <a:srgbClr val="999933"/>
            </a:solidFill>
            <a:ln>
              <a:noFill/>
            </a:ln>
            <a:effectLst/>
          </c:spPr>
          <c:invertIfNegative val="0"/>
          <c:cat>
            <c:strRef>
              <c:f>'2'!$AA$1:$AH$1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'2'!$AA$10:$AH$10</c:f>
              <c:numCache>
                <c:formatCode>General</c:formatCode>
                <c:ptCount val="8"/>
                <c:pt idx="0">
                  <c:v>3</c:v>
                </c:pt>
                <c:pt idx="1">
                  <c:v>0</c:v>
                </c:pt>
                <c:pt idx="2">
                  <c:v>2</c:v>
                </c:pt>
                <c:pt idx="3">
                  <c:v>0</c:v>
                </c:pt>
                <c:pt idx="4">
                  <c:v>3</c:v>
                </c:pt>
                <c:pt idx="5">
                  <c:v>0</c:v>
                </c:pt>
                <c:pt idx="6">
                  <c:v>0</c:v>
                </c:pt>
                <c:pt idx="7">
                  <c:v>0</c:v>
                </c:pt>
              </c:numCache>
            </c:numRef>
          </c:val>
          <c:extLst>
            <c:ext xmlns:c16="http://schemas.microsoft.com/office/drawing/2014/chart" uri="{C3380CC4-5D6E-409C-BE32-E72D297353CC}">
              <c16:uniqueId val="{00000008-E7CF-4EFF-A293-5FD05E193412}"/>
            </c:ext>
          </c:extLst>
        </c:ser>
        <c:dLbls>
          <c:showLegendKey val="0"/>
          <c:showVal val="0"/>
          <c:showCatName val="0"/>
          <c:showSerName val="0"/>
          <c:showPercent val="0"/>
          <c:showBubbleSize val="0"/>
        </c:dLbls>
        <c:gapWidth val="130"/>
        <c:overlap val="100"/>
        <c:axId val="483499120"/>
        <c:axId val="483501416"/>
      </c:barChart>
      <c:catAx>
        <c:axId val="48349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3501416"/>
        <c:crosses val="autoZero"/>
        <c:auto val="1"/>
        <c:lblAlgn val="ctr"/>
        <c:lblOffset val="100"/>
        <c:noMultiLvlLbl val="0"/>
      </c:catAx>
      <c:valAx>
        <c:axId val="483501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3499120"/>
        <c:crosses val="autoZero"/>
        <c:crossBetween val="between"/>
      </c:valAx>
      <c:spPr>
        <a:noFill/>
        <a:ln>
          <a:noFill/>
        </a:ln>
        <a:effectLst/>
      </c:spPr>
    </c:plotArea>
    <c:legend>
      <c:legendPos val="r"/>
      <c:layout>
        <c:manualLayout>
          <c:xMode val="edge"/>
          <c:yMode val="edge"/>
          <c:x val="0.65173412338327597"/>
          <c:y val="0.11407723966563053"/>
          <c:w val="0.33233385324975639"/>
          <c:h val="0.700133336885244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Data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687515314083798"/>
          <c:y val="0.18530831938730311"/>
          <c:w val="0.76878266620732094"/>
          <c:h val="0.52899358049868972"/>
        </c:manualLayout>
      </c:layout>
      <c:barChart>
        <c:barDir val="col"/>
        <c:grouping val="clustered"/>
        <c:varyColors val="0"/>
        <c:ser>
          <c:idx val="0"/>
          <c:order val="0"/>
          <c:spPr>
            <a:solidFill>
              <a:schemeClr val="accent1"/>
            </a:solidFill>
            <a:ln>
              <a:noFill/>
            </a:ln>
            <a:effectLst/>
          </c:spPr>
          <c:invertIfNegative val="0"/>
          <c:cat>
            <c:strRef>
              <c:f>'1'!$AA$2:$AA$6</c:f>
              <c:strCache>
                <c:ptCount val="5"/>
                <c:pt idx="0">
                  <c:v>&lt; 1MB</c:v>
                </c:pt>
                <c:pt idx="1">
                  <c:v>1-1000 MB</c:v>
                </c:pt>
                <c:pt idx="2">
                  <c:v>1-1000 GB</c:v>
                </c:pt>
                <c:pt idx="3">
                  <c:v>1-1000 TB</c:v>
                </c:pt>
                <c:pt idx="4">
                  <c:v>I don’t know</c:v>
                </c:pt>
              </c:strCache>
            </c:strRef>
          </c:cat>
          <c:val>
            <c:numRef>
              <c:f>'1'!$AB$2:$AB$6</c:f>
              <c:numCache>
                <c:formatCode>General</c:formatCode>
                <c:ptCount val="5"/>
                <c:pt idx="0">
                  <c:v>8</c:v>
                </c:pt>
                <c:pt idx="1">
                  <c:v>40</c:v>
                </c:pt>
                <c:pt idx="2">
                  <c:v>100</c:v>
                </c:pt>
                <c:pt idx="3">
                  <c:v>86</c:v>
                </c:pt>
                <c:pt idx="4">
                  <c:v>42</c:v>
                </c:pt>
              </c:numCache>
            </c:numRef>
          </c:val>
          <c:extLst>
            <c:ext xmlns:c16="http://schemas.microsoft.com/office/drawing/2014/chart" uri="{C3380CC4-5D6E-409C-BE32-E72D297353CC}">
              <c16:uniqueId val="{00000000-B83B-4944-BCAC-DA97809278ED}"/>
            </c:ext>
          </c:extLst>
        </c:ser>
        <c:dLbls>
          <c:showLegendKey val="0"/>
          <c:showVal val="0"/>
          <c:showCatName val="0"/>
          <c:showSerName val="0"/>
          <c:showPercent val="0"/>
          <c:showBubbleSize val="0"/>
        </c:dLbls>
        <c:gapWidth val="130"/>
        <c:overlap val="-27"/>
        <c:axId val="617410952"/>
        <c:axId val="617410296"/>
      </c:barChart>
      <c:catAx>
        <c:axId val="617410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410296"/>
        <c:crosses val="autoZero"/>
        <c:auto val="1"/>
        <c:lblAlgn val="ctr"/>
        <c:lblOffset val="100"/>
        <c:noMultiLvlLbl val="0"/>
      </c:catAx>
      <c:valAx>
        <c:axId val="617410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410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 needs improvement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'2'!$AJ$2</c:f>
              <c:strCache>
                <c:ptCount val="1"/>
                <c:pt idx="0">
                  <c:v>yes</c:v>
                </c:pt>
              </c:strCache>
            </c:strRef>
          </c:tx>
          <c:spPr>
            <a:solidFill>
              <a:srgbClr val="FF0000"/>
            </a:solidFill>
            <a:ln>
              <a:noFill/>
            </a:ln>
            <a:effectLst/>
          </c:spPr>
          <c:invertIfNegative val="0"/>
          <c:cat>
            <c:strRef>
              <c:f>'2'!$AO$1:$AV$1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'2'!$AO$2:$AV$2</c:f>
              <c:numCache>
                <c:formatCode>General</c:formatCode>
                <c:ptCount val="8"/>
                <c:pt idx="0">
                  <c:v>20</c:v>
                </c:pt>
                <c:pt idx="1">
                  <c:v>19</c:v>
                </c:pt>
                <c:pt idx="2">
                  <c:v>5</c:v>
                </c:pt>
                <c:pt idx="3">
                  <c:v>2</c:v>
                </c:pt>
                <c:pt idx="4">
                  <c:v>21</c:v>
                </c:pt>
                <c:pt idx="5">
                  <c:v>6</c:v>
                </c:pt>
                <c:pt idx="6">
                  <c:v>4</c:v>
                </c:pt>
                <c:pt idx="7">
                  <c:v>16</c:v>
                </c:pt>
              </c:numCache>
            </c:numRef>
          </c:val>
          <c:extLst>
            <c:ext xmlns:c16="http://schemas.microsoft.com/office/drawing/2014/chart" uri="{C3380CC4-5D6E-409C-BE32-E72D297353CC}">
              <c16:uniqueId val="{00000000-F95F-443B-8285-3B6FD07F5747}"/>
            </c:ext>
          </c:extLst>
        </c:ser>
        <c:ser>
          <c:idx val="1"/>
          <c:order val="1"/>
          <c:tx>
            <c:strRef>
              <c:f>'2'!$AJ$3</c:f>
              <c:strCache>
                <c:ptCount val="1"/>
                <c:pt idx="0">
                  <c:v>no</c:v>
                </c:pt>
              </c:strCache>
            </c:strRef>
          </c:tx>
          <c:spPr>
            <a:solidFill>
              <a:schemeClr val="accent1"/>
            </a:solidFill>
            <a:ln>
              <a:noFill/>
            </a:ln>
            <a:effectLst/>
          </c:spPr>
          <c:invertIfNegative val="0"/>
          <c:cat>
            <c:strRef>
              <c:f>'2'!$AO$1:$AV$1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'2'!$AO$3:$AV$3</c:f>
              <c:numCache>
                <c:formatCode>General</c:formatCode>
                <c:ptCount val="8"/>
                <c:pt idx="0">
                  <c:v>30</c:v>
                </c:pt>
                <c:pt idx="1">
                  <c:v>14</c:v>
                </c:pt>
                <c:pt idx="2">
                  <c:v>6</c:v>
                </c:pt>
                <c:pt idx="3">
                  <c:v>6</c:v>
                </c:pt>
                <c:pt idx="4">
                  <c:v>42</c:v>
                </c:pt>
                <c:pt idx="5">
                  <c:v>10</c:v>
                </c:pt>
                <c:pt idx="6">
                  <c:v>4</c:v>
                </c:pt>
                <c:pt idx="7">
                  <c:v>19</c:v>
                </c:pt>
              </c:numCache>
            </c:numRef>
          </c:val>
          <c:extLst>
            <c:ext xmlns:c16="http://schemas.microsoft.com/office/drawing/2014/chart" uri="{C3380CC4-5D6E-409C-BE32-E72D297353CC}">
              <c16:uniqueId val="{00000001-F95F-443B-8285-3B6FD07F5747}"/>
            </c:ext>
          </c:extLst>
        </c:ser>
        <c:dLbls>
          <c:showLegendKey val="0"/>
          <c:showVal val="0"/>
          <c:showCatName val="0"/>
          <c:showSerName val="0"/>
          <c:showPercent val="0"/>
          <c:showBubbleSize val="0"/>
        </c:dLbls>
        <c:gapWidth val="130"/>
        <c:overlap val="100"/>
        <c:axId val="481892720"/>
        <c:axId val="282346704"/>
      </c:barChart>
      <c:catAx>
        <c:axId val="48189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2346704"/>
        <c:crosses val="autoZero"/>
        <c:auto val="1"/>
        <c:lblAlgn val="ctr"/>
        <c:lblOffset val="100"/>
        <c:noMultiLvlLbl val="0"/>
      </c:catAx>
      <c:valAx>
        <c:axId val="282346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1892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use of communication/management software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104063175089187"/>
          <c:y val="0.1522268496539983"/>
          <c:w val="0.62469593364282094"/>
          <c:h val="0.56769452960865108"/>
        </c:manualLayout>
      </c:layout>
      <c:barChart>
        <c:barDir val="col"/>
        <c:grouping val="percentStacked"/>
        <c:varyColors val="0"/>
        <c:ser>
          <c:idx val="0"/>
          <c:order val="0"/>
          <c:tx>
            <c:strRef>
              <c:f>'2'!$BA$2</c:f>
              <c:strCache>
                <c:ptCount val="1"/>
                <c:pt idx="0">
                  <c:v>yes</c:v>
                </c:pt>
              </c:strCache>
            </c:strRef>
          </c:tx>
          <c:spPr>
            <a:solidFill>
              <a:schemeClr val="accent1"/>
            </a:solidFill>
            <a:ln>
              <a:noFill/>
            </a:ln>
            <a:effectLst/>
          </c:spPr>
          <c:invertIfNegative val="0"/>
          <c:cat>
            <c:strRef>
              <c:f>'2'!$BF$1:$BM$1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'2'!$BF$2:$BM$2</c:f>
              <c:numCache>
                <c:formatCode>General</c:formatCode>
                <c:ptCount val="8"/>
                <c:pt idx="0">
                  <c:v>13</c:v>
                </c:pt>
                <c:pt idx="1">
                  <c:v>16</c:v>
                </c:pt>
                <c:pt idx="2">
                  <c:v>4</c:v>
                </c:pt>
                <c:pt idx="3">
                  <c:v>4</c:v>
                </c:pt>
                <c:pt idx="4">
                  <c:v>13</c:v>
                </c:pt>
                <c:pt idx="5">
                  <c:v>2</c:v>
                </c:pt>
                <c:pt idx="6">
                  <c:v>3</c:v>
                </c:pt>
                <c:pt idx="7">
                  <c:v>11</c:v>
                </c:pt>
              </c:numCache>
            </c:numRef>
          </c:val>
          <c:extLst>
            <c:ext xmlns:c16="http://schemas.microsoft.com/office/drawing/2014/chart" uri="{C3380CC4-5D6E-409C-BE32-E72D297353CC}">
              <c16:uniqueId val="{00000000-5D5B-47F6-A592-1F63B6698B59}"/>
            </c:ext>
          </c:extLst>
        </c:ser>
        <c:ser>
          <c:idx val="1"/>
          <c:order val="1"/>
          <c:tx>
            <c:strRef>
              <c:f>'2'!$BA$3</c:f>
              <c:strCache>
                <c:ptCount val="1"/>
                <c:pt idx="0">
                  <c:v>no, but would make sense</c:v>
                </c:pt>
              </c:strCache>
            </c:strRef>
          </c:tx>
          <c:spPr>
            <a:solidFill>
              <a:srgbClr val="FF7C80"/>
            </a:solidFill>
            <a:ln>
              <a:noFill/>
            </a:ln>
            <a:effectLst/>
          </c:spPr>
          <c:invertIfNegative val="0"/>
          <c:cat>
            <c:strRef>
              <c:f>'2'!$BF$1:$BM$1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'2'!$BF$3:$BM$3</c:f>
              <c:numCache>
                <c:formatCode>General</c:formatCode>
                <c:ptCount val="8"/>
                <c:pt idx="0">
                  <c:v>19</c:v>
                </c:pt>
                <c:pt idx="1">
                  <c:v>11</c:v>
                </c:pt>
                <c:pt idx="2">
                  <c:v>3</c:v>
                </c:pt>
                <c:pt idx="3">
                  <c:v>0</c:v>
                </c:pt>
                <c:pt idx="4">
                  <c:v>20</c:v>
                </c:pt>
                <c:pt idx="5">
                  <c:v>6</c:v>
                </c:pt>
                <c:pt idx="6">
                  <c:v>3</c:v>
                </c:pt>
                <c:pt idx="7">
                  <c:v>19</c:v>
                </c:pt>
              </c:numCache>
            </c:numRef>
          </c:val>
          <c:extLst>
            <c:ext xmlns:c16="http://schemas.microsoft.com/office/drawing/2014/chart" uri="{C3380CC4-5D6E-409C-BE32-E72D297353CC}">
              <c16:uniqueId val="{00000001-5D5B-47F6-A592-1F63B6698B59}"/>
            </c:ext>
          </c:extLst>
        </c:ser>
        <c:ser>
          <c:idx val="2"/>
          <c:order val="2"/>
          <c:tx>
            <c:strRef>
              <c:f>'2'!$BA$4</c:f>
              <c:strCache>
                <c:ptCount val="1"/>
                <c:pt idx="0">
                  <c:v>no, would not make sense</c:v>
                </c:pt>
              </c:strCache>
            </c:strRef>
          </c:tx>
          <c:spPr>
            <a:solidFill>
              <a:srgbClr val="FF0000"/>
            </a:solidFill>
            <a:ln>
              <a:noFill/>
            </a:ln>
            <a:effectLst/>
          </c:spPr>
          <c:invertIfNegative val="0"/>
          <c:cat>
            <c:strRef>
              <c:f>'2'!$BF$1:$BM$1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'2'!$BF$4:$BM$4</c:f>
              <c:numCache>
                <c:formatCode>General</c:formatCode>
                <c:ptCount val="8"/>
                <c:pt idx="0">
                  <c:v>18</c:v>
                </c:pt>
                <c:pt idx="1">
                  <c:v>6</c:v>
                </c:pt>
                <c:pt idx="2">
                  <c:v>4</c:v>
                </c:pt>
                <c:pt idx="3">
                  <c:v>4</c:v>
                </c:pt>
                <c:pt idx="4">
                  <c:v>30</c:v>
                </c:pt>
                <c:pt idx="5">
                  <c:v>8</c:v>
                </c:pt>
                <c:pt idx="6">
                  <c:v>2</c:v>
                </c:pt>
                <c:pt idx="7">
                  <c:v>5</c:v>
                </c:pt>
              </c:numCache>
            </c:numRef>
          </c:val>
          <c:extLst>
            <c:ext xmlns:c16="http://schemas.microsoft.com/office/drawing/2014/chart" uri="{C3380CC4-5D6E-409C-BE32-E72D297353CC}">
              <c16:uniqueId val="{00000000-8B10-4F8D-9936-E08A04E4A63A}"/>
            </c:ext>
          </c:extLst>
        </c:ser>
        <c:dLbls>
          <c:showLegendKey val="0"/>
          <c:showVal val="0"/>
          <c:showCatName val="0"/>
          <c:showSerName val="0"/>
          <c:showPercent val="0"/>
          <c:showBubbleSize val="0"/>
        </c:dLbls>
        <c:gapWidth val="130"/>
        <c:overlap val="100"/>
        <c:axId val="261070304"/>
        <c:axId val="261071288"/>
      </c:barChart>
      <c:catAx>
        <c:axId val="26107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1071288"/>
        <c:crosses val="autoZero"/>
        <c:auto val="1"/>
        <c:lblAlgn val="ctr"/>
        <c:lblOffset val="100"/>
        <c:noMultiLvlLbl val="0"/>
      </c:catAx>
      <c:valAx>
        <c:axId val="261071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1070304"/>
        <c:crosses val="autoZero"/>
        <c:crossBetween val="between"/>
      </c:valAx>
      <c:spPr>
        <a:noFill/>
        <a:ln>
          <a:noFill/>
        </a:ln>
        <a:effectLst/>
      </c:spPr>
    </c:plotArea>
    <c:legend>
      <c:legendPos val="r"/>
      <c:layout>
        <c:manualLayout>
          <c:xMode val="edge"/>
          <c:yMode val="edge"/>
          <c:x val="0.73696227102212253"/>
          <c:y val="0.28958433583283594"/>
          <c:w val="0.24619917053526286"/>
          <c:h val="0.367845385249045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 / Management Software used: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'2'!$BO$2</c:f>
              <c:strCache>
                <c:ptCount val="1"/>
                <c:pt idx="0">
                  <c:v>PPMS</c:v>
                </c:pt>
              </c:strCache>
            </c:strRef>
          </c:tx>
          <c:spPr>
            <a:solidFill>
              <a:srgbClr val="4477AA"/>
            </a:solidFill>
            <a:ln>
              <a:noFill/>
            </a:ln>
            <a:effectLst/>
          </c:spPr>
          <c:invertIfNegative val="0"/>
          <c:cat>
            <c:strRef>
              <c:f>'2'!$BW$1:$CD$1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'2'!$BW$2:$CD$2</c:f>
              <c:numCache>
                <c:formatCode>General</c:formatCode>
                <c:ptCount val="8"/>
                <c:pt idx="0">
                  <c:v>3</c:v>
                </c:pt>
                <c:pt idx="1">
                  <c:v>0</c:v>
                </c:pt>
                <c:pt idx="2">
                  <c:v>2</c:v>
                </c:pt>
                <c:pt idx="3">
                  <c:v>1</c:v>
                </c:pt>
                <c:pt idx="4">
                  <c:v>4</c:v>
                </c:pt>
                <c:pt idx="5">
                  <c:v>0</c:v>
                </c:pt>
                <c:pt idx="6">
                  <c:v>1</c:v>
                </c:pt>
                <c:pt idx="7">
                  <c:v>0</c:v>
                </c:pt>
              </c:numCache>
            </c:numRef>
          </c:val>
          <c:extLst>
            <c:ext xmlns:c16="http://schemas.microsoft.com/office/drawing/2014/chart" uri="{C3380CC4-5D6E-409C-BE32-E72D297353CC}">
              <c16:uniqueId val="{00000000-356B-461D-8597-D3201C2FD22C}"/>
            </c:ext>
          </c:extLst>
        </c:ser>
        <c:ser>
          <c:idx val="1"/>
          <c:order val="1"/>
          <c:tx>
            <c:strRef>
              <c:f>'2'!$BO$3</c:f>
              <c:strCache>
                <c:ptCount val="1"/>
                <c:pt idx="0">
                  <c:v>iLab</c:v>
                </c:pt>
              </c:strCache>
            </c:strRef>
          </c:tx>
          <c:spPr>
            <a:solidFill>
              <a:srgbClr val="66CCEE"/>
            </a:solidFill>
            <a:ln>
              <a:noFill/>
            </a:ln>
            <a:effectLst/>
          </c:spPr>
          <c:invertIfNegative val="0"/>
          <c:cat>
            <c:strRef>
              <c:f>'2'!$BW$1:$CD$1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'2'!$BW$3:$CD$3</c:f>
              <c:numCache>
                <c:formatCode>General</c:formatCode>
                <c:ptCount val="8"/>
                <c:pt idx="0">
                  <c:v>2</c:v>
                </c:pt>
                <c:pt idx="1">
                  <c:v>2</c:v>
                </c:pt>
                <c:pt idx="2">
                  <c:v>0</c:v>
                </c:pt>
                <c:pt idx="3">
                  <c:v>1</c:v>
                </c:pt>
                <c:pt idx="4">
                  <c:v>0</c:v>
                </c:pt>
                <c:pt idx="5">
                  <c:v>0</c:v>
                </c:pt>
                <c:pt idx="6">
                  <c:v>1</c:v>
                </c:pt>
                <c:pt idx="7">
                  <c:v>3</c:v>
                </c:pt>
              </c:numCache>
            </c:numRef>
          </c:val>
          <c:extLst>
            <c:ext xmlns:c16="http://schemas.microsoft.com/office/drawing/2014/chart" uri="{C3380CC4-5D6E-409C-BE32-E72D297353CC}">
              <c16:uniqueId val="{00000001-356B-461D-8597-D3201C2FD22C}"/>
            </c:ext>
          </c:extLst>
        </c:ser>
        <c:ser>
          <c:idx val="2"/>
          <c:order val="2"/>
          <c:tx>
            <c:strRef>
              <c:f>'2'!$BO$4</c:f>
              <c:strCache>
                <c:ptCount val="1"/>
                <c:pt idx="0">
                  <c:v>Open IRIS</c:v>
                </c:pt>
              </c:strCache>
            </c:strRef>
          </c:tx>
          <c:spPr>
            <a:solidFill>
              <a:srgbClr val="228833"/>
            </a:solidFill>
            <a:ln>
              <a:noFill/>
            </a:ln>
            <a:effectLst/>
          </c:spPr>
          <c:invertIfNegative val="0"/>
          <c:cat>
            <c:strRef>
              <c:f>'2'!$BW$1:$CD$1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'2'!$BW$4:$CD$4</c:f>
              <c:numCache>
                <c:formatCode>General</c:formatCode>
                <c:ptCount val="8"/>
                <c:pt idx="0">
                  <c:v>3</c:v>
                </c:pt>
                <c:pt idx="1">
                  <c:v>0</c:v>
                </c:pt>
                <c:pt idx="2">
                  <c:v>1</c:v>
                </c:pt>
                <c:pt idx="3">
                  <c:v>1</c:v>
                </c:pt>
                <c:pt idx="4">
                  <c:v>2</c:v>
                </c:pt>
                <c:pt idx="5">
                  <c:v>0</c:v>
                </c:pt>
                <c:pt idx="6">
                  <c:v>1</c:v>
                </c:pt>
                <c:pt idx="7">
                  <c:v>0</c:v>
                </c:pt>
              </c:numCache>
            </c:numRef>
          </c:val>
          <c:extLst>
            <c:ext xmlns:c16="http://schemas.microsoft.com/office/drawing/2014/chart" uri="{C3380CC4-5D6E-409C-BE32-E72D297353CC}">
              <c16:uniqueId val="{00000002-356B-461D-8597-D3201C2FD22C}"/>
            </c:ext>
          </c:extLst>
        </c:ser>
        <c:ser>
          <c:idx val="3"/>
          <c:order val="3"/>
          <c:tx>
            <c:strRef>
              <c:f>'2'!$BO$5</c:f>
              <c:strCache>
                <c:ptCount val="1"/>
                <c:pt idx="0">
                  <c:v>Slack</c:v>
                </c:pt>
              </c:strCache>
            </c:strRef>
          </c:tx>
          <c:spPr>
            <a:solidFill>
              <a:srgbClr val="CCBB44"/>
            </a:solidFill>
            <a:ln>
              <a:noFill/>
            </a:ln>
            <a:effectLst/>
          </c:spPr>
          <c:invertIfNegative val="0"/>
          <c:cat>
            <c:strRef>
              <c:f>'2'!$BW$1:$CD$1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'2'!$BW$5:$CD$5</c:f>
              <c:numCache>
                <c:formatCode>General</c:formatCode>
                <c:ptCount val="8"/>
                <c:pt idx="0">
                  <c:v>1</c:v>
                </c:pt>
                <c:pt idx="1">
                  <c:v>1</c:v>
                </c:pt>
                <c:pt idx="2">
                  <c:v>0</c:v>
                </c:pt>
                <c:pt idx="3">
                  <c:v>0</c:v>
                </c:pt>
                <c:pt idx="4">
                  <c:v>2</c:v>
                </c:pt>
                <c:pt idx="5">
                  <c:v>0</c:v>
                </c:pt>
                <c:pt idx="6">
                  <c:v>0</c:v>
                </c:pt>
                <c:pt idx="7">
                  <c:v>0</c:v>
                </c:pt>
              </c:numCache>
            </c:numRef>
          </c:val>
          <c:extLst>
            <c:ext xmlns:c16="http://schemas.microsoft.com/office/drawing/2014/chart" uri="{C3380CC4-5D6E-409C-BE32-E72D297353CC}">
              <c16:uniqueId val="{00000003-356B-461D-8597-D3201C2FD22C}"/>
            </c:ext>
          </c:extLst>
        </c:ser>
        <c:ser>
          <c:idx val="4"/>
          <c:order val="4"/>
          <c:tx>
            <c:strRef>
              <c:f>'2'!$BO$6</c:f>
              <c:strCache>
                <c:ptCount val="1"/>
                <c:pt idx="0">
                  <c:v>Agendo</c:v>
                </c:pt>
              </c:strCache>
            </c:strRef>
          </c:tx>
          <c:spPr>
            <a:solidFill>
              <a:srgbClr val="AA3377"/>
            </a:solidFill>
            <a:ln>
              <a:noFill/>
            </a:ln>
            <a:effectLst/>
          </c:spPr>
          <c:invertIfNegative val="0"/>
          <c:cat>
            <c:strRef>
              <c:f>'2'!$BW$1:$CD$1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'2'!$BW$6:$CD$6</c:f>
              <c:numCache>
                <c:formatCode>General</c:formatCode>
                <c:ptCount val="8"/>
                <c:pt idx="0">
                  <c:v>2</c:v>
                </c:pt>
                <c:pt idx="1">
                  <c:v>1</c:v>
                </c:pt>
                <c:pt idx="2">
                  <c:v>0</c:v>
                </c:pt>
                <c:pt idx="3">
                  <c:v>0</c:v>
                </c:pt>
                <c:pt idx="4">
                  <c:v>0</c:v>
                </c:pt>
                <c:pt idx="5">
                  <c:v>0</c:v>
                </c:pt>
                <c:pt idx="6">
                  <c:v>0</c:v>
                </c:pt>
                <c:pt idx="7">
                  <c:v>1</c:v>
                </c:pt>
              </c:numCache>
            </c:numRef>
          </c:val>
          <c:extLst>
            <c:ext xmlns:c16="http://schemas.microsoft.com/office/drawing/2014/chart" uri="{C3380CC4-5D6E-409C-BE32-E72D297353CC}">
              <c16:uniqueId val="{00000004-356B-461D-8597-D3201C2FD22C}"/>
            </c:ext>
          </c:extLst>
        </c:ser>
        <c:ser>
          <c:idx val="5"/>
          <c:order val="5"/>
          <c:tx>
            <c:strRef>
              <c:f>'2'!$BO$7</c:f>
              <c:strCache>
                <c:ptCount val="1"/>
                <c:pt idx="0">
                  <c:v>LIMS, ELN</c:v>
                </c:pt>
              </c:strCache>
            </c:strRef>
          </c:tx>
          <c:spPr>
            <a:solidFill>
              <a:srgbClr val="EE6677"/>
            </a:solidFill>
            <a:ln>
              <a:noFill/>
            </a:ln>
            <a:effectLst/>
          </c:spPr>
          <c:invertIfNegative val="0"/>
          <c:cat>
            <c:strRef>
              <c:f>'2'!$BW$1:$CD$1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'2'!$BW$7:$CD$7</c:f>
              <c:numCache>
                <c:formatCode>General</c:formatCode>
                <c:ptCount val="8"/>
                <c:pt idx="0">
                  <c:v>0</c:v>
                </c:pt>
                <c:pt idx="1">
                  <c:v>14</c:v>
                </c:pt>
                <c:pt idx="2">
                  <c:v>2</c:v>
                </c:pt>
                <c:pt idx="3">
                  <c:v>2</c:v>
                </c:pt>
                <c:pt idx="4">
                  <c:v>2</c:v>
                </c:pt>
                <c:pt idx="5">
                  <c:v>0</c:v>
                </c:pt>
                <c:pt idx="6">
                  <c:v>2</c:v>
                </c:pt>
                <c:pt idx="7">
                  <c:v>2</c:v>
                </c:pt>
              </c:numCache>
            </c:numRef>
          </c:val>
          <c:extLst>
            <c:ext xmlns:c16="http://schemas.microsoft.com/office/drawing/2014/chart" uri="{C3380CC4-5D6E-409C-BE32-E72D297353CC}">
              <c16:uniqueId val="{00000005-356B-461D-8597-D3201C2FD22C}"/>
            </c:ext>
          </c:extLst>
        </c:ser>
        <c:ser>
          <c:idx val="6"/>
          <c:order val="6"/>
          <c:tx>
            <c:strRef>
              <c:f>'2'!$BO$8</c:f>
              <c:strCache>
                <c:ptCount val="1"/>
                <c:pt idx="0">
                  <c:v>other</c:v>
                </c:pt>
              </c:strCache>
            </c:strRef>
          </c:tx>
          <c:spPr>
            <a:solidFill>
              <a:srgbClr val="BBBBBB"/>
            </a:solidFill>
            <a:ln>
              <a:noFill/>
            </a:ln>
            <a:effectLst/>
          </c:spPr>
          <c:invertIfNegative val="0"/>
          <c:cat>
            <c:strRef>
              <c:f>'2'!$BW$1:$CD$1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'2'!$BW$8:$CD$8</c:f>
              <c:numCache>
                <c:formatCode>General</c:formatCode>
                <c:ptCount val="8"/>
                <c:pt idx="0">
                  <c:v>2</c:v>
                </c:pt>
                <c:pt idx="1">
                  <c:v>5</c:v>
                </c:pt>
                <c:pt idx="2">
                  <c:v>0</c:v>
                </c:pt>
                <c:pt idx="3">
                  <c:v>0</c:v>
                </c:pt>
                <c:pt idx="4">
                  <c:v>4</c:v>
                </c:pt>
                <c:pt idx="5">
                  <c:v>2</c:v>
                </c:pt>
                <c:pt idx="6">
                  <c:v>0</c:v>
                </c:pt>
                <c:pt idx="7">
                  <c:v>5</c:v>
                </c:pt>
              </c:numCache>
            </c:numRef>
          </c:val>
          <c:extLst>
            <c:ext xmlns:c16="http://schemas.microsoft.com/office/drawing/2014/chart" uri="{C3380CC4-5D6E-409C-BE32-E72D297353CC}">
              <c16:uniqueId val="{00000006-356B-461D-8597-D3201C2FD22C}"/>
            </c:ext>
          </c:extLst>
        </c:ser>
        <c:dLbls>
          <c:showLegendKey val="0"/>
          <c:showVal val="0"/>
          <c:showCatName val="0"/>
          <c:showSerName val="0"/>
          <c:showPercent val="0"/>
          <c:showBubbleSize val="0"/>
        </c:dLbls>
        <c:gapWidth val="130"/>
        <c:overlap val="100"/>
        <c:axId val="547315616"/>
        <c:axId val="547317256"/>
      </c:barChart>
      <c:catAx>
        <c:axId val="54731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7317256"/>
        <c:crosses val="autoZero"/>
        <c:auto val="1"/>
        <c:lblAlgn val="ctr"/>
        <c:lblOffset val="100"/>
        <c:noMultiLvlLbl val="0"/>
      </c:catAx>
      <c:valAx>
        <c:axId val="547317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7315616"/>
        <c:crosses val="autoZero"/>
        <c:crossBetween val="between"/>
      </c:valAx>
      <c:spPr>
        <a:noFill/>
        <a:ln>
          <a:noFill/>
        </a:ln>
        <a:effectLst/>
      </c:spPr>
    </c:plotArea>
    <c:legend>
      <c:legendPos val="r"/>
      <c:layout>
        <c:manualLayout>
          <c:xMode val="edge"/>
          <c:yMode val="edge"/>
          <c:x val="0.8470470913713577"/>
          <c:y val="0.21283665597581131"/>
          <c:w val="0.13714159200038678"/>
          <c:h val="0.44651673621487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 with users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'2'!$V$2</c:f>
              <c:strCache>
                <c:ptCount val="1"/>
                <c:pt idx="0">
                  <c:v>email</c:v>
                </c:pt>
              </c:strCache>
            </c:strRef>
          </c:tx>
          <c:spPr>
            <a:solidFill>
              <a:srgbClr val="CC6677"/>
            </a:solidFill>
            <a:ln>
              <a:noFill/>
            </a:ln>
            <a:effectLst/>
          </c:spPr>
          <c:invertIfNegative val="0"/>
          <c:cat>
            <c:strRef>
              <c:f>'2'!$X$1:$Z$1</c:f>
              <c:strCache>
                <c:ptCount val="3"/>
                <c:pt idx="0">
                  <c:v>full-service</c:v>
                </c:pt>
                <c:pt idx="1">
                  <c:v>hybrid-service</c:v>
                </c:pt>
                <c:pt idx="2">
                  <c:v>self-service</c:v>
                </c:pt>
              </c:strCache>
            </c:strRef>
          </c:cat>
          <c:val>
            <c:numRef>
              <c:f>'2'!$X$2:$Z$2</c:f>
              <c:numCache>
                <c:formatCode>General</c:formatCode>
                <c:ptCount val="3"/>
                <c:pt idx="0">
                  <c:v>71</c:v>
                </c:pt>
                <c:pt idx="1">
                  <c:v>168</c:v>
                </c:pt>
                <c:pt idx="2">
                  <c:v>27</c:v>
                </c:pt>
              </c:numCache>
            </c:numRef>
          </c:val>
          <c:extLst>
            <c:ext xmlns:c16="http://schemas.microsoft.com/office/drawing/2014/chart" uri="{C3380CC4-5D6E-409C-BE32-E72D297353CC}">
              <c16:uniqueId val="{00000000-C23F-41FC-B7E0-78D361B86102}"/>
            </c:ext>
          </c:extLst>
        </c:ser>
        <c:ser>
          <c:idx val="1"/>
          <c:order val="1"/>
          <c:tx>
            <c:strRef>
              <c:f>'2'!$V$3</c:f>
              <c:strCache>
                <c:ptCount val="1"/>
                <c:pt idx="0">
                  <c:v>in person</c:v>
                </c:pt>
              </c:strCache>
            </c:strRef>
          </c:tx>
          <c:spPr>
            <a:solidFill>
              <a:srgbClr val="332288"/>
            </a:solidFill>
            <a:ln>
              <a:noFill/>
            </a:ln>
            <a:effectLst/>
          </c:spPr>
          <c:invertIfNegative val="0"/>
          <c:cat>
            <c:strRef>
              <c:f>'2'!$X$1:$Z$1</c:f>
              <c:strCache>
                <c:ptCount val="3"/>
                <c:pt idx="0">
                  <c:v>full-service</c:v>
                </c:pt>
                <c:pt idx="1">
                  <c:v>hybrid-service</c:v>
                </c:pt>
                <c:pt idx="2">
                  <c:v>self-service</c:v>
                </c:pt>
              </c:strCache>
            </c:strRef>
          </c:cat>
          <c:val>
            <c:numRef>
              <c:f>'2'!$X$3:$Z$3</c:f>
              <c:numCache>
                <c:formatCode>General</c:formatCode>
                <c:ptCount val="3"/>
                <c:pt idx="0">
                  <c:v>69</c:v>
                </c:pt>
                <c:pt idx="1">
                  <c:v>163</c:v>
                </c:pt>
                <c:pt idx="2">
                  <c:v>23</c:v>
                </c:pt>
              </c:numCache>
            </c:numRef>
          </c:val>
          <c:extLst>
            <c:ext xmlns:c16="http://schemas.microsoft.com/office/drawing/2014/chart" uri="{C3380CC4-5D6E-409C-BE32-E72D297353CC}">
              <c16:uniqueId val="{00000001-C23F-41FC-B7E0-78D361B86102}"/>
            </c:ext>
          </c:extLst>
        </c:ser>
        <c:ser>
          <c:idx val="2"/>
          <c:order val="2"/>
          <c:tx>
            <c:strRef>
              <c:f>'2'!$V$4</c:f>
              <c:strCache>
                <c:ptCount val="1"/>
                <c:pt idx="0">
                  <c:v>phone</c:v>
                </c:pt>
              </c:strCache>
            </c:strRef>
          </c:tx>
          <c:spPr>
            <a:solidFill>
              <a:srgbClr val="DDCC77"/>
            </a:solidFill>
            <a:ln>
              <a:noFill/>
            </a:ln>
            <a:effectLst/>
          </c:spPr>
          <c:invertIfNegative val="0"/>
          <c:cat>
            <c:strRef>
              <c:f>'2'!$X$1:$Z$1</c:f>
              <c:strCache>
                <c:ptCount val="3"/>
                <c:pt idx="0">
                  <c:v>full-service</c:v>
                </c:pt>
                <c:pt idx="1">
                  <c:v>hybrid-service</c:v>
                </c:pt>
                <c:pt idx="2">
                  <c:v>self-service</c:v>
                </c:pt>
              </c:strCache>
            </c:strRef>
          </c:cat>
          <c:val>
            <c:numRef>
              <c:f>'2'!$X$4:$Z$4</c:f>
              <c:numCache>
                <c:formatCode>General</c:formatCode>
                <c:ptCount val="3"/>
                <c:pt idx="0">
                  <c:v>60</c:v>
                </c:pt>
                <c:pt idx="1">
                  <c:v>108</c:v>
                </c:pt>
                <c:pt idx="2">
                  <c:v>8</c:v>
                </c:pt>
              </c:numCache>
            </c:numRef>
          </c:val>
          <c:extLst>
            <c:ext xmlns:c16="http://schemas.microsoft.com/office/drawing/2014/chart" uri="{C3380CC4-5D6E-409C-BE32-E72D297353CC}">
              <c16:uniqueId val="{00000002-C23F-41FC-B7E0-78D361B86102}"/>
            </c:ext>
          </c:extLst>
        </c:ser>
        <c:ser>
          <c:idx val="3"/>
          <c:order val="3"/>
          <c:tx>
            <c:strRef>
              <c:f>'2'!$V$5</c:f>
              <c:strCache>
                <c:ptCount val="1"/>
                <c:pt idx="0">
                  <c:v>seminars/workshops</c:v>
                </c:pt>
              </c:strCache>
            </c:strRef>
          </c:tx>
          <c:spPr>
            <a:solidFill>
              <a:srgbClr val="117733"/>
            </a:solidFill>
            <a:ln>
              <a:noFill/>
            </a:ln>
            <a:effectLst/>
          </c:spPr>
          <c:invertIfNegative val="0"/>
          <c:cat>
            <c:strRef>
              <c:f>'2'!$X$1:$Z$1</c:f>
              <c:strCache>
                <c:ptCount val="3"/>
                <c:pt idx="0">
                  <c:v>full-service</c:v>
                </c:pt>
                <c:pt idx="1">
                  <c:v>hybrid-service</c:v>
                </c:pt>
                <c:pt idx="2">
                  <c:v>self-service</c:v>
                </c:pt>
              </c:strCache>
            </c:strRef>
          </c:cat>
          <c:val>
            <c:numRef>
              <c:f>'2'!$X$5:$Z$5</c:f>
              <c:numCache>
                <c:formatCode>General</c:formatCode>
                <c:ptCount val="3"/>
                <c:pt idx="0">
                  <c:v>29</c:v>
                </c:pt>
                <c:pt idx="1">
                  <c:v>85</c:v>
                </c:pt>
                <c:pt idx="2">
                  <c:v>8</c:v>
                </c:pt>
              </c:numCache>
            </c:numRef>
          </c:val>
          <c:extLst>
            <c:ext xmlns:c16="http://schemas.microsoft.com/office/drawing/2014/chart" uri="{C3380CC4-5D6E-409C-BE32-E72D297353CC}">
              <c16:uniqueId val="{00000003-C23F-41FC-B7E0-78D361B86102}"/>
            </c:ext>
          </c:extLst>
        </c:ser>
        <c:ser>
          <c:idx val="4"/>
          <c:order val="4"/>
          <c:tx>
            <c:strRef>
              <c:f>'2'!$V$6</c:f>
              <c:strCache>
                <c:ptCount val="1"/>
                <c:pt idx="0">
                  <c:v>website</c:v>
                </c:pt>
              </c:strCache>
            </c:strRef>
          </c:tx>
          <c:spPr>
            <a:solidFill>
              <a:srgbClr val="88CCEE"/>
            </a:solidFill>
            <a:ln>
              <a:noFill/>
            </a:ln>
            <a:effectLst/>
          </c:spPr>
          <c:invertIfNegative val="0"/>
          <c:cat>
            <c:strRef>
              <c:f>'2'!$X$1:$Z$1</c:f>
              <c:strCache>
                <c:ptCount val="3"/>
                <c:pt idx="0">
                  <c:v>full-service</c:v>
                </c:pt>
                <c:pt idx="1">
                  <c:v>hybrid-service</c:v>
                </c:pt>
                <c:pt idx="2">
                  <c:v>self-service</c:v>
                </c:pt>
              </c:strCache>
            </c:strRef>
          </c:cat>
          <c:val>
            <c:numRef>
              <c:f>'2'!$X$6:$Z$6</c:f>
              <c:numCache>
                <c:formatCode>General</c:formatCode>
                <c:ptCount val="3"/>
                <c:pt idx="0">
                  <c:v>22</c:v>
                </c:pt>
                <c:pt idx="1">
                  <c:v>75</c:v>
                </c:pt>
                <c:pt idx="2">
                  <c:v>13</c:v>
                </c:pt>
              </c:numCache>
            </c:numRef>
          </c:val>
          <c:extLst>
            <c:ext xmlns:c16="http://schemas.microsoft.com/office/drawing/2014/chart" uri="{C3380CC4-5D6E-409C-BE32-E72D297353CC}">
              <c16:uniqueId val="{00000004-C23F-41FC-B7E0-78D361B86102}"/>
            </c:ext>
          </c:extLst>
        </c:ser>
        <c:ser>
          <c:idx val="5"/>
          <c:order val="5"/>
          <c:tx>
            <c:strRef>
              <c:f>'2'!$V$7</c:f>
              <c:strCache>
                <c:ptCount val="1"/>
                <c:pt idx="0">
                  <c:v>user group meeting</c:v>
                </c:pt>
              </c:strCache>
            </c:strRef>
          </c:tx>
          <c:spPr>
            <a:solidFill>
              <a:srgbClr val="882255"/>
            </a:solidFill>
            <a:ln>
              <a:noFill/>
            </a:ln>
            <a:effectLst/>
          </c:spPr>
          <c:invertIfNegative val="0"/>
          <c:cat>
            <c:strRef>
              <c:f>'2'!$X$1:$Z$1</c:f>
              <c:strCache>
                <c:ptCount val="3"/>
                <c:pt idx="0">
                  <c:v>full-service</c:v>
                </c:pt>
                <c:pt idx="1">
                  <c:v>hybrid-service</c:v>
                </c:pt>
                <c:pt idx="2">
                  <c:v>self-service</c:v>
                </c:pt>
              </c:strCache>
            </c:strRef>
          </c:cat>
          <c:val>
            <c:numRef>
              <c:f>'2'!$X$7:$Z$7</c:f>
              <c:numCache>
                <c:formatCode>General</c:formatCode>
                <c:ptCount val="3"/>
                <c:pt idx="0">
                  <c:v>13</c:v>
                </c:pt>
                <c:pt idx="1">
                  <c:v>62</c:v>
                </c:pt>
                <c:pt idx="2">
                  <c:v>8</c:v>
                </c:pt>
              </c:numCache>
            </c:numRef>
          </c:val>
          <c:extLst>
            <c:ext xmlns:c16="http://schemas.microsoft.com/office/drawing/2014/chart" uri="{C3380CC4-5D6E-409C-BE32-E72D297353CC}">
              <c16:uniqueId val="{00000005-C23F-41FC-B7E0-78D361B86102}"/>
            </c:ext>
          </c:extLst>
        </c:ser>
        <c:ser>
          <c:idx val="6"/>
          <c:order val="6"/>
          <c:tx>
            <c:strRef>
              <c:f>'2'!$V$8</c:f>
              <c:strCache>
                <c:ptCount val="1"/>
                <c:pt idx="0">
                  <c:v>communication/management software</c:v>
                </c:pt>
              </c:strCache>
            </c:strRef>
          </c:tx>
          <c:spPr>
            <a:solidFill>
              <a:srgbClr val="44AA99"/>
            </a:solidFill>
            <a:ln>
              <a:noFill/>
            </a:ln>
            <a:effectLst/>
          </c:spPr>
          <c:invertIfNegative val="0"/>
          <c:cat>
            <c:strRef>
              <c:f>'2'!$X$1:$Z$1</c:f>
              <c:strCache>
                <c:ptCount val="3"/>
                <c:pt idx="0">
                  <c:v>full-service</c:v>
                </c:pt>
                <c:pt idx="1">
                  <c:v>hybrid-service</c:v>
                </c:pt>
                <c:pt idx="2">
                  <c:v>self-service</c:v>
                </c:pt>
              </c:strCache>
            </c:strRef>
          </c:cat>
          <c:val>
            <c:numRef>
              <c:f>'2'!$X$8:$Z$8</c:f>
              <c:numCache>
                <c:formatCode>General</c:formatCode>
                <c:ptCount val="3"/>
                <c:pt idx="0">
                  <c:v>26</c:v>
                </c:pt>
                <c:pt idx="1">
                  <c:v>37</c:v>
                </c:pt>
                <c:pt idx="2">
                  <c:v>7</c:v>
                </c:pt>
              </c:numCache>
            </c:numRef>
          </c:val>
          <c:extLst>
            <c:ext xmlns:c16="http://schemas.microsoft.com/office/drawing/2014/chart" uri="{C3380CC4-5D6E-409C-BE32-E72D297353CC}">
              <c16:uniqueId val="{00000006-C23F-41FC-B7E0-78D361B86102}"/>
            </c:ext>
          </c:extLst>
        </c:ser>
        <c:ser>
          <c:idx val="7"/>
          <c:order val="7"/>
          <c:tx>
            <c:strRef>
              <c:f>'2'!$V$9</c:f>
              <c:strCache>
                <c:ptCount val="1"/>
                <c:pt idx="0">
                  <c:v>social media</c:v>
                </c:pt>
              </c:strCache>
            </c:strRef>
          </c:tx>
          <c:spPr>
            <a:solidFill>
              <a:srgbClr val="AA4499"/>
            </a:solidFill>
            <a:ln>
              <a:noFill/>
            </a:ln>
            <a:effectLst/>
          </c:spPr>
          <c:invertIfNegative val="0"/>
          <c:cat>
            <c:strRef>
              <c:f>'2'!$X$1:$Z$1</c:f>
              <c:strCache>
                <c:ptCount val="3"/>
                <c:pt idx="0">
                  <c:v>full-service</c:v>
                </c:pt>
                <c:pt idx="1">
                  <c:v>hybrid-service</c:v>
                </c:pt>
                <c:pt idx="2">
                  <c:v>self-service</c:v>
                </c:pt>
              </c:strCache>
            </c:strRef>
          </c:cat>
          <c:val>
            <c:numRef>
              <c:f>'2'!$X$9:$Z$9</c:f>
              <c:numCache>
                <c:formatCode>General</c:formatCode>
                <c:ptCount val="3"/>
                <c:pt idx="0">
                  <c:v>7</c:v>
                </c:pt>
                <c:pt idx="1">
                  <c:v>22</c:v>
                </c:pt>
                <c:pt idx="2">
                  <c:v>3</c:v>
                </c:pt>
              </c:numCache>
            </c:numRef>
          </c:val>
          <c:extLst>
            <c:ext xmlns:c16="http://schemas.microsoft.com/office/drawing/2014/chart" uri="{C3380CC4-5D6E-409C-BE32-E72D297353CC}">
              <c16:uniqueId val="{00000007-C23F-41FC-B7E0-78D361B86102}"/>
            </c:ext>
          </c:extLst>
        </c:ser>
        <c:ser>
          <c:idx val="8"/>
          <c:order val="8"/>
          <c:tx>
            <c:strRef>
              <c:f>'2'!$V$10</c:f>
              <c:strCache>
                <c:ptCount val="1"/>
                <c:pt idx="0">
                  <c:v>other</c:v>
                </c:pt>
              </c:strCache>
            </c:strRef>
          </c:tx>
          <c:spPr>
            <a:solidFill>
              <a:srgbClr val="999933"/>
            </a:solidFill>
            <a:ln>
              <a:noFill/>
            </a:ln>
            <a:effectLst/>
          </c:spPr>
          <c:invertIfNegative val="0"/>
          <c:cat>
            <c:strRef>
              <c:f>'2'!$X$1:$Z$1</c:f>
              <c:strCache>
                <c:ptCount val="3"/>
                <c:pt idx="0">
                  <c:v>full-service</c:v>
                </c:pt>
                <c:pt idx="1">
                  <c:v>hybrid-service</c:v>
                </c:pt>
                <c:pt idx="2">
                  <c:v>self-service</c:v>
                </c:pt>
              </c:strCache>
            </c:strRef>
          </c:cat>
          <c:val>
            <c:numRef>
              <c:f>'2'!$X$10:$Z$10</c:f>
              <c:numCache>
                <c:formatCode>General</c:formatCode>
                <c:ptCount val="3"/>
                <c:pt idx="0">
                  <c:v>0</c:v>
                </c:pt>
                <c:pt idx="1">
                  <c:v>6</c:v>
                </c:pt>
                <c:pt idx="2">
                  <c:v>4</c:v>
                </c:pt>
              </c:numCache>
            </c:numRef>
          </c:val>
          <c:extLst>
            <c:ext xmlns:c16="http://schemas.microsoft.com/office/drawing/2014/chart" uri="{C3380CC4-5D6E-409C-BE32-E72D297353CC}">
              <c16:uniqueId val="{00000008-C23F-41FC-B7E0-78D361B86102}"/>
            </c:ext>
          </c:extLst>
        </c:ser>
        <c:dLbls>
          <c:showLegendKey val="0"/>
          <c:showVal val="0"/>
          <c:showCatName val="0"/>
          <c:showSerName val="0"/>
          <c:showPercent val="0"/>
          <c:showBubbleSize val="0"/>
        </c:dLbls>
        <c:gapWidth val="130"/>
        <c:overlap val="100"/>
        <c:axId val="372712496"/>
        <c:axId val="372714136"/>
      </c:barChart>
      <c:catAx>
        <c:axId val="37271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2714136"/>
        <c:crosses val="autoZero"/>
        <c:auto val="1"/>
        <c:lblAlgn val="ctr"/>
        <c:lblOffset val="100"/>
        <c:noMultiLvlLbl val="0"/>
      </c:catAx>
      <c:valAx>
        <c:axId val="372714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2712496"/>
        <c:crosses val="autoZero"/>
        <c:crossBetween val="between"/>
      </c:valAx>
      <c:spPr>
        <a:noFill/>
        <a:ln>
          <a:noFill/>
        </a:ln>
        <a:effectLst/>
      </c:spPr>
    </c:plotArea>
    <c:legend>
      <c:legendPos val="r"/>
      <c:layout>
        <c:manualLayout>
          <c:xMode val="edge"/>
          <c:yMode val="edge"/>
          <c:x val="0.62705438658557033"/>
          <c:y val="0.10809186680316531"/>
          <c:w val="0.34653732306430801"/>
          <c:h val="0.76172400992381906"/>
        </c:manualLayout>
      </c:layout>
      <c:overlay val="0"/>
      <c:spPr>
        <a:noFill/>
        <a:ln>
          <a:noFill/>
        </a:ln>
        <a:effectLst/>
      </c:spPr>
      <c:txPr>
        <a:bodyPr rot="0" spcFirstLastPara="1" vertOverflow="ellipsis" vert="horz" wrap="square" anchor="t" anchorCtr="0"/>
        <a:lstStyle/>
        <a:p>
          <a:pPr>
            <a:defRPr sz="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 needs improvement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'2'!$AJ$2</c:f>
              <c:strCache>
                <c:ptCount val="1"/>
                <c:pt idx="0">
                  <c:v>yes</c:v>
                </c:pt>
              </c:strCache>
            </c:strRef>
          </c:tx>
          <c:spPr>
            <a:solidFill>
              <a:srgbClr val="FF0000"/>
            </a:solidFill>
            <a:ln>
              <a:noFill/>
            </a:ln>
            <a:effectLst/>
          </c:spPr>
          <c:invertIfNegative val="0"/>
          <c:cat>
            <c:strRef>
              <c:f>'2'!$AL$1:$AN$1</c:f>
              <c:strCache>
                <c:ptCount val="3"/>
                <c:pt idx="0">
                  <c:v>full-service</c:v>
                </c:pt>
                <c:pt idx="1">
                  <c:v>hybrid-service</c:v>
                </c:pt>
                <c:pt idx="2">
                  <c:v>self-service</c:v>
                </c:pt>
              </c:strCache>
            </c:strRef>
          </c:cat>
          <c:val>
            <c:numRef>
              <c:f>'2'!$AL$2:$AN$2</c:f>
              <c:numCache>
                <c:formatCode>General</c:formatCode>
                <c:ptCount val="3"/>
                <c:pt idx="0">
                  <c:v>26</c:v>
                </c:pt>
                <c:pt idx="1">
                  <c:v>63</c:v>
                </c:pt>
                <c:pt idx="2">
                  <c:v>14</c:v>
                </c:pt>
              </c:numCache>
            </c:numRef>
          </c:val>
          <c:extLst>
            <c:ext xmlns:c16="http://schemas.microsoft.com/office/drawing/2014/chart" uri="{C3380CC4-5D6E-409C-BE32-E72D297353CC}">
              <c16:uniqueId val="{00000000-40DA-47B4-A24A-EDFF9ED76C5E}"/>
            </c:ext>
          </c:extLst>
        </c:ser>
        <c:ser>
          <c:idx val="1"/>
          <c:order val="1"/>
          <c:tx>
            <c:strRef>
              <c:f>'2'!$AJ$3</c:f>
              <c:strCache>
                <c:ptCount val="1"/>
                <c:pt idx="0">
                  <c:v>no</c:v>
                </c:pt>
              </c:strCache>
            </c:strRef>
          </c:tx>
          <c:spPr>
            <a:solidFill>
              <a:schemeClr val="accent1"/>
            </a:solidFill>
            <a:ln>
              <a:noFill/>
            </a:ln>
            <a:effectLst/>
          </c:spPr>
          <c:invertIfNegative val="0"/>
          <c:cat>
            <c:strRef>
              <c:f>'2'!$AL$1:$AN$1</c:f>
              <c:strCache>
                <c:ptCount val="3"/>
                <c:pt idx="0">
                  <c:v>full-service</c:v>
                </c:pt>
                <c:pt idx="1">
                  <c:v>hybrid-service</c:v>
                </c:pt>
                <c:pt idx="2">
                  <c:v>self-service</c:v>
                </c:pt>
              </c:strCache>
            </c:strRef>
          </c:cat>
          <c:val>
            <c:numRef>
              <c:f>'2'!$AL$3:$AN$3</c:f>
              <c:numCache>
                <c:formatCode>General</c:formatCode>
                <c:ptCount val="3"/>
                <c:pt idx="0">
                  <c:v>47</c:v>
                </c:pt>
                <c:pt idx="1">
                  <c:v>112</c:v>
                </c:pt>
                <c:pt idx="2">
                  <c:v>14</c:v>
                </c:pt>
              </c:numCache>
            </c:numRef>
          </c:val>
          <c:extLst>
            <c:ext xmlns:c16="http://schemas.microsoft.com/office/drawing/2014/chart" uri="{C3380CC4-5D6E-409C-BE32-E72D297353CC}">
              <c16:uniqueId val="{00000001-40DA-47B4-A24A-EDFF9ED76C5E}"/>
            </c:ext>
          </c:extLst>
        </c:ser>
        <c:dLbls>
          <c:showLegendKey val="0"/>
          <c:showVal val="0"/>
          <c:showCatName val="0"/>
          <c:showSerName val="0"/>
          <c:showPercent val="0"/>
          <c:showBubbleSize val="0"/>
        </c:dLbls>
        <c:gapWidth val="130"/>
        <c:overlap val="100"/>
        <c:axId val="513214136"/>
        <c:axId val="515178176"/>
      </c:barChart>
      <c:catAx>
        <c:axId val="513214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178176"/>
        <c:crosses val="autoZero"/>
        <c:auto val="1"/>
        <c:lblAlgn val="ctr"/>
        <c:lblOffset val="100"/>
        <c:noMultiLvlLbl val="0"/>
      </c:catAx>
      <c:valAx>
        <c:axId val="515178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3214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use of communication/management software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'2'!$BA$2</c:f>
              <c:strCache>
                <c:ptCount val="1"/>
                <c:pt idx="0">
                  <c:v>yes</c:v>
                </c:pt>
              </c:strCache>
            </c:strRef>
          </c:tx>
          <c:spPr>
            <a:solidFill>
              <a:schemeClr val="accent1"/>
            </a:solidFill>
            <a:ln>
              <a:noFill/>
            </a:ln>
            <a:effectLst/>
          </c:spPr>
          <c:invertIfNegative val="0"/>
          <c:cat>
            <c:strRef>
              <c:f>'2'!$BC$1:$BE$1</c:f>
              <c:strCache>
                <c:ptCount val="3"/>
                <c:pt idx="0">
                  <c:v>full-service</c:v>
                </c:pt>
                <c:pt idx="1">
                  <c:v>hybrid-service</c:v>
                </c:pt>
                <c:pt idx="2">
                  <c:v>self-service</c:v>
                </c:pt>
              </c:strCache>
            </c:strRef>
          </c:cat>
          <c:val>
            <c:numRef>
              <c:f>'2'!$BC$2:$BE$2</c:f>
              <c:numCache>
                <c:formatCode>General</c:formatCode>
                <c:ptCount val="3"/>
                <c:pt idx="0">
                  <c:v>30</c:v>
                </c:pt>
                <c:pt idx="1">
                  <c:v>42</c:v>
                </c:pt>
                <c:pt idx="2">
                  <c:v>8</c:v>
                </c:pt>
              </c:numCache>
            </c:numRef>
          </c:val>
          <c:extLst>
            <c:ext xmlns:c16="http://schemas.microsoft.com/office/drawing/2014/chart" uri="{C3380CC4-5D6E-409C-BE32-E72D297353CC}">
              <c16:uniqueId val="{00000000-65BB-446B-A789-459AF026A7CC}"/>
            </c:ext>
          </c:extLst>
        </c:ser>
        <c:ser>
          <c:idx val="1"/>
          <c:order val="1"/>
          <c:tx>
            <c:strRef>
              <c:f>'2'!$BA$3</c:f>
              <c:strCache>
                <c:ptCount val="1"/>
                <c:pt idx="0">
                  <c:v>no, but would make sense</c:v>
                </c:pt>
              </c:strCache>
            </c:strRef>
          </c:tx>
          <c:spPr>
            <a:solidFill>
              <a:srgbClr val="FF7C80"/>
            </a:solidFill>
            <a:ln>
              <a:noFill/>
            </a:ln>
            <a:effectLst/>
          </c:spPr>
          <c:invertIfNegative val="0"/>
          <c:cat>
            <c:strRef>
              <c:f>'2'!$BC$1:$BE$1</c:f>
              <c:strCache>
                <c:ptCount val="3"/>
                <c:pt idx="0">
                  <c:v>full-service</c:v>
                </c:pt>
                <c:pt idx="1">
                  <c:v>hybrid-service</c:v>
                </c:pt>
                <c:pt idx="2">
                  <c:v>self-service</c:v>
                </c:pt>
              </c:strCache>
            </c:strRef>
          </c:cat>
          <c:val>
            <c:numRef>
              <c:f>'2'!$BC$3:$BE$3</c:f>
              <c:numCache>
                <c:formatCode>General</c:formatCode>
                <c:ptCount val="3"/>
                <c:pt idx="0">
                  <c:v>23</c:v>
                </c:pt>
                <c:pt idx="1">
                  <c:v>64</c:v>
                </c:pt>
                <c:pt idx="2">
                  <c:v>6</c:v>
                </c:pt>
              </c:numCache>
            </c:numRef>
          </c:val>
          <c:extLst>
            <c:ext xmlns:c16="http://schemas.microsoft.com/office/drawing/2014/chart" uri="{C3380CC4-5D6E-409C-BE32-E72D297353CC}">
              <c16:uniqueId val="{00000001-65BB-446B-A789-459AF026A7CC}"/>
            </c:ext>
          </c:extLst>
        </c:ser>
        <c:ser>
          <c:idx val="2"/>
          <c:order val="2"/>
          <c:tx>
            <c:strRef>
              <c:f>'2'!$BA$4</c:f>
              <c:strCache>
                <c:ptCount val="1"/>
                <c:pt idx="0">
                  <c:v>no, would not make sense</c:v>
                </c:pt>
              </c:strCache>
            </c:strRef>
          </c:tx>
          <c:spPr>
            <a:solidFill>
              <a:srgbClr val="FF0000"/>
            </a:solidFill>
            <a:ln>
              <a:noFill/>
            </a:ln>
            <a:effectLst/>
          </c:spPr>
          <c:invertIfNegative val="0"/>
          <c:cat>
            <c:strRef>
              <c:f>'2'!$BC$1:$BE$1</c:f>
              <c:strCache>
                <c:ptCount val="3"/>
                <c:pt idx="0">
                  <c:v>full-service</c:v>
                </c:pt>
                <c:pt idx="1">
                  <c:v>hybrid-service</c:v>
                </c:pt>
                <c:pt idx="2">
                  <c:v>self-service</c:v>
                </c:pt>
              </c:strCache>
            </c:strRef>
          </c:cat>
          <c:val>
            <c:numRef>
              <c:f>'2'!$BC$4:$BE$4</c:f>
              <c:numCache>
                <c:formatCode>General</c:formatCode>
                <c:ptCount val="3"/>
                <c:pt idx="0">
                  <c:v>20</c:v>
                </c:pt>
                <c:pt idx="1">
                  <c:v>68</c:v>
                </c:pt>
                <c:pt idx="2">
                  <c:v>14</c:v>
                </c:pt>
              </c:numCache>
            </c:numRef>
          </c:val>
          <c:extLst>
            <c:ext xmlns:c16="http://schemas.microsoft.com/office/drawing/2014/chart" uri="{C3380CC4-5D6E-409C-BE32-E72D297353CC}">
              <c16:uniqueId val="{00000002-65BB-446B-A789-459AF026A7CC}"/>
            </c:ext>
          </c:extLst>
        </c:ser>
        <c:dLbls>
          <c:showLegendKey val="0"/>
          <c:showVal val="0"/>
          <c:showCatName val="0"/>
          <c:showSerName val="0"/>
          <c:showPercent val="0"/>
          <c:showBubbleSize val="0"/>
        </c:dLbls>
        <c:gapWidth val="130"/>
        <c:overlap val="100"/>
        <c:axId val="375799560"/>
        <c:axId val="377314080"/>
      </c:barChart>
      <c:catAx>
        <c:axId val="375799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7314080"/>
        <c:crosses val="autoZero"/>
        <c:auto val="1"/>
        <c:lblAlgn val="ctr"/>
        <c:lblOffset val="100"/>
        <c:noMultiLvlLbl val="0"/>
      </c:catAx>
      <c:valAx>
        <c:axId val="377314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57995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 / Management software used: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'2'!$BO$2</c:f>
              <c:strCache>
                <c:ptCount val="1"/>
                <c:pt idx="0">
                  <c:v>PPMS</c:v>
                </c:pt>
              </c:strCache>
            </c:strRef>
          </c:tx>
          <c:spPr>
            <a:solidFill>
              <a:srgbClr val="4477AA"/>
            </a:solidFill>
            <a:ln>
              <a:noFill/>
            </a:ln>
            <a:effectLst/>
          </c:spPr>
          <c:invertIfNegative val="0"/>
          <c:cat>
            <c:strRef>
              <c:f>'2'!$BT$1:$BV$1</c:f>
              <c:strCache>
                <c:ptCount val="3"/>
                <c:pt idx="0">
                  <c:v>full-service</c:v>
                </c:pt>
                <c:pt idx="1">
                  <c:v>hybrid-service</c:v>
                </c:pt>
                <c:pt idx="2">
                  <c:v>self-service</c:v>
                </c:pt>
              </c:strCache>
            </c:strRef>
          </c:cat>
          <c:val>
            <c:numRef>
              <c:f>'2'!$BT$2:$BV$2</c:f>
              <c:numCache>
                <c:formatCode>General</c:formatCode>
                <c:ptCount val="3"/>
                <c:pt idx="0">
                  <c:v>1</c:v>
                </c:pt>
                <c:pt idx="1">
                  <c:v>8</c:v>
                </c:pt>
                <c:pt idx="2">
                  <c:v>4</c:v>
                </c:pt>
              </c:numCache>
            </c:numRef>
          </c:val>
          <c:extLst>
            <c:ext xmlns:c16="http://schemas.microsoft.com/office/drawing/2014/chart" uri="{C3380CC4-5D6E-409C-BE32-E72D297353CC}">
              <c16:uniqueId val="{00000000-757D-4EE5-BB5C-81ACCEA7EEEE}"/>
            </c:ext>
          </c:extLst>
        </c:ser>
        <c:ser>
          <c:idx val="1"/>
          <c:order val="1"/>
          <c:tx>
            <c:strRef>
              <c:f>'2'!$BO$3</c:f>
              <c:strCache>
                <c:ptCount val="1"/>
                <c:pt idx="0">
                  <c:v>iLab</c:v>
                </c:pt>
              </c:strCache>
            </c:strRef>
          </c:tx>
          <c:spPr>
            <a:solidFill>
              <a:srgbClr val="66CCEE"/>
            </a:solidFill>
            <a:ln>
              <a:noFill/>
            </a:ln>
            <a:effectLst/>
          </c:spPr>
          <c:invertIfNegative val="0"/>
          <c:cat>
            <c:strRef>
              <c:f>'2'!$BT$1:$BV$1</c:f>
              <c:strCache>
                <c:ptCount val="3"/>
                <c:pt idx="0">
                  <c:v>full-service</c:v>
                </c:pt>
                <c:pt idx="1">
                  <c:v>hybrid-service</c:v>
                </c:pt>
                <c:pt idx="2">
                  <c:v>self-service</c:v>
                </c:pt>
              </c:strCache>
            </c:strRef>
          </c:cat>
          <c:val>
            <c:numRef>
              <c:f>'2'!$BT$3:$BV$3</c:f>
              <c:numCache>
                <c:formatCode>General</c:formatCode>
                <c:ptCount val="3"/>
                <c:pt idx="0">
                  <c:v>4</c:v>
                </c:pt>
                <c:pt idx="1">
                  <c:v>5</c:v>
                </c:pt>
                <c:pt idx="2">
                  <c:v>0</c:v>
                </c:pt>
              </c:numCache>
            </c:numRef>
          </c:val>
          <c:extLst>
            <c:ext xmlns:c16="http://schemas.microsoft.com/office/drawing/2014/chart" uri="{C3380CC4-5D6E-409C-BE32-E72D297353CC}">
              <c16:uniqueId val="{00000001-757D-4EE5-BB5C-81ACCEA7EEEE}"/>
            </c:ext>
          </c:extLst>
        </c:ser>
        <c:ser>
          <c:idx val="2"/>
          <c:order val="2"/>
          <c:tx>
            <c:strRef>
              <c:f>'2'!$BO$4</c:f>
              <c:strCache>
                <c:ptCount val="1"/>
                <c:pt idx="0">
                  <c:v>Open IRIS</c:v>
                </c:pt>
              </c:strCache>
            </c:strRef>
          </c:tx>
          <c:spPr>
            <a:solidFill>
              <a:srgbClr val="228833"/>
            </a:solidFill>
            <a:ln>
              <a:noFill/>
            </a:ln>
            <a:effectLst/>
          </c:spPr>
          <c:invertIfNegative val="0"/>
          <c:cat>
            <c:strRef>
              <c:f>'2'!$BT$1:$BV$1</c:f>
              <c:strCache>
                <c:ptCount val="3"/>
                <c:pt idx="0">
                  <c:v>full-service</c:v>
                </c:pt>
                <c:pt idx="1">
                  <c:v>hybrid-service</c:v>
                </c:pt>
                <c:pt idx="2">
                  <c:v>self-service</c:v>
                </c:pt>
              </c:strCache>
            </c:strRef>
          </c:cat>
          <c:val>
            <c:numRef>
              <c:f>'2'!$BT$4:$BV$4</c:f>
              <c:numCache>
                <c:formatCode>General</c:formatCode>
                <c:ptCount val="3"/>
                <c:pt idx="0">
                  <c:v>5</c:v>
                </c:pt>
                <c:pt idx="1">
                  <c:v>3</c:v>
                </c:pt>
                <c:pt idx="2">
                  <c:v>0</c:v>
                </c:pt>
              </c:numCache>
            </c:numRef>
          </c:val>
          <c:extLst>
            <c:ext xmlns:c16="http://schemas.microsoft.com/office/drawing/2014/chart" uri="{C3380CC4-5D6E-409C-BE32-E72D297353CC}">
              <c16:uniqueId val="{00000002-757D-4EE5-BB5C-81ACCEA7EEEE}"/>
            </c:ext>
          </c:extLst>
        </c:ser>
        <c:ser>
          <c:idx val="3"/>
          <c:order val="3"/>
          <c:tx>
            <c:strRef>
              <c:f>'2'!$BO$5</c:f>
              <c:strCache>
                <c:ptCount val="1"/>
                <c:pt idx="0">
                  <c:v>Slack</c:v>
                </c:pt>
              </c:strCache>
            </c:strRef>
          </c:tx>
          <c:spPr>
            <a:solidFill>
              <a:srgbClr val="CCBB44"/>
            </a:solidFill>
            <a:ln>
              <a:noFill/>
            </a:ln>
            <a:effectLst/>
          </c:spPr>
          <c:invertIfNegative val="0"/>
          <c:cat>
            <c:strRef>
              <c:f>'2'!$BT$1:$BV$1</c:f>
              <c:strCache>
                <c:ptCount val="3"/>
                <c:pt idx="0">
                  <c:v>full-service</c:v>
                </c:pt>
                <c:pt idx="1">
                  <c:v>hybrid-service</c:v>
                </c:pt>
                <c:pt idx="2">
                  <c:v>self-service</c:v>
                </c:pt>
              </c:strCache>
            </c:strRef>
          </c:cat>
          <c:val>
            <c:numRef>
              <c:f>'2'!$BT$5:$BV$5</c:f>
              <c:numCache>
                <c:formatCode>General</c:formatCode>
                <c:ptCount val="3"/>
                <c:pt idx="0">
                  <c:v>2</c:v>
                </c:pt>
                <c:pt idx="1">
                  <c:v>4</c:v>
                </c:pt>
                <c:pt idx="2">
                  <c:v>0</c:v>
                </c:pt>
              </c:numCache>
            </c:numRef>
          </c:val>
          <c:extLst>
            <c:ext xmlns:c16="http://schemas.microsoft.com/office/drawing/2014/chart" uri="{C3380CC4-5D6E-409C-BE32-E72D297353CC}">
              <c16:uniqueId val="{00000003-757D-4EE5-BB5C-81ACCEA7EEEE}"/>
            </c:ext>
          </c:extLst>
        </c:ser>
        <c:ser>
          <c:idx val="4"/>
          <c:order val="4"/>
          <c:tx>
            <c:strRef>
              <c:f>'2'!$BO$6</c:f>
              <c:strCache>
                <c:ptCount val="1"/>
                <c:pt idx="0">
                  <c:v>Agendo</c:v>
                </c:pt>
              </c:strCache>
            </c:strRef>
          </c:tx>
          <c:spPr>
            <a:solidFill>
              <a:srgbClr val="AA3377"/>
            </a:solidFill>
            <a:ln>
              <a:noFill/>
            </a:ln>
            <a:effectLst/>
          </c:spPr>
          <c:invertIfNegative val="0"/>
          <c:cat>
            <c:strRef>
              <c:f>'2'!$BT$1:$BV$1</c:f>
              <c:strCache>
                <c:ptCount val="3"/>
                <c:pt idx="0">
                  <c:v>full-service</c:v>
                </c:pt>
                <c:pt idx="1">
                  <c:v>hybrid-service</c:v>
                </c:pt>
                <c:pt idx="2">
                  <c:v>self-service</c:v>
                </c:pt>
              </c:strCache>
            </c:strRef>
          </c:cat>
          <c:val>
            <c:numRef>
              <c:f>'2'!$BT$6:$BV$6</c:f>
              <c:numCache>
                <c:formatCode>General</c:formatCode>
                <c:ptCount val="3"/>
                <c:pt idx="0">
                  <c:v>2</c:v>
                </c:pt>
                <c:pt idx="1">
                  <c:v>2</c:v>
                </c:pt>
                <c:pt idx="2">
                  <c:v>0</c:v>
                </c:pt>
              </c:numCache>
            </c:numRef>
          </c:val>
          <c:extLst>
            <c:ext xmlns:c16="http://schemas.microsoft.com/office/drawing/2014/chart" uri="{C3380CC4-5D6E-409C-BE32-E72D297353CC}">
              <c16:uniqueId val="{00000004-757D-4EE5-BB5C-81ACCEA7EEEE}"/>
            </c:ext>
          </c:extLst>
        </c:ser>
        <c:ser>
          <c:idx val="5"/>
          <c:order val="5"/>
          <c:tx>
            <c:strRef>
              <c:f>'2'!$BO$7</c:f>
              <c:strCache>
                <c:ptCount val="1"/>
                <c:pt idx="0">
                  <c:v>LIMS, ELN</c:v>
                </c:pt>
              </c:strCache>
            </c:strRef>
          </c:tx>
          <c:spPr>
            <a:solidFill>
              <a:srgbClr val="EE6677"/>
            </a:solidFill>
            <a:ln>
              <a:noFill/>
            </a:ln>
            <a:effectLst/>
          </c:spPr>
          <c:invertIfNegative val="0"/>
          <c:cat>
            <c:strRef>
              <c:f>'2'!$BT$1:$BV$1</c:f>
              <c:strCache>
                <c:ptCount val="3"/>
                <c:pt idx="0">
                  <c:v>full-service</c:v>
                </c:pt>
                <c:pt idx="1">
                  <c:v>hybrid-service</c:v>
                </c:pt>
                <c:pt idx="2">
                  <c:v>self-service</c:v>
                </c:pt>
              </c:strCache>
            </c:strRef>
          </c:cat>
          <c:val>
            <c:numRef>
              <c:f>'2'!$BT$7:$BV$7</c:f>
              <c:numCache>
                <c:formatCode>General</c:formatCode>
                <c:ptCount val="3"/>
                <c:pt idx="0">
                  <c:v>16</c:v>
                </c:pt>
                <c:pt idx="1">
                  <c:v>14</c:v>
                </c:pt>
                <c:pt idx="2">
                  <c:v>3</c:v>
                </c:pt>
              </c:numCache>
            </c:numRef>
          </c:val>
          <c:extLst>
            <c:ext xmlns:c16="http://schemas.microsoft.com/office/drawing/2014/chart" uri="{C3380CC4-5D6E-409C-BE32-E72D297353CC}">
              <c16:uniqueId val="{00000005-757D-4EE5-BB5C-81ACCEA7EEEE}"/>
            </c:ext>
          </c:extLst>
        </c:ser>
        <c:ser>
          <c:idx val="6"/>
          <c:order val="6"/>
          <c:tx>
            <c:strRef>
              <c:f>'2'!$BO$8</c:f>
              <c:strCache>
                <c:ptCount val="1"/>
                <c:pt idx="0">
                  <c:v>other</c:v>
                </c:pt>
              </c:strCache>
            </c:strRef>
          </c:tx>
          <c:spPr>
            <a:solidFill>
              <a:srgbClr val="BBBBBB"/>
            </a:solidFill>
            <a:ln>
              <a:noFill/>
            </a:ln>
            <a:effectLst/>
          </c:spPr>
          <c:invertIfNegative val="0"/>
          <c:cat>
            <c:strRef>
              <c:f>'2'!$BT$1:$BV$1</c:f>
              <c:strCache>
                <c:ptCount val="3"/>
                <c:pt idx="0">
                  <c:v>full-service</c:v>
                </c:pt>
                <c:pt idx="1">
                  <c:v>hybrid-service</c:v>
                </c:pt>
                <c:pt idx="2">
                  <c:v>self-service</c:v>
                </c:pt>
              </c:strCache>
            </c:strRef>
          </c:cat>
          <c:val>
            <c:numRef>
              <c:f>'2'!$BT$8:$BV$8</c:f>
              <c:numCache>
                <c:formatCode>General</c:formatCode>
                <c:ptCount val="3"/>
                <c:pt idx="0">
                  <c:v>10</c:v>
                </c:pt>
                <c:pt idx="1">
                  <c:v>12</c:v>
                </c:pt>
                <c:pt idx="2">
                  <c:v>2</c:v>
                </c:pt>
              </c:numCache>
            </c:numRef>
          </c:val>
          <c:extLst>
            <c:ext xmlns:c16="http://schemas.microsoft.com/office/drawing/2014/chart" uri="{C3380CC4-5D6E-409C-BE32-E72D297353CC}">
              <c16:uniqueId val="{00000006-757D-4EE5-BB5C-81ACCEA7EEEE}"/>
            </c:ext>
          </c:extLst>
        </c:ser>
        <c:dLbls>
          <c:showLegendKey val="0"/>
          <c:showVal val="0"/>
          <c:showCatName val="0"/>
          <c:showSerName val="0"/>
          <c:showPercent val="0"/>
          <c:showBubbleSize val="0"/>
        </c:dLbls>
        <c:gapWidth val="130"/>
        <c:overlap val="100"/>
        <c:axId val="98019816"/>
        <c:axId val="98020800"/>
      </c:barChart>
      <c:catAx>
        <c:axId val="98019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98020800"/>
        <c:crosses val="autoZero"/>
        <c:auto val="1"/>
        <c:lblAlgn val="ctr"/>
        <c:lblOffset val="100"/>
        <c:noMultiLvlLbl val="0"/>
      </c:catAx>
      <c:valAx>
        <c:axId val="9802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98019816"/>
        <c:crosses val="autoZero"/>
        <c:crossBetween val="between"/>
      </c:valAx>
      <c:spPr>
        <a:noFill/>
        <a:ln>
          <a:noFill/>
        </a:ln>
        <a:effectLst/>
      </c:spPr>
    </c:plotArea>
    <c:legend>
      <c:legendPos val="r"/>
      <c:layout>
        <c:manualLayout>
          <c:xMode val="edge"/>
          <c:yMode val="edge"/>
          <c:x val="0.7147713775422635"/>
          <c:y val="0.29292908091485126"/>
          <c:w val="0.25153132348592588"/>
          <c:h val="0.449832864169604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Management software used: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rgbClr val="4477AA"/>
              </a:solidFill>
              <a:ln w="19050">
                <a:solidFill>
                  <a:schemeClr val="lt1"/>
                </a:solidFill>
              </a:ln>
              <a:effectLst/>
            </c:spPr>
            <c:extLst>
              <c:ext xmlns:c16="http://schemas.microsoft.com/office/drawing/2014/chart" uri="{C3380CC4-5D6E-409C-BE32-E72D297353CC}">
                <c16:uniqueId val="{00000001-6A3C-4C76-8086-D617C2787BED}"/>
              </c:ext>
            </c:extLst>
          </c:dPt>
          <c:dPt>
            <c:idx val="1"/>
            <c:bubble3D val="0"/>
            <c:spPr>
              <a:solidFill>
                <a:srgbClr val="66CCEE"/>
              </a:solidFill>
              <a:ln w="19050">
                <a:solidFill>
                  <a:schemeClr val="lt1"/>
                </a:solidFill>
              </a:ln>
              <a:effectLst/>
            </c:spPr>
            <c:extLst>
              <c:ext xmlns:c16="http://schemas.microsoft.com/office/drawing/2014/chart" uri="{C3380CC4-5D6E-409C-BE32-E72D297353CC}">
                <c16:uniqueId val="{00000002-6A3C-4C76-8086-D617C2787BED}"/>
              </c:ext>
            </c:extLst>
          </c:dPt>
          <c:dPt>
            <c:idx val="2"/>
            <c:bubble3D val="0"/>
            <c:spPr>
              <a:solidFill>
                <a:srgbClr val="228833"/>
              </a:solidFill>
              <a:ln w="19050">
                <a:solidFill>
                  <a:schemeClr val="lt1"/>
                </a:solidFill>
              </a:ln>
              <a:effectLst/>
            </c:spPr>
            <c:extLst>
              <c:ext xmlns:c16="http://schemas.microsoft.com/office/drawing/2014/chart" uri="{C3380CC4-5D6E-409C-BE32-E72D297353CC}">
                <c16:uniqueId val="{00000003-6A3C-4C76-8086-D617C2787BED}"/>
              </c:ext>
            </c:extLst>
          </c:dPt>
          <c:dPt>
            <c:idx val="3"/>
            <c:bubble3D val="0"/>
            <c:spPr>
              <a:solidFill>
                <a:srgbClr val="CCBB44"/>
              </a:solidFill>
              <a:ln w="19050">
                <a:solidFill>
                  <a:schemeClr val="lt1"/>
                </a:solidFill>
              </a:ln>
              <a:effectLst/>
            </c:spPr>
            <c:extLst>
              <c:ext xmlns:c16="http://schemas.microsoft.com/office/drawing/2014/chart" uri="{C3380CC4-5D6E-409C-BE32-E72D297353CC}">
                <c16:uniqueId val="{00000005-6A3C-4C76-8086-D617C2787BED}"/>
              </c:ext>
            </c:extLst>
          </c:dPt>
          <c:dPt>
            <c:idx val="4"/>
            <c:bubble3D val="0"/>
            <c:spPr>
              <a:solidFill>
                <a:srgbClr val="AA3377"/>
              </a:solidFill>
              <a:ln w="19050">
                <a:solidFill>
                  <a:schemeClr val="lt1"/>
                </a:solidFill>
              </a:ln>
              <a:effectLst/>
            </c:spPr>
            <c:extLst>
              <c:ext xmlns:c16="http://schemas.microsoft.com/office/drawing/2014/chart" uri="{C3380CC4-5D6E-409C-BE32-E72D297353CC}">
                <c16:uniqueId val="{00000004-6A3C-4C76-8086-D617C2787BED}"/>
              </c:ext>
            </c:extLst>
          </c:dPt>
          <c:dPt>
            <c:idx val="5"/>
            <c:bubble3D val="0"/>
            <c:spPr>
              <a:solidFill>
                <a:srgbClr val="EE6677"/>
              </a:solidFill>
              <a:ln w="19050">
                <a:solidFill>
                  <a:schemeClr val="lt1"/>
                </a:solidFill>
              </a:ln>
              <a:effectLst/>
            </c:spPr>
            <c:extLst>
              <c:ext xmlns:c16="http://schemas.microsoft.com/office/drawing/2014/chart" uri="{C3380CC4-5D6E-409C-BE32-E72D297353CC}">
                <c16:uniqueId val="{00000006-6A3C-4C76-8086-D617C2787BED}"/>
              </c:ext>
            </c:extLst>
          </c:dPt>
          <c:dPt>
            <c:idx val="6"/>
            <c:bubble3D val="0"/>
            <c:spPr>
              <a:solidFill>
                <a:srgbClr val="BBBBBB"/>
              </a:solidFill>
              <a:ln w="19050">
                <a:solidFill>
                  <a:schemeClr val="lt1"/>
                </a:solidFill>
              </a:ln>
              <a:effectLst/>
            </c:spPr>
            <c:extLst>
              <c:ext xmlns:c16="http://schemas.microsoft.com/office/drawing/2014/chart" uri="{C3380CC4-5D6E-409C-BE32-E72D297353CC}">
                <c16:uniqueId val="{00000007-6A3C-4C76-8086-D617C2787B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'2'!$BQ$2:$BQ$8</c:f>
              <c:strCache>
                <c:ptCount val="7"/>
                <c:pt idx="0">
                  <c:v>PPMS</c:v>
                </c:pt>
                <c:pt idx="1">
                  <c:v>iLab</c:v>
                </c:pt>
                <c:pt idx="2">
                  <c:v>Open IRIS</c:v>
                </c:pt>
                <c:pt idx="3">
                  <c:v>Slack</c:v>
                </c:pt>
                <c:pt idx="4">
                  <c:v>Agendo</c:v>
                </c:pt>
                <c:pt idx="5">
                  <c:v>LIMS, ELN</c:v>
                </c:pt>
                <c:pt idx="6">
                  <c:v>other</c:v>
                </c:pt>
              </c:strCache>
            </c:strRef>
          </c:cat>
          <c:val>
            <c:numRef>
              <c:f>'2'!$BR$2:$BR$8</c:f>
              <c:numCache>
                <c:formatCode>0</c:formatCode>
                <c:ptCount val="7"/>
                <c:pt idx="0">
                  <c:v>13.402061855670103</c:v>
                </c:pt>
                <c:pt idx="1">
                  <c:v>9.2783505154639183</c:v>
                </c:pt>
                <c:pt idx="2">
                  <c:v>8.2474226804123703</c:v>
                </c:pt>
                <c:pt idx="3">
                  <c:v>6.1855670103092786</c:v>
                </c:pt>
                <c:pt idx="4">
                  <c:v>4.1237113402061851</c:v>
                </c:pt>
                <c:pt idx="5">
                  <c:v>34.020618556701031</c:v>
                </c:pt>
                <c:pt idx="6">
                  <c:v>24.742268041237114</c:v>
                </c:pt>
              </c:numCache>
            </c:numRef>
          </c:val>
          <c:extLst>
            <c:ext xmlns:c16="http://schemas.microsoft.com/office/drawing/2014/chart" uri="{C3380CC4-5D6E-409C-BE32-E72D297353CC}">
              <c16:uniqueId val="{00000000-6A3C-4C76-8086-D617C2787BE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a:t>
            </a:r>
            <a:r>
              <a:rPr lang="en-GB" baseline="0"/>
              <a:t> needs improvement</a:t>
            </a:r>
          </a:p>
          <a:p>
            <a:pPr>
              <a:defRPr/>
            </a:pP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551806556095382"/>
          <c:y val="0.28828703703703706"/>
          <c:w val="0.68002769866532631"/>
          <c:h val="0.554883712452610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4BA-44EE-900F-55B9788ACA98}"/>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14BA-44EE-900F-55B9788ACA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'2bis'!$AT$2:$AT$3</c:f>
              <c:strCache>
                <c:ptCount val="2"/>
                <c:pt idx="0">
                  <c:v>yes</c:v>
                </c:pt>
                <c:pt idx="1">
                  <c:v>no</c:v>
                </c:pt>
              </c:strCache>
            </c:strRef>
          </c:cat>
          <c:val>
            <c:numRef>
              <c:f>'2bis'!$AU$2:$AU$3</c:f>
              <c:numCache>
                <c:formatCode>General</c:formatCode>
                <c:ptCount val="2"/>
                <c:pt idx="0">
                  <c:v>103</c:v>
                </c:pt>
                <c:pt idx="1">
                  <c:v>173</c:v>
                </c:pt>
              </c:numCache>
            </c:numRef>
          </c:val>
          <c:extLst>
            <c:ext xmlns:c16="http://schemas.microsoft.com/office/drawing/2014/chart" uri="{C3380CC4-5D6E-409C-BE32-E72D297353CC}">
              <c16:uniqueId val="{00000004-14BA-44EE-900F-55B9788ACA9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use of communication software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207-4ADF-9E9C-C646654AE6E0}"/>
              </c:ext>
            </c:extLst>
          </c:dPt>
          <c:dPt>
            <c:idx val="1"/>
            <c:bubble3D val="0"/>
            <c:spPr>
              <a:solidFill>
                <a:srgbClr val="FF7C80"/>
              </a:solidFill>
              <a:ln w="19050">
                <a:solidFill>
                  <a:schemeClr val="lt1"/>
                </a:solidFill>
              </a:ln>
              <a:effectLst/>
            </c:spPr>
            <c:extLst>
              <c:ext xmlns:c16="http://schemas.microsoft.com/office/drawing/2014/chart" uri="{C3380CC4-5D6E-409C-BE32-E72D297353CC}">
                <c16:uniqueId val="{00000003-F207-4ADF-9E9C-C646654AE6E0}"/>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F207-4ADF-9E9C-C646654AE6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'2bis'!$BU$2:$BU$4</c:f>
              <c:strCache>
                <c:ptCount val="3"/>
                <c:pt idx="0">
                  <c:v>yes</c:v>
                </c:pt>
                <c:pt idx="1">
                  <c:v>no, but would make sense</c:v>
                </c:pt>
                <c:pt idx="2">
                  <c:v>no, would not make sense</c:v>
                </c:pt>
              </c:strCache>
            </c:strRef>
          </c:cat>
          <c:val>
            <c:numRef>
              <c:f>'2bis'!$BV$2:$BV$4</c:f>
              <c:numCache>
                <c:formatCode>General</c:formatCode>
                <c:ptCount val="3"/>
                <c:pt idx="0">
                  <c:v>80</c:v>
                </c:pt>
                <c:pt idx="1">
                  <c:v>93</c:v>
                </c:pt>
                <c:pt idx="2">
                  <c:v>102</c:v>
                </c:pt>
              </c:numCache>
            </c:numRef>
          </c:val>
          <c:extLst>
            <c:ext xmlns:c16="http://schemas.microsoft.com/office/drawing/2014/chart" uri="{C3380CC4-5D6E-409C-BE32-E72D297353CC}">
              <c16:uniqueId val="{00000006-F207-4ADF-9E9C-C646654AE6E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employees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'1'!$AL$2:$AL$6</c:f>
              <c:strCache>
                <c:ptCount val="5"/>
                <c:pt idx="0">
                  <c:v>1-4</c:v>
                </c:pt>
                <c:pt idx="1">
                  <c:v>5-8</c:v>
                </c:pt>
                <c:pt idx="2">
                  <c:v>9-12</c:v>
                </c:pt>
                <c:pt idx="3">
                  <c:v>13-16</c:v>
                </c:pt>
                <c:pt idx="4">
                  <c:v>&gt;16</c:v>
                </c:pt>
              </c:strCache>
            </c:strRef>
          </c:cat>
          <c:val>
            <c:numRef>
              <c:f>'1'!$AM$2:$AM$6</c:f>
              <c:numCache>
                <c:formatCode>General</c:formatCode>
                <c:ptCount val="5"/>
                <c:pt idx="0">
                  <c:v>182</c:v>
                </c:pt>
                <c:pt idx="1">
                  <c:v>54</c:v>
                </c:pt>
                <c:pt idx="2">
                  <c:v>17</c:v>
                </c:pt>
                <c:pt idx="3">
                  <c:v>8</c:v>
                </c:pt>
                <c:pt idx="4">
                  <c:v>15</c:v>
                </c:pt>
              </c:numCache>
            </c:numRef>
          </c:val>
          <c:extLst>
            <c:ext xmlns:c16="http://schemas.microsoft.com/office/drawing/2014/chart" uri="{C3380CC4-5D6E-409C-BE32-E72D297353CC}">
              <c16:uniqueId val="{00000000-9D9E-4334-95E4-CD2C1B335A97}"/>
            </c:ext>
          </c:extLst>
        </c:ser>
        <c:dLbls>
          <c:showLegendKey val="0"/>
          <c:showVal val="0"/>
          <c:showCatName val="0"/>
          <c:showSerName val="0"/>
          <c:showPercent val="0"/>
          <c:showBubbleSize val="0"/>
        </c:dLbls>
        <c:gapWidth val="219"/>
        <c:overlap val="-27"/>
        <c:axId val="504729096"/>
        <c:axId val="504725816"/>
      </c:barChart>
      <c:catAx>
        <c:axId val="504729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4725816"/>
        <c:crosses val="autoZero"/>
        <c:auto val="1"/>
        <c:lblAlgn val="ctr"/>
        <c:lblOffset val="100"/>
        <c:noMultiLvlLbl val="0"/>
      </c:catAx>
      <c:valAx>
        <c:axId val="504725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4729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 with users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cat>
            <c:strRef>
              <c:f>'2bis'!$V$2:$V$10</c:f>
              <c:strCache>
                <c:ptCount val="9"/>
                <c:pt idx="0">
                  <c:v>email</c:v>
                </c:pt>
                <c:pt idx="1">
                  <c:v>in person</c:v>
                </c:pt>
                <c:pt idx="2">
                  <c:v>phone</c:v>
                </c:pt>
                <c:pt idx="3">
                  <c:v>seminars/workshops</c:v>
                </c:pt>
                <c:pt idx="4">
                  <c:v>website</c:v>
                </c:pt>
                <c:pt idx="5">
                  <c:v>user group meeting</c:v>
                </c:pt>
                <c:pt idx="6">
                  <c:v>communication/management software</c:v>
                </c:pt>
                <c:pt idx="7">
                  <c:v>social media</c:v>
                </c:pt>
                <c:pt idx="8">
                  <c:v>other</c:v>
                </c:pt>
              </c:strCache>
            </c:strRef>
          </c:cat>
          <c:val>
            <c:numRef>
              <c:f>'2bis'!$W$2:$W$10</c:f>
              <c:numCache>
                <c:formatCode>General</c:formatCode>
                <c:ptCount val="9"/>
                <c:pt idx="0">
                  <c:v>266</c:v>
                </c:pt>
                <c:pt idx="1">
                  <c:v>255</c:v>
                </c:pt>
                <c:pt idx="2">
                  <c:v>176</c:v>
                </c:pt>
                <c:pt idx="3">
                  <c:v>122</c:v>
                </c:pt>
                <c:pt idx="4">
                  <c:v>110</c:v>
                </c:pt>
                <c:pt idx="5">
                  <c:v>83</c:v>
                </c:pt>
                <c:pt idx="6">
                  <c:v>70</c:v>
                </c:pt>
                <c:pt idx="7">
                  <c:v>32</c:v>
                </c:pt>
                <c:pt idx="8">
                  <c:v>10</c:v>
                </c:pt>
              </c:numCache>
            </c:numRef>
          </c:val>
          <c:extLst>
            <c:ext xmlns:c16="http://schemas.microsoft.com/office/drawing/2014/chart" uri="{C3380CC4-5D6E-409C-BE32-E72D297353CC}">
              <c16:uniqueId val="{00000000-5CF3-44FB-9F2A-88B88E6DCF3B}"/>
            </c:ext>
          </c:extLst>
        </c:ser>
        <c:dLbls>
          <c:showLegendKey val="0"/>
          <c:showVal val="0"/>
          <c:showCatName val="0"/>
          <c:showSerName val="0"/>
          <c:showPercent val="0"/>
          <c:showBubbleSize val="0"/>
        </c:dLbls>
        <c:gapWidth val="182"/>
        <c:axId val="611822728"/>
        <c:axId val="611823056"/>
      </c:barChart>
      <c:catAx>
        <c:axId val="611822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1823056"/>
        <c:crosses val="autoZero"/>
        <c:auto val="1"/>
        <c:lblAlgn val="ctr"/>
        <c:lblOffset val="100"/>
        <c:noMultiLvlLbl val="0"/>
      </c:catAx>
      <c:valAx>
        <c:axId val="611823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1822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How to improve communication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cat>
            <c:strRef>
              <c:f>'2bis'!$BR$2:$BR$14</c:f>
              <c:strCache>
                <c:ptCount val="13"/>
                <c:pt idx="0">
                  <c:v>communication/management software</c:v>
                </c:pt>
                <c:pt idx="1">
                  <c:v>chat, social media, discussion platform</c:v>
                </c:pt>
                <c:pt idx="2">
                  <c:v>get the users read + cooperate</c:v>
                </c:pt>
                <c:pt idx="3">
                  <c:v>more seminars</c:v>
                </c:pt>
                <c:pt idx="4">
                  <c:v>more visibility/advertising</c:v>
                </c:pt>
                <c:pt idx="5">
                  <c:v>better website</c:v>
                </c:pt>
                <c:pt idx="6">
                  <c:v>more staff/time</c:v>
                </c:pt>
                <c:pt idx="7">
                  <c:v>feedback from users</c:v>
                </c:pt>
                <c:pt idx="8">
                  <c:v>automation</c:v>
                </c:pt>
                <c:pt idx="9">
                  <c:v>early involvement</c:v>
                </c:pt>
                <c:pt idx="10">
                  <c:v>PI involvement</c:v>
                </c:pt>
                <c:pt idx="11">
                  <c:v>open door hours</c:v>
                </c:pt>
                <c:pt idx="12">
                  <c:v>better followup</c:v>
                </c:pt>
              </c:strCache>
            </c:strRef>
          </c:cat>
          <c:val>
            <c:numRef>
              <c:f>'2bis'!$BS$2:$BS$14</c:f>
              <c:numCache>
                <c:formatCode>General</c:formatCode>
                <c:ptCount val="13"/>
                <c:pt idx="0">
                  <c:v>20</c:v>
                </c:pt>
                <c:pt idx="1">
                  <c:v>14</c:v>
                </c:pt>
                <c:pt idx="2">
                  <c:v>13</c:v>
                </c:pt>
                <c:pt idx="3">
                  <c:v>7</c:v>
                </c:pt>
                <c:pt idx="4">
                  <c:v>7</c:v>
                </c:pt>
                <c:pt idx="5">
                  <c:v>5</c:v>
                </c:pt>
                <c:pt idx="6">
                  <c:v>4</c:v>
                </c:pt>
                <c:pt idx="7">
                  <c:v>4</c:v>
                </c:pt>
                <c:pt idx="8">
                  <c:v>4</c:v>
                </c:pt>
                <c:pt idx="9">
                  <c:v>3</c:v>
                </c:pt>
                <c:pt idx="10">
                  <c:v>1</c:v>
                </c:pt>
                <c:pt idx="11">
                  <c:v>1</c:v>
                </c:pt>
                <c:pt idx="12">
                  <c:v>1</c:v>
                </c:pt>
              </c:numCache>
            </c:numRef>
          </c:val>
          <c:extLst>
            <c:ext xmlns:c16="http://schemas.microsoft.com/office/drawing/2014/chart" uri="{C3380CC4-5D6E-409C-BE32-E72D297353CC}">
              <c16:uniqueId val="{00000000-EB14-46A1-995E-4D52E7EAEFB9}"/>
            </c:ext>
          </c:extLst>
        </c:ser>
        <c:dLbls>
          <c:showLegendKey val="0"/>
          <c:showVal val="0"/>
          <c:showCatName val="0"/>
          <c:showSerName val="0"/>
          <c:showPercent val="0"/>
          <c:showBubbleSize val="0"/>
        </c:dLbls>
        <c:gapWidth val="182"/>
        <c:axId val="489859288"/>
        <c:axId val="489861912"/>
      </c:barChart>
      <c:catAx>
        <c:axId val="489859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9861912"/>
        <c:crosses val="autoZero"/>
        <c:auto val="1"/>
        <c:lblAlgn val="ctr"/>
        <c:lblOffset val="100"/>
        <c:noMultiLvlLbl val="0"/>
      </c:catAx>
      <c:valAx>
        <c:axId val="489861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9859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de-D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a:t>
            </a:r>
            <a:r>
              <a:rPr lang="en-GB" baseline="0"/>
              <a:t> with users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'2bis'!$V$2</c:f>
              <c:strCache>
                <c:ptCount val="1"/>
                <c:pt idx="0">
                  <c:v>email</c:v>
                </c:pt>
              </c:strCache>
            </c:strRef>
          </c:tx>
          <c:spPr>
            <a:solidFill>
              <a:srgbClr val="CC6677"/>
            </a:solidFill>
            <a:ln>
              <a:noFill/>
            </a:ln>
            <a:effectLst/>
          </c:spPr>
          <c:invertIfNegative val="0"/>
          <c:cat>
            <c:strRef>
              <c:f>'2bis'!$X$1:$AE$1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'2bis'!$X$2:$AE$2</c:f>
              <c:numCache>
                <c:formatCode>General</c:formatCode>
                <c:ptCount val="8"/>
                <c:pt idx="0">
                  <c:v>49</c:v>
                </c:pt>
                <c:pt idx="1">
                  <c:v>33</c:v>
                </c:pt>
                <c:pt idx="2">
                  <c:v>11</c:v>
                </c:pt>
                <c:pt idx="3">
                  <c:v>8</c:v>
                </c:pt>
                <c:pt idx="4">
                  <c:v>60</c:v>
                </c:pt>
                <c:pt idx="5">
                  <c:v>15</c:v>
                </c:pt>
                <c:pt idx="6">
                  <c:v>8</c:v>
                </c:pt>
                <c:pt idx="7">
                  <c:v>32</c:v>
                </c:pt>
              </c:numCache>
            </c:numRef>
          </c:val>
          <c:extLst>
            <c:ext xmlns:c16="http://schemas.microsoft.com/office/drawing/2014/chart" uri="{C3380CC4-5D6E-409C-BE32-E72D297353CC}">
              <c16:uniqueId val="{00000000-A8F5-4097-AAD4-87D3F0AF9B96}"/>
            </c:ext>
          </c:extLst>
        </c:ser>
        <c:ser>
          <c:idx val="1"/>
          <c:order val="1"/>
          <c:tx>
            <c:strRef>
              <c:f>'2bis'!$V$3</c:f>
              <c:strCache>
                <c:ptCount val="1"/>
                <c:pt idx="0">
                  <c:v>in person</c:v>
                </c:pt>
              </c:strCache>
            </c:strRef>
          </c:tx>
          <c:spPr>
            <a:solidFill>
              <a:srgbClr val="332288"/>
            </a:solidFill>
            <a:ln>
              <a:noFill/>
            </a:ln>
            <a:effectLst/>
          </c:spPr>
          <c:invertIfNegative val="0"/>
          <c:cat>
            <c:strRef>
              <c:f>'2bis'!$X$1:$AE$1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'2bis'!$X$3:$AE$3</c:f>
              <c:numCache>
                <c:formatCode>General</c:formatCode>
                <c:ptCount val="8"/>
                <c:pt idx="0">
                  <c:v>44</c:v>
                </c:pt>
                <c:pt idx="1">
                  <c:v>31</c:v>
                </c:pt>
                <c:pt idx="2">
                  <c:v>10</c:v>
                </c:pt>
                <c:pt idx="3">
                  <c:v>8</c:v>
                </c:pt>
                <c:pt idx="4">
                  <c:v>60</c:v>
                </c:pt>
                <c:pt idx="5">
                  <c:v>14</c:v>
                </c:pt>
                <c:pt idx="6">
                  <c:v>8</c:v>
                </c:pt>
                <c:pt idx="7">
                  <c:v>31</c:v>
                </c:pt>
              </c:numCache>
            </c:numRef>
          </c:val>
          <c:extLst>
            <c:ext xmlns:c16="http://schemas.microsoft.com/office/drawing/2014/chart" uri="{C3380CC4-5D6E-409C-BE32-E72D297353CC}">
              <c16:uniqueId val="{00000001-A8F5-4097-AAD4-87D3F0AF9B96}"/>
            </c:ext>
          </c:extLst>
        </c:ser>
        <c:ser>
          <c:idx val="2"/>
          <c:order val="2"/>
          <c:tx>
            <c:strRef>
              <c:f>'2bis'!$V$4</c:f>
              <c:strCache>
                <c:ptCount val="1"/>
                <c:pt idx="0">
                  <c:v>phone</c:v>
                </c:pt>
              </c:strCache>
            </c:strRef>
          </c:tx>
          <c:spPr>
            <a:solidFill>
              <a:srgbClr val="DDCC77"/>
            </a:solidFill>
            <a:ln>
              <a:noFill/>
            </a:ln>
            <a:effectLst/>
          </c:spPr>
          <c:invertIfNegative val="0"/>
          <c:cat>
            <c:strRef>
              <c:f>'2bis'!$X$1:$AE$1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'2bis'!$X$4:$AE$4</c:f>
              <c:numCache>
                <c:formatCode>General</c:formatCode>
                <c:ptCount val="8"/>
                <c:pt idx="0">
                  <c:v>29</c:v>
                </c:pt>
                <c:pt idx="1">
                  <c:v>24</c:v>
                </c:pt>
                <c:pt idx="2">
                  <c:v>6</c:v>
                </c:pt>
                <c:pt idx="3">
                  <c:v>4</c:v>
                </c:pt>
                <c:pt idx="4">
                  <c:v>36</c:v>
                </c:pt>
                <c:pt idx="5">
                  <c:v>9</c:v>
                </c:pt>
                <c:pt idx="6">
                  <c:v>7</c:v>
                </c:pt>
                <c:pt idx="7">
                  <c:v>26</c:v>
                </c:pt>
              </c:numCache>
            </c:numRef>
          </c:val>
          <c:extLst>
            <c:ext xmlns:c16="http://schemas.microsoft.com/office/drawing/2014/chart" uri="{C3380CC4-5D6E-409C-BE32-E72D297353CC}">
              <c16:uniqueId val="{00000002-A8F5-4097-AAD4-87D3F0AF9B96}"/>
            </c:ext>
          </c:extLst>
        </c:ser>
        <c:ser>
          <c:idx val="3"/>
          <c:order val="3"/>
          <c:tx>
            <c:strRef>
              <c:f>'2bis'!$V$5</c:f>
              <c:strCache>
                <c:ptCount val="1"/>
                <c:pt idx="0">
                  <c:v>seminars/workshops</c:v>
                </c:pt>
              </c:strCache>
            </c:strRef>
          </c:tx>
          <c:spPr>
            <a:solidFill>
              <a:srgbClr val="117733"/>
            </a:solidFill>
            <a:ln>
              <a:noFill/>
            </a:ln>
            <a:effectLst/>
          </c:spPr>
          <c:invertIfNegative val="0"/>
          <c:cat>
            <c:strRef>
              <c:f>'2bis'!$X$1:$AE$1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'2bis'!$X$5:$AE$5</c:f>
              <c:numCache>
                <c:formatCode>General</c:formatCode>
                <c:ptCount val="8"/>
                <c:pt idx="0">
                  <c:v>27</c:v>
                </c:pt>
                <c:pt idx="1">
                  <c:v>17</c:v>
                </c:pt>
                <c:pt idx="2">
                  <c:v>5</c:v>
                </c:pt>
                <c:pt idx="3">
                  <c:v>4</c:v>
                </c:pt>
                <c:pt idx="4">
                  <c:v>31</c:v>
                </c:pt>
                <c:pt idx="5">
                  <c:v>3</c:v>
                </c:pt>
                <c:pt idx="6">
                  <c:v>6</c:v>
                </c:pt>
                <c:pt idx="7">
                  <c:v>10</c:v>
                </c:pt>
              </c:numCache>
            </c:numRef>
          </c:val>
          <c:extLst>
            <c:ext xmlns:c16="http://schemas.microsoft.com/office/drawing/2014/chart" uri="{C3380CC4-5D6E-409C-BE32-E72D297353CC}">
              <c16:uniqueId val="{00000003-A8F5-4097-AAD4-87D3F0AF9B96}"/>
            </c:ext>
          </c:extLst>
        </c:ser>
        <c:ser>
          <c:idx val="4"/>
          <c:order val="4"/>
          <c:tx>
            <c:strRef>
              <c:f>'2bis'!$V$6</c:f>
              <c:strCache>
                <c:ptCount val="1"/>
                <c:pt idx="0">
                  <c:v>website</c:v>
                </c:pt>
              </c:strCache>
            </c:strRef>
          </c:tx>
          <c:spPr>
            <a:solidFill>
              <a:srgbClr val="88CCEE"/>
            </a:solidFill>
            <a:ln>
              <a:noFill/>
            </a:ln>
            <a:effectLst/>
          </c:spPr>
          <c:invertIfNegative val="0"/>
          <c:cat>
            <c:strRef>
              <c:f>'2bis'!$X$1:$AE$1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'2bis'!$X$6:$AE$6</c:f>
              <c:numCache>
                <c:formatCode>General</c:formatCode>
                <c:ptCount val="8"/>
                <c:pt idx="0">
                  <c:v>18</c:v>
                </c:pt>
                <c:pt idx="1">
                  <c:v>18</c:v>
                </c:pt>
                <c:pt idx="2">
                  <c:v>5</c:v>
                </c:pt>
                <c:pt idx="3">
                  <c:v>3</c:v>
                </c:pt>
                <c:pt idx="4">
                  <c:v>36</c:v>
                </c:pt>
                <c:pt idx="5">
                  <c:v>3</c:v>
                </c:pt>
                <c:pt idx="6">
                  <c:v>5</c:v>
                </c:pt>
                <c:pt idx="7">
                  <c:v>10</c:v>
                </c:pt>
              </c:numCache>
            </c:numRef>
          </c:val>
          <c:extLst>
            <c:ext xmlns:c16="http://schemas.microsoft.com/office/drawing/2014/chart" uri="{C3380CC4-5D6E-409C-BE32-E72D297353CC}">
              <c16:uniqueId val="{00000004-A8F5-4097-AAD4-87D3F0AF9B96}"/>
            </c:ext>
          </c:extLst>
        </c:ser>
        <c:ser>
          <c:idx val="5"/>
          <c:order val="5"/>
          <c:tx>
            <c:strRef>
              <c:f>'2bis'!$V$7</c:f>
              <c:strCache>
                <c:ptCount val="1"/>
                <c:pt idx="0">
                  <c:v>user group meeting</c:v>
                </c:pt>
              </c:strCache>
            </c:strRef>
          </c:tx>
          <c:spPr>
            <a:solidFill>
              <a:srgbClr val="882255"/>
            </a:solidFill>
            <a:ln>
              <a:noFill/>
            </a:ln>
            <a:effectLst/>
          </c:spPr>
          <c:invertIfNegative val="0"/>
          <c:cat>
            <c:strRef>
              <c:f>'2bis'!$X$1:$AE$1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'2bis'!$X$7:$AE$7</c:f>
              <c:numCache>
                <c:formatCode>General</c:formatCode>
                <c:ptCount val="8"/>
                <c:pt idx="0">
                  <c:v>10</c:v>
                </c:pt>
                <c:pt idx="1">
                  <c:v>9</c:v>
                </c:pt>
                <c:pt idx="2">
                  <c:v>3</c:v>
                </c:pt>
                <c:pt idx="3">
                  <c:v>1</c:v>
                </c:pt>
                <c:pt idx="4">
                  <c:v>24</c:v>
                </c:pt>
                <c:pt idx="5">
                  <c:v>3</c:v>
                </c:pt>
                <c:pt idx="6">
                  <c:v>3</c:v>
                </c:pt>
                <c:pt idx="7">
                  <c:v>7</c:v>
                </c:pt>
              </c:numCache>
            </c:numRef>
          </c:val>
          <c:extLst>
            <c:ext xmlns:c16="http://schemas.microsoft.com/office/drawing/2014/chart" uri="{C3380CC4-5D6E-409C-BE32-E72D297353CC}">
              <c16:uniqueId val="{00000005-A8F5-4097-AAD4-87D3F0AF9B96}"/>
            </c:ext>
          </c:extLst>
        </c:ser>
        <c:ser>
          <c:idx val="6"/>
          <c:order val="6"/>
          <c:tx>
            <c:strRef>
              <c:f>'2bis'!$V$8</c:f>
              <c:strCache>
                <c:ptCount val="1"/>
                <c:pt idx="0">
                  <c:v>communication/management software</c:v>
                </c:pt>
              </c:strCache>
            </c:strRef>
          </c:tx>
          <c:spPr>
            <a:solidFill>
              <a:srgbClr val="44AA99"/>
            </a:solidFill>
            <a:ln>
              <a:noFill/>
            </a:ln>
            <a:effectLst/>
          </c:spPr>
          <c:invertIfNegative val="0"/>
          <c:cat>
            <c:strRef>
              <c:f>'2bis'!$X$1:$AE$1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'2bis'!$X$8:$AE$8</c:f>
              <c:numCache>
                <c:formatCode>General</c:formatCode>
                <c:ptCount val="8"/>
                <c:pt idx="0">
                  <c:v>13</c:v>
                </c:pt>
                <c:pt idx="1">
                  <c:v>12</c:v>
                </c:pt>
                <c:pt idx="2">
                  <c:v>3</c:v>
                </c:pt>
                <c:pt idx="3">
                  <c:v>3</c:v>
                </c:pt>
                <c:pt idx="4">
                  <c:v>12</c:v>
                </c:pt>
                <c:pt idx="5">
                  <c:v>2</c:v>
                </c:pt>
                <c:pt idx="6">
                  <c:v>3</c:v>
                </c:pt>
                <c:pt idx="7">
                  <c:v>11</c:v>
                </c:pt>
              </c:numCache>
            </c:numRef>
          </c:val>
          <c:extLst>
            <c:ext xmlns:c16="http://schemas.microsoft.com/office/drawing/2014/chart" uri="{C3380CC4-5D6E-409C-BE32-E72D297353CC}">
              <c16:uniqueId val="{00000006-A8F5-4097-AAD4-87D3F0AF9B96}"/>
            </c:ext>
          </c:extLst>
        </c:ser>
        <c:ser>
          <c:idx val="7"/>
          <c:order val="7"/>
          <c:tx>
            <c:strRef>
              <c:f>'2bis'!$V$9</c:f>
              <c:strCache>
                <c:ptCount val="1"/>
                <c:pt idx="0">
                  <c:v>social media</c:v>
                </c:pt>
              </c:strCache>
            </c:strRef>
          </c:tx>
          <c:spPr>
            <a:solidFill>
              <a:srgbClr val="AA4499"/>
            </a:solidFill>
            <a:ln>
              <a:noFill/>
            </a:ln>
            <a:effectLst/>
          </c:spPr>
          <c:invertIfNegative val="0"/>
          <c:cat>
            <c:strRef>
              <c:f>'2bis'!$X$1:$AE$1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'2bis'!$X$9:$AE$9</c:f>
              <c:numCache>
                <c:formatCode>General</c:formatCode>
                <c:ptCount val="8"/>
                <c:pt idx="0">
                  <c:v>7</c:v>
                </c:pt>
                <c:pt idx="1">
                  <c:v>5</c:v>
                </c:pt>
                <c:pt idx="2">
                  <c:v>2</c:v>
                </c:pt>
                <c:pt idx="3">
                  <c:v>1</c:v>
                </c:pt>
                <c:pt idx="4">
                  <c:v>8</c:v>
                </c:pt>
                <c:pt idx="5">
                  <c:v>0</c:v>
                </c:pt>
                <c:pt idx="6">
                  <c:v>1</c:v>
                </c:pt>
                <c:pt idx="7">
                  <c:v>2</c:v>
                </c:pt>
              </c:numCache>
            </c:numRef>
          </c:val>
          <c:extLst>
            <c:ext xmlns:c16="http://schemas.microsoft.com/office/drawing/2014/chart" uri="{C3380CC4-5D6E-409C-BE32-E72D297353CC}">
              <c16:uniqueId val="{00000007-A8F5-4097-AAD4-87D3F0AF9B96}"/>
            </c:ext>
          </c:extLst>
        </c:ser>
        <c:ser>
          <c:idx val="8"/>
          <c:order val="8"/>
          <c:tx>
            <c:strRef>
              <c:f>'2bis'!$V$10</c:f>
              <c:strCache>
                <c:ptCount val="1"/>
                <c:pt idx="0">
                  <c:v>other</c:v>
                </c:pt>
              </c:strCache>
            </c:strRef>
          </c:tx>
          <c:spPr>
            <a:solidFill>
              <a:srgbClr val="999933"/>
            </a:solidFill>
            <a:ln>
              <a:noFill/>
            </a:ln>
            <a:effectLst/>
          </c:spPr>
          <c:invertIfNegative val="0"/>
          <c:cat>
            <c:strRef>
              <c:f>'2bis'!$X$1:$AE$1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'2bis'!$X$10:$AE$10</c:f>
              <c:numCache>
                <c:formatCode>General</c:formatCode>
                <c:ptCount val="8"/>
                <c:pt idx="0">
                  <c:v>3</c:v>
                </c:pt>
                <c:pt idx="1">
                  <c:v>0</c:v>
                </c:pt>
                <c:pt idx="2">
                  <c:v>2</c:v>
                </c:pt>
                <c:pt idx="3">
                  <c:v>0</c:v>
                </c:pt>
                <c:pt idx="4">
                  <c:v>3</c:v>
                </c:pt>
                <c:pt idx="5">
                  <c:v>0</c:v>
                </c:pt>
                <c:pt idx="6">
                  <c:v>0</c:v>
                </c:pt>
                <c:pt idx="7">
                  <c:v>0</c:v>
                </c:pt>
              </c:numCache>
            </c:numRef>
          </c:val>
          <c:extLst>
            <c:ext xmlns:c16="http://schemas.microsoft.com/office/drawing/2014/chart" uri="{C3380CC4-5D6E-409C-BE32-E72D297353CC}">
              <c16:uniqueId val="{00000008-A8F5-4097-AAD4-87D3F0AF9B96}"/>
            </c:ext>
          </c:extLst>
        </c:ser>
        <c:dLbls>
          <c:showLegendKey val="0"/>
          <c:showVal val="0"/>
          <c:showCatName val="0"/>
          <c:showSerName val="0"/>
          <c:showPercent val="0"/>
          <c:showBubbleSize val="0"/>
        </c:dLbls>
        <c:gapWidth val="150"/>
        <c:overlap val="100"/>
        <c:axId val="483499120"/>
        <c:axId val="483501416"/>
      </c:barChart>
      <c:catAx>
        <c:axId val="48349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3501416"/>
        <c:crosses val="autoZero"/>
        <c:auto val="1"/>
        <c:lblAlgn val="ctr"/>
        <c:lblOffset val="100"/>
        <c:noMultiLvlLbl val="0"/>
      </c:catAx>
      <c:valAx>
        <c:axId val="483501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3499120"/>
        <c:crosses val="autoZero"/>
        <c:crossBetween val="between"/>
      </c:valAx>
      <c:spPr>
        <a:noFill/>
        <a:ln>
          <a:noFill/>
        </a:ln>
        <a:effectLst/>
      </c:spPr>
    </c:plotArea>
    <c:legend>
      <c:legendPos val="r"/>
      <c:layout>
        <c:manualLayout>
          <c:xMode val="edge"/>
          <c:yMode val="edge"/>
          <c:x val="0.65184208330926852"/>
          <c:y val="0.12460002405870324"/>
          <c:w val="0.34000795744052775"/>
          <c:h val="0.671923938855251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Communication needs improvement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'2bis'!$AT$2</c:f>
              <c:strCache>
                <c:ptCount val="1"/>
                <c:pt idx="0">
                  <c:v>yes</c:v>
                </c:pt>
              </c:strCache>
            </c:strRef>
          </c:tx>
          <c:spPr>
            <a:solidFill>
              <a:schemeClr val="accent1"/>
            </a:solidFill>
            <a:ln>
              <a:noFill/>
            </a:ln>
            <a:effectLst/>
          </c:spPr>
          <c:invertIfNegative val="0"/>
          <c:cat>
            <c:strRef>
              <c:f>'2bis'!$AV$1:$BC$1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'2bis'!$AV$2:$BC$2</c:f>
              <c:numCache>
                <c:formatCode>General</c:formatCode>
                <c:ptCount val="8"/>
                <c:pt idx="0">
                  <c:v>20</c:v>
                </c:pt>
                <c:pt idx="1">
                  <c:v>19</c:v>
                </c:pt>
                <c:pt idx="2">
                  <c:v>5</c:v>
                </c:pt>
                <c:pt idx="3">
                  <c:v>2</c:v>
                </c:pt>
                <c:pt idx="4">
                  <c:v>21</c:v>
                </c:pt>
                <c:pt idx="5">
                  <c:v>6</c:v>
                </c:pt>
                <c:pt idx="6">
                  <c:v>4</c:v>
                </c:pt>
                <c:pt idx="7">
                  <c:v>16</c:v>
                </c:pt>
              </c:numCache>
            </c:numRef>
          </c:val>
          <c:extLst>
            <c:ext xmlns:c16="http://schemas.microsoft.com/office/drawing/2014/chart" uri="{C3380CC4-5D6E-409C-BE32-E72D297353CC}">
              <c16:uniqueId val="{00000000-C878-48BC-929D-7D6D77570F78}"/>
            </c:ext>
          </c:extLst>
        </c:ser>
        <c:ser>
          <c:idx val="1"/>
          <c:order val="1"/>
          <c:tx>
            <c:strRef>
              <c:f>'2bis'!$AT$3</c:f>
              <c:strCache>
                <c:ptCount val="1"/>
                <c:pt idx="0">
                  <c:v>no</c:v>
                </c:pt>
              </c:strCache>
            </c:strRef>
          </c:tx>
          <c:spPr>
            <a:solidFill>
              <a:srgbClr val="FF0000"/>
            </a:solidFill>
            <a:ln>
              <a:noFill/>
            </a:ln>
            <a:effectLst/>
          </c:spPr>
          <c:invertIfNegative val="0"/>
          <c:cat>
            <c:strRef>
              <c:f>'2bis'!$AV$1:$BC$1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'2bis'!$AV$3:$BC$3</c:f>
              <c:numCache>
                <c:formatCode>General</c:formatCode>
                <c:ptCount val="8"/>
                <c:pt idx="0">
                  <c:v>30</c:v>
                </c:pt>
                <c:pt idx="1">
                  <c:v>14</c:v>
                </c:pt>
                <c:pt idx="2">
                  <c:v>6</c:v>
                </c:pt>
                <c:pt idx="3">
                  <c:v>6</c:v>
                </c:pt>
                <c:pt idx="4">
                  <c:v>42</c:v>
                </c:pt>
                <c:pt idx="5">
                  <c:v>10</c:v>
                </c:pt>
                <c:pt idx="6">
                  <c:v>4</c:v>
                </c:pt>
                <c:pt idx="7">
                  <c:v>19</c:v>
                </c:pt>
              </c:numCache>
            </c:numRef>
          </c:val>
          <c:extLst>
            <c:ext xmlns:c16="http://schemas.microsoft.com/office/drawing/2014/chart" uri="{C3380CC4-5D6E-409C-BE32-E72D297353CC}">
              <c16:uniqueId val="{00000001-C878-48BC-929D-7D6D77570F78}"/>
            </c:ext>
          </c:extLst>
        </c:ser>
        <c:dLbls>
          <c:showLegendKey val="0"/>
          <c:showVal val="0"/>
          <c:showCatName val="0"/>
          <c:showSerName val="0"/>
          <c:showPercent val="0"/>
          <c:showBubbleSize val="0"/>
        </c:dLbls>
        <c:gapWidth val="150"/>
        <c:overlap val="100"/>
        <c:axId val="481892720"/>
        <c:axId val="282346704"/>
      </c:barChart>
      <c:catAx>
        <c:axId val="48189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2346704"/>
        <c:crosses val="autoZero"/>
        <c:auto val="1"/>
        <c:lblAlgn val="ctr"/>
        <c:lblOffset val="100"/>
        <c:noMultiLvlLbl val="0"/>
      </c:catAx>
      <c:valAx>
        <c:axId val="282346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1892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use of communication software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73296822856506E-2"/>
          <c:y val="0.15769589499148653"/>
          <c:w val="0.64194097816647921"/>
          <c:h val="0.55216311565251686"/>
        </c:manualLayout>
      </c:layout>
      <c:barChart>
        <c:barDir val="col"/>
        <c:grouping val="percentStacked"/>
        <c:varyColors val="0"/>
        <c:ser>
          <c:idx val="0"/>
          <c:order val="0"/>
          <c:tx>
            <c:strRef>
              <c:f>'2bis'!$BU$2</c:f>
              <c:strCache>
                <c:ptCount val="1"/>
                <c:pt idx="0">
                  <c:v>yes</c:v>
                </c:pt>
              </c:strCache>
            </c:strRef>
          </c:tx>
          <c:spPr>
            <a:solidFill>
              <a:schemeClr val="accent1"/>
            </a:solidFill>
            <a:ln>
              <a:noFill/>
            </a:ln>
            <a:effectLst/>
          </c:spPr>
          <c:invertIfNegative val="0"/>
          <c:cat>
            <c:strRef>
              <c:f>'2bis'!$BW$1:$CD$1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'2bis'!$BW$2:$CD$2</c:f>
              <c:numCache>
                <c:formatCode>General</c:formatCode>
                <c:ptCount val="8"/>
                <c:pt idx="0">
                  <c:v>13</c:v>
                </c:pt>
                <c:pt idx="1">
                  <c:v>16</c:v>
                </c:pt>
                <c:pt idx="2">
                  <c:v>4</c:v>
                </c:pt>
                <c:pt idx="3">
                  <c:v>4</c:v>
                </c:pt>
                <c:pt idx="4">
                  <c:v>13</c:v>
                </c:pt>
                <c:pt idx="5">
                  <c:v>2</c:v>
                </c:pt>
                <c:pt idx="6">
                  <c:v>3</c:v>
                </c:pt>
                <c:pt idx="7">
                  <c:v>11</c:v>
                </c:pt>
              </c:numCache>
            </c:numRef>
          </c:val>
          <c:extLst>
            <c:ext xmlns:c16="http://schemas.microsoft.com/office/drawing/2014/chart" uri="{C3380CC4-5D6E-409C-BE32-E72D297353CC}">
              <c16:uniqueId val="{00000000-6F5B-4D85-96DA-F43461F12AF8}"/>
            </c:ext>
          </c:extLst>
        </c:ser>
        <c:ser>
          <c:idx val="1"/>
          <c:order val="1"/>
          <c:tx>
            <c:strRef>
              <c:f>'2bis'!$BU$3</c:f>
              <c:strCache>
                <c:ptCount val="1"/>
                <c:pt idx="0">
                  <c:v>no, but would make sense</c:v>
                </c:pt>
              </c:strCache>
            </c:strRef>
          </c:tx>
          <c:spPr>
            <a:solidFill>
              <a:srgbClr val="FF7C80"/>
            </a:solidFill>
            <a:ln>
              <a:noFill/>
            </a:ln>
            <a:effectLst/>
          </c:spPr>
          <c:invertIfNegative val="0"/>
          <c:cat>
            <c:strRef>
              <c:f>'2bis'!$BW$1:$CD$1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'2bis'!$BW$3:$CD$3</c:f>
              <c:numCache>
                <c:formatCode>General</c:formatCode>
                <c:ptCount val="8"/>
                <c:pt idx="0">
                  <c:v>19</c:v>
                </c:pt>
                <c:pt idx="1">
                  <c:v>11</c:v>
                </c:pt>
                <c:pt idx="2">
                  <c:v>3</c:v>
                </c:pt>
                <c:pt idx="3">
                  <c:v>0</c:v>
                </c:pt>
                <c:pt idx="4">
                  <c:v>20</c:v>
                </c:pt>
                <c:pt idx="5">
                  <c:v>6</c:v>
                </c:pt>
                <c:pt idx="6">
                  <c:v>3</c:v>
                </c:pt>
                <c:pt idx="7">
                  <c:v>19</c:v>
                </c:pt>
              </c:numCache>
            </c:numRef>
          </c:val>
          <c:extLst>
            <c:ext xmlns:c16="http://schemas.microsoft.com/office/drawing/2014/chart" uri="{C3380CC4-5D6E-409C-BE32-E72D297353CC}">
              <c16:uniqueId val="{00000001-6F5B-4D85-96DA-F43461F12AF8}"/>
            </c:ext>
          </c:extLst>
        </c:ser>
        <c:ser>
          <c:idx val="2"/>
          <c:order val="2"/>
          <c:tx>
            <c:strRef>
              <c:f>'2bis'!$BU$4</c:f>
              <c:strCache>
                <c:ptCount val="1"/>
                <c:pt idx="0">
                  <c:v>no, would not make sense</c:v>
                </c:pt>
              </c:strCache>
            </c:strRef>
          </c:tx>
          <c:spPr>
            <a:solidFill>
              <a:srgbClr val="FF0000"/>
            </a:solidFill>
            <a:ln>
              <a:noFill/>
            </a:ln>
            <a:effectLst/>
          </c:spPr>
          <c:invertIfNegative val="0"/>
          <c:cat>
            <c:strRef>
              <c:f>'2bis'!$BW$1:$CD$1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'2bis'!$BW$4:$CD$4</c:f>
              <c:numCache>
                <c:formatCode>General</c:formatCode>
                <c:ptCount val="8"/>
                <c:pt idx="0">
                  <c:v>18</c:v>
                </c:pt>
                <c:pt idx="1">
                  <c:v>6</c:v>
                </c:pt>
                <c:pt idx="2">
                  <c:v>4</c:v>
                </c:pt>
                <c:pt idx="3">
                  <c:v>4</c:v>
                </c:pt>
                <c:pt idx="4">
                  <c:v>30</c:v>
                </c:pt>
                <c:pt idx="5">
                  <c:v>8</c:v>
                </c:pt>
                <c:pt idx="6">
                  <c:v>2</c:v>
                </c:pt>
                <c:pt idx="7">
                  <c:v>5</c:v>
                </c:pt>
              </c:numCache>
            </c:numRef>
          </c:val>
          <c:extLst>
            <c:ext xmlns:c16="http://schemas.microsoft.com/office/drawing/2014/chart" uri="{C3380CC4-5D6E-409C-BE32-E72D297353CC}">
              <c16:uniqueId val="{00000002-6F5B-4D85-96DA-F43461F12AF8}"/>
            </c:ext>
          </c:extLst>
        </c:ser>
        <c:dLbls>
          <c:showLegendKey val="0"/>
          <c:showVal val="0"/>
          <c:showCatName val="0"/>
          <c:showSerName val="0"/>
          <c:showPercent val="0"/>
          <c:showBubbleSize val="0"/>
        </c:dLbls>
        <c:gapWidth val="150"/>
        <c:overlap val="100"/>
        <c:axId val="261070304"/>
        <c:axId val="261071288"/>
      </c:barChart>
      <c:catAx>
        <c:axId val="26107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1071288"/>
        <c:crosses val="autoZero"/>
        <c:auto val="1"/>
        <c:lblAlgn val="ctr"/>
        <c:lblOffset val="100"/>
        <c:noMultiLvlLbl val="0"/>
      </c:catAx>
      <c:valAx>
        <c:axId val="261071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1070304"/>
        <c:crosses val="autoZero"/>
        <c:crossBetween val="between"/>
      </c:valAx>
      <c:spPr>
        <a:noFill/>
        <a:ln>
          <a:noFill/>
        </a:ln>
        <a:effectLst/>
      </c:spPr>
    </c:plotArea>
    <c:legend>
      <c:legendPos val="r"/>
      <c:layout>
        <c:manualLayout>
          <c:xMode val="edge"/>
          <c:yMode val="edge"/>
          <c:x val="0.75727489914158708"/>
          <c:y val="0.27777286766739179"/>
          <c:w val="0.22612414811187034"/>
          <c:h val="0.385312654626629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Use of communication software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'2bis'!$BU$2</c:f>
              <c:strCache>
                <c:ptCount val="1"/>
                <c:pt idx="0">
                  <c:v>yes</c:v>
                </c:pt>
              </c:strCache>
            </c:strRef>
          </c:tx>
          <c:spPr>
            <a:solidFill>
              <a:schemeClr val="accent1"/>
            </a:solidFill>
            <a:ln>
              <a:noFill/>
            </a:ln>
            <a:effectLst/>
          </c:spPr>
          <c:invertIfNegative val="0"/>
          <c:cat>
            <c:strRef>
              <c:f>'2bis'!$CF$1:$CJ$1</c:f>
              <c:strCache>
                <c:ptCount val="5"/>
                <c:pt idx="0">
                  <c:v>1-4</c:v>
                </c:pt>
                <c:pt idx="1">
                  <c:v>5-8</c:v>
                </c:pt>
                <c:pt idx="2">
                  <c:v>9-12</c:v>
                </c:pt>
                <c:pt idx="3">
                  <c:v>13-16</c:v>
                </c:pt>
                <c:pt idx="4">
                  <c:v>&gt;16</c:v>
                </c:pt>
              </c:strCache>
            </c:strRef>
          </c:cat>
          <c:val>
            <c:numRef>
              <c:f>'2bis'!$CF$2:$CJ$2</c:f>
              <c:numCache>
                <c:formatCode>General</c:formatCode>
                <c:ptCount val="5"/>
                <c:pt idx="0">
                  <c:v>44</c:v>
                </c:pt>
                <c:pt idx="1">
                  <c:v>16</c:v>
                </c:pt>
                <c:pt idx="2">
                  <c:v>9</c:v>
                </c:pt>
                <c:pt idx="3">
                  <c:v>5</c:v>
                </c:pt>
                <c:pt idx="4">
                  <c:v>6</c:v>
                </c:pt>
              </c:numCache>
            </c:numRef>
          </c:val>
          <c:extLst>
            <c:ext xmlns:c16="http://schemas.microsoft.com/office/drawing/2014/chart" uri="{C3380CC4-5D6E-409C-BE32-E72D297353CC}">
              <c16:uniqueId val="{00000000-3232-4A8F-A6DB-5391D06DE1D4}"/>
            </c:ext>
          </c:extLst>
        </c:ser>
        <c:ser>
          <c:idx val="1"/>
          <c:order val="1"/>
          <c:tx>
            <c:strRef>
              <c:f>'2bis'!$BU$3</c:f>
              <c:strCache>
                <c:ptCount val="1"/>
                <c:pt idx="0">
                  <c:v>no, but would make sense</c:v>
                </c:pt>
              </c:strCache>
            </c:strRef>
          </c:tx>
          <c:spPr>
            <a:solidFill>
              <a:srgbClr val="FF7C80"/>
            </a:solidFill>
            <a:ln>
              <a:noFill/>
            </a:ln>
            <a:effectLst/>
          </c:spPr>
          <c:invertIfNegative val="0"/>
          <c:cat>
            <c:strRef>
              <c:f>'2bis'!$CF$1:$CJ$1</c:f>
              <c:strCache>
                <c:ptCount val="5"/>
                <c:pt idx="0">
                  <c:v>1-4</c:v>
                </c:pt>
                <c:pt idx="1">
                  <c:v>5-8</c:v>
                </c:pt>
                <c:pt idx="2">
                  <c:v>9-12</c:v>
                </c:pt>
                <c:pt idx="3">
                  <c:v>13-16</c:v>
                </c:pt>
                <c:pt idx="4">
                  <c:v>&gt;16</c:v>
                </c:pt>
              </c:strCache>
            </c:strRef>
          </c:cat>
          <c:val>
            <c:numRef>
              <c:f>'2bis'!$CF$3:$CJ$3</c:f>
              <c:numCache>
                <c:formatCode>General</c:formatCode>
                <c:ptCount val="5"/>
                <c:pt idx="0">
                  <c:v>63</c:v>
                </c:pt>
                <c:pt idx="1">
                  <c:v>21</c:v>
                </c:pt>
                <c:pt idx="2">
                  <c:v>5</c:v>
                </c:pt>
                <c:pt idx="3">
                  <c:v>1</c:v>
                </c:pt>
                <c:pt idx="4">
                  <c:v>3</c:v>
                </c:pt>
              </c:numCache>
            </c:numRef>
          </c:val>
          <c:extLst>
            <c:ext xmlns:c16="http://schemas.microsoft.com/office/drawing/2014/chart" uri="{C3380CC4-5D6E-409C-BE32-E72D297353CC}">
              <c16:uniqueId val="{00000001-3232-4A8F-A6DB-5391D06DE1D4}"/>
            </c:ext>
          </c:extLst>
        </c:ser>
        <c:ser>
          <c:idx val="2"/>
          <c:order val="2"/>
          <c:tx>
            <c:strRef>
              <c:f>'2bis'!$BU$4</c:f>
              <c:strCache>
                <c:ptCount val="1"/>
                <c:pt idx="0">
                  <c:v>no, would not make sense</c:v>
                </c:pt>
              </c:strCache>
            </c:strRef>
          </c:tx>
          <c:spPr>
            <a:solidFill>
              <a:srgbClr val="FF0000"/>
            </a:solidFill>
            <a:ln>
              <a:noFill/>
            </a:ln>
            <a:effectLst/>
          </c:spPr>
          <c:invertIfNegative val="0"/>
          <c:cat>
            <c:strRef>
              <c:f>'2bis'!$CF$1:$CJ$1</c:f>
              <c:strCache>
                <c:ptCount val="5"/>
                <c:pt idx="0">
                  <c:v>1-4</c:v>
                </c:pt>
                <c:pt idx="1">
                  <c:v>5-8</c:v>
                </c:pt>
                <c:pt idx="2">
                  <c:v>9-12</c:v>
                </c:pt>
                <c:pt idx="3">
                  <c:v>13-16</c:v>
                </c:pt>
                <c:pt idx="4">
                  <c:v>&gt;16</c:v>
                </c:pt>
              </c:strCache>
            </c:strRef>
          </c:cat>
          <c:val>
            <c:numRef>
              <c:f>'2bis'!$CF$4:$CJ$4</c:f>
              <c:numCache>
                <c:formatCode>General</c:formatCode>
                <c:ptCount val="5"/>
                <c:pt idx="0">
                  <c:v>74</c:v>
                </c:pt>
                <c:pt idx="1">
                  <c:v>17</c:v>
                </c:pt>
                <c:pt idx="2">
                  <c:v>3</c:v>
                </c:pt>
                <c:pt idx="3">
                  <c:v>2</c:v>
                </c:pt>
                <c:pt idx="4">
                  <c:v>6</c:v>
                </c:pt>
              </c:numCache>
            </c:numRef>
          </c:val>
          <c:extLst>
            <c:ext xmlns:c16="http://schemas.microsoft.com/office/drawing/2014/chart" uri="{C3380CC4-5D6E-409C-BE32-E72D297353CC}">
              <c16:uniqueId val="{00000002-3232-4A8F-A6DB-5391D06DE1D4}"/>
            </c:ext>
          </c:extLst>
        </c:ser>
        <c:dLbls>
          <c:showLegendKey val="0"/>
          <c:showVal val="0"/>
          <c:showCatName val="0"/>
          <c:showSerName val="0"/>
          <c:showPercent val="0"/>
          <c:showBubbleSize val="0"/>
        </c:dLbls>
        <c:gapWidth val="150"/>
        <c:overlap val="100"/>
        <c:axId val="491352808"/>
        <c:axId val="491353136"/>
      </c:barChart>
      <c:catAx>
        <c:axId val="4913528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staff</a:t>
                </a:r>
              </a:p>
            </c:rich>
          </c:tx>
          <c:layout>
            <c:manualLayout>
              <c:xMode val="edge"/>
              <c:yMode val="edge"/>
              <c:x val="0.48149017010792389"/>
              <c:y val="0.89840147386536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1353136"/>
        <c:crosses val="autoZero"/>
        <c:auto val="1"/>
        <c:lblAlgn val="ctr"/>
        <c:lblOffset val="100"/>
        <c:noMultiLvlLbl val="0"/>
      </c:catAx>
      <c:valAx>
        <c:axId val="491353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1352808"/>
        <c:crosses val="autoZero"/>
        <c:crossBetween val="between"/>
      </c:valAx>
      <c:spPr>
        <a:noFill/>
        <a:ln>
          <a:noFill/>
        </a:ln>
        <a:effectLst/>
      </c:spPr>
    </c:plotArea>
    <c:legend>
      <c:legendPos val="r"/>
      <c:layout>
        <c:manualLayout>
          <c:xMode val="edge"/>
          <c:yMode val="edge"/>
          <c:x val="0.6615755888674999"/>
          <c:y val="0.30919214582000315"/>
          <c:w val="0.31704165988517297"/>
          <c:h val="0.430170663901330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Use of communication software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'2bis'!$BU$2</c:f>
              <c:strCache>
                <c:ptCount val="1"/>
                <c:pt idx="0">
                  <c:v>yes</c:v>
                </c:pt>
              </c:strCache>
            </c:strRef>
          </c:tx>
          <c:spPr>
            <a:solidFill>
              <a:schemeClr val="accent1"/>
            </a:solidFill>
            <a:ln>
              <a:noFill/>
            </a:ln>
            <a:effectLst/>
          </c:spPr>
          <c:invertIfNegative val="0"/>
          <c:cat>
            <c:strRef>
              <c:f>'2bis'!$CL$1:$CQ$1</c:f>
              <c:strCache>
                <c:ptCount val="6"/>
                <c:pt idx="0">
                  <c:v>1-20</c:v>
                </c:pt>
                <c:pt idx="1">
                  <c:v>21-40</c:v>
                </c:pt>
                <c:pt idx="2">
                  <c:v>41-60</c:v>
                </c:pt>
                <c:pt idx="3">
                  <c:v>61-80</c:v>
                </c:pt>
                <c:pt idx="4">
                  <c:v>81-100</c:v>
                </c:pt>
                <c:pt idx="5">
                  <c:v>&gt; 100</c:v>
                </c:pt>
              </c:strCache>
            </c:strRef>
          </c:cat>
          <c:val>
            <c:numRef>
              <c:f>'2bis'!$CL$2:$CQ$2</c:f>
              <c:numCache>
                <c:formatCode>General</c:formatCode>
                <c:ptCount val="6"/>
                <c:pt idx="0">
                  <c:v>27</c:v>
                </c:pt>
                <c:pt idx="1">
                  <c:v>19</c:v>
                </c:pt>
                <c:pt idx="2">
                  <c:v>12</c:v>
                </c:pt>
                <c:pt idx="3">
                  <c:v>7</c:v>
                </c:pt>
                <c:pt idx="4">
                  <c:v>3</c:v>
                </c:pt>
                <c:pt idx="5">
                  <c:v>12</c:v>
                </c:pt>
              </c:numCache>
            </c:numRef>
          </c:val>
          <c:extLst>
            <c:ext xmlns:c16="http://schemas.microsoft.com/office/drawing/2014/chart" uri="{C3380CC4-5D6E-409C-BE32-E72D297353CC}">
              <c16:uniqueId val="{00000000-BE3C-4537-9D8E-DED3188DF8D7}"/>
            </c:ext>
          </c:extLst>
        </c:ser>
        <c:ser>
          <c:idx val="1"/>
          <c:order val="1"/>
          <c:tx>
            <c:strRef>
              <c:f>'2bis'!$BU$3</c:f>
              <c:strCache>
                <c:ptCount val="1"/>
                <c:pt idx="0">
                  <c:v>no, but would make sense</c:v>
                </c:pt>
              </c:strCache>
            </c:strRef>
          </c:tx>
          <c:spPr>
            <a:solidFill>
              <a:srgbClr val="FF7C80"/>
            </a:solidFill>
            <a:ln>
              <a:noFill/>
            </a:ln>
            <a:effectLst/>
          </c:spPr>
          <c:invertIfNegative val="0"/>
          <c:cat>
            <c:strRef>
              <c:f>'2bis'!$CL$1:$CQ$1</c:f>
              <c:strCache>
                <c:ptCount val="6"/>
                <c:pt idx="0">
                  <c:v>1-20</c:v>
                </c:pt>
                <c:pt idx="1">
                  <c:v>21-40</c:v>
                </c:pt>
                <c:pt idx="2">
                  <c:v>41-60</c:v>
                </c:pt>
                <c:pt idx="3">
                  <c:v>61-80</c:v>
                </c:pt>
                <c:pt idx="4">
                  <c:v>81-100</c:v>
                </c:pt>
                <c:pt idx="5">
                  <c:v>&gt; 100</c:v>
                </c:pt>
              </c:strCache>
            </c:strRef>
          </c:cat>
          <c:val>
            <c:numRef>
              <c:f>'2bis'!$CL$3:$CQ$3</c:f>
              <c:numCache>
                <c:formatCode>General</c:formatCode>
                <c:ptCount val="6"/>
                <c:pt idx="0">
                  <c:v>46</c:v>
                </c:pt>
                <c:pt idx="1">
                  <c:v>20</c:v>
                </c:pt>
                <c:pt idx="2">
                  <c:v>12</c:v>
                </c:pt>
                <c:pt idx="3">
                  <c:v>0</c:v>
                </c:pt>
                <c:pt idx="4">
                  <c:v>4</c:v>
                </c:pt>
                <c:pt idx="5">
                  <c:v>11</c:v>
                </c:pt>
              </c:numCache>
            </c:numRef>
          </c:val>
          <c:extLst>
            <c:ext xmlns:c16="http://schemas.microsoft.com/office/drawing/2014/chart" uri="{C3380CC4-5D6E-409C-BE32-E72D297353CC}">
              <c16:uniqueId val="{00000001-BE3C-4537-9D8E-DED3188DF8D7}"/>
            </c:ext>
          </c:extLst>
        </c:ser>
        <c:ser>
          <c:idx val="2"/>
          <c:order val="2"/>
          <c:tx>
            <c:strRef>
              <c:f>'2bis'!$BU$4</c:f>
              <c:strCache>
                <c:ptCount val="1"/>
                <c:pt idx="0">
                  <c:v>no, would not make sense</c:v>
                </c:pt>
              </c:strCache>
            </c:strRef>
          </c:tx>
          <c:spPr>
            <a:solidFill>
              <a:srgbClr val="FF0000"/>
            </a:solidFill>
            <a:ln>
              <a:noFill/>
            </a:ln>
            <a:effectLst/>
          </c:spPr>
          <c:invertIfNegative val="0"/>
          <c:cat>
            <c:strRef>
              <c:f>'2bis'!$CL$1:$CQ$1</c:f>
              <c:strCache>
                <c:ptCount val="6"/>
                <c:pt idx="0">
                  <c:v>1-20</c:v>
                </c:pt>
                <c:pt idx="1">
                  <c:v>21-40</c:v>
                </c:pt>
                <c:pt idx="2">
                  <c:v>41-60</c:v>
                </c:pt>
                <c:pt idx="3">
                  <c:v>61-80</c:v>
                </c:pt>
                <c:pt idx="4">
                  <c:v>81-100</c:v>
                </c:pt>
                <c:pt idx="5">
                  <c:v>&gt; 100</c:v>
                </c:pt>
              </c:strCache>
            </c:strRef>
          </c:cat>
          <c:val>
            <c:numRef>
              <c:f>'2bis'!$CL$4:$CQ$4</c:f>
              <c:numCache>
                <c:formatCode>General</c:formatCode>
                <c:ptCount val="6"/>
                <c:pt idx="0">
                  <c:v>54</c:v>
                </c:pt>
                <c:pt idx="1">
                  <c:v>25</c:v>
                </c:pt>
                <c:pt idx="2">
                  <c:v>10</c:v>
                </c:pt>
                <c:pt idx="3">
                  <c:v>5</c:v>
                </c:pt>
                <c:pt idx="4">
                  <c:v>3</c:v>
                </c:pt>
                <c:pt idx="5">
                  <c:v>5</c:v>
                </c:pt>
              </c:numCache>
            </c:numRef>
          </c:val>
          <c:extLst>
            <c:ext xmlns:c16="http://schemas.microsoft.com/office/drawing/2014/chart" uri="{C3380CC4-5D6E-409C-BE32-E72D297353CC}">
              <c16:uniqueId val="{00000002-BE3C-4537-9D8E-DED3188DF8D7}"/>
            </c:ext>
          </c:extLst>
        </c:ser>
        <c:dLbls>
          <c:showLegendKey val="0"/>
          <c:showVal val="0"/>
          <c:showCatName val="0"/>
          <c:showSerName val="0"/>
          <c:showPercent val="0"/>
          <c:showBubbleSize val="0"/>
        </c:dLbls>
        <c:gapWidth val="150"/>
        <c:overlap val="100"/>
        <c:axId val="489336776"/>
        <c:axId val="489333496"/>
      </c:barChart>
      <c:catAx>
        <c:axId val="4893367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users</a:t>
                </a:r>
              </a:p>
            </c:rich>
          </c:tx>
          <c:layout>
            <c:manualLayout>
              <c:xMode val="edge"/>
              <c:yMode val="edge"/>
              <c:x val="0.4931141194604089"/>
              <c:y val="0.9035818493012518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9333496"/>
        <c:crosses val="autoZero"/>
        <c:auto val="1"/>
        <c:lblAlgn val="ctr"/>
        <c:lblOffset val="100"/>
        <c:noMultiLvlLbl val="0"/>
      </c:catAx>
      <c:valAx>
        <c:axId val="489333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9336776"/>
        <c:crosses val="autoZero"/>
        <c:crossBetween val="between"/>
      </c:valAx>
      <c:spPr>
        <a:noFill/>
        <a:ln>
          <a:noFill/>
        </a:ln>
        <a:effectLst/>
      </c:spPr>
    </c:plotArea>
    <c:legend>
      <c:legendPos val="r"/>
      <c:layout>
        <c:manualLayout>
          <c:xMode val="edge"/>
          <c:yMode val="edge"/>
          <c:x val="0.64271038199132546"/>
          <c:y val="0.31212403437907932"/>
          <c:w val="0.33908020981444087"/>
          <c:h val="0.354431513654599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Communication with users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2691166328603304"/>
          <c:y val="0.15433527327813917"/>
          <c:w val="0.50745071033915823"/>
          <c:h val="0.67232158560145427"/>
        </c:manualLayout>
      </c:layout>
      <c:barChart>
        <c:barDir val="col"/>
        <c:grouping val="percentStacked"/>
        <c:varyColors val="0"/>
        <c:ser>
          <c:idx val="0"/>
          <c:order val="0"/>
          <c:tx>
            <c:strRef>
              <c:f>'2bis'!$V$2</c:f>
              <c:strCache>
                <c:ptCount val="1"/>
                <c:pt idx="0">
                  <c:v>email</c:v>
                </c:pt>
              </c:strCache>
            </c:strRef>
          </c:tx>
          <c:spPr>
            <a:solidFill>
              <a:srgbClr val="CC6677"/>
            </a:solidFill>
            <a:ln>
              <a:noFill/>
            </a:ln>
            <a:effectLst/>
          </c:spPr>
          <c:invertIfNegative val="0"/>
          <c:cat>
            <c:strRef>
              <c:f>'2bis'!$AG$1:$AK$1</c:f>
              <c:strCache>
                <c:ptCount val="5"/>
                <c:pt idx="0">
                  <c:v>1-4</c:v>
                </c:pt>
                <c:pt idx="1">
                  <c:v>5-8</c:v>
                </c:pt>
                <c:pt idx="2">
                  <c:v>9-12</c:v>
                </c:pt>
                <c:pt idx="3">
                  <c:v>13-16</c:v>
                </c:pt>
                <c:pt idx="4">
                  <c:v>&gt;16</c:v>
                </c:pt>
              </c:strCache>
            </c:strRef>
          </c:cat>
          <c:val>
            <c:numRef>
              <c:f>'2bis'!$AG$2:$AK$2</c:f>
              <c:numCache>
                <c:formatCode>General</c:formatCode>
                <c:ptCount val="5"/>
                <c:pt idx="0">
                  <c:v>174</c:v>
                </c:pt>
                <c:pt idx="1">
                  <c:v>54</c:v>
                </c:pt>
                <c:pt idx="2">
                  <c:v>17</c:v>
                </c:pt>
                <c:pt idx="3">
                  <c:v>8</c:v>
                </c:pt>
                <c:pt idx="4">
                  <c:v>13</c:v>
                </c:pt>
              </c:numCache>
            </c:numRef>
          </c:val>
          <c:extLst>
            <c:ext xmlns:c16="http://schemas.microsoft.com/office/drawing/2014/chart" uri="{C3380CC4-5D6E-409C-BE32-E72D297353CC}">
              <c16:uniqueId val="{00000000-7FF0-4B86-A3D7-1227B37F0DB6}"/>
            </c:ext>
          </c:extLst>
        </c:ser>
        <c:ser>
          <c:idx val="1"/>
          <c:order val="1"/>
          <c:tx>
            <c:strRef>
              <c:f>'2bis'!$V$3</c:f>
              <c:strCache>
                <c:ptCount val="1"/>
                <c:pt idx="0">
                  <c:v>in person</c:v>
                </c:pt>
              </c:strCache>
            </c:strRef>
          </c:tx>
          <c:spPr>
            <a:solidFill>
              <a:srgbClr val="332288"/>
            </a:solidFill>
            <a:ln>
              <a:noFill/>
            </a:ln>
            <a:effectLst/>
          </c:spPr>
          <c:invertIfNegative val="0"/>
          <c:cat>
            <c:strRef>
              <c:f>'2bis'!$AG$1:$AK$1</c:f>
              <c:strCache>
                <c:ptCount val="5"/>
                <c:pt idx="0">
                  <c:v>1-4</c:v>
                </c:pt>
                <c:pt idx="1">
                  <c:v>5-8</c:v>
                </c:pt>
                <c:pt idx="2">
                  <c:v>9-12</c:v>
                </c:pt>
                <c:pt idx="3">
                  <c:v>13-16</c:v>
                </c:pt>
                <c:pt idx="4">
                  <c:v>&gt;16</c:v>
                </c:pt>
              </c:strCache>
            </c:strRef>
          </c:cat>
          <c:val>
            <c:numRef>
              <c:f>'2bis'!$AG$3:$AK$3</c:f>
              <c:numCache>
                <c:formatCode>General</c:formatCode>
                <c:ptCount val="5"/>
                <c:pt idx="0">
                  <c:v>168</c:v>
                </c:pt>
                <c:pt idx="1">
                  <c:v>51</c:v>
                </c:pt>
                <c:pt idx="2">
                  <c:v>15</c:v>
                </c:pt>
                <c:pt idx="3">
                  <c:v>8</c:v>
                </c:pt>
                <c:pt idx="4">
                  <c:v>13</c:v>
                </c:pt>
              </c:numCache>
            </c:numRef>
          </c:val>
          <c:extLst>
            <c:ext xmlns:c16="http://schemas.microsoft.com/office/drawing/2014/chart" uri="{C3380CC4-5D6E-409C-BE32-E72D297353CC}">
              <c16:uniqueId val="{00000001-7FF0-4B86-A3D7-1227B37F0DB6}"/>
            </c:ext>
          </c:extLst>
        </c:ser>
        <c:ser>
          <c:idx val="2"/>
          <c:order val="2"/>
          <c:tx>
            <c:strRef>
              <c:f>'2bis'!$V$4</c:f>
              <c:strCache>
                <c:ptCount val="1"/>
                <c:pt idx="0">
                  <c:v>phone</c:v>
                </c:pt>
              </c:strCache>
            </c:strRef>
          </c:tx>
          <c:spPr>
            <a:solidFill>
              <a:srgbClr val="DDCC77"/>
            </a:solidFill>
            <a:ln>
              <a:noFill/>
            </a:ln>
            <a:effectLst/>
          </c:spPr>
          <c:invertIfNegative val="0"/>
          <c:cat>
            <c:strRef>
              <c:f>'2bis'!$AG$1:$AK$1</c:f>
              <c:strCache>
                <c:ptCount val="5"/>
                <c:pt idx="0">
                  <c:v>1-4</c:v>
                </c:pt>
                <c:pt idx="1">
                  <c:v>5-8</c:v>
                </c:pt>
                <c:pt idx="2">
                  <c:v>9-12</c:v>
                </c:pt>
                <c:pt idx="3">
                  <c:v>13-16</c:v>
                </c:pt>
                <c:pt idx="4">
                  <c:v>&gt;16</c:v>
                </c:pt>
              </c:strCache>
            </c:strRef>
          </c:cat>
          <c:val>
            <c:numRef>
              <c:f>'2bis'!$AG$4:$AK$4</c:f>
              <c:numCache>
                <c:formatCode>General</c:formatCode>
                <c:ptCount val="5"/>
                <c:pt idx="0">
                  <c:v>112</c:v>
                </c:pt>
                <c:pt idx="1">
                  <c:v>38</c:v>
                </c:pt>
                <c:pt idx="2">
                  <c:v>10</c:v>
                </c:pt>
                <c:pt idx="3">
                  <c:v>7</c:v>
                </c:pt>
                <c:pt idx="4">
                  <c:v>9</c:v>
                </c:pt>
              </c:numCache>
            </c:numRef>
          </c:val>
          <c:extLst>
            <c:ext xmlns:c16="http://schemas.microsoft.com/office/drawing/2014/chart" uri="{C3380CC4-5D6E-409C-BE32-E72D297353CC}">
              <c16:uniqueId val="{00000002-7FF0-4B86-A3D7-1227B37F0DB6}"/>
            </c:ext>
          </c:extLst>
        </c:ser>
        <c:ser>
          <c:idx val="3"/>
          <c:order val="3"/>
          <c:tx>
            <c:strRef>
              <c:f>'2bis'!$V$5</c:f>
              <c:strCache>
                <c:ptCount val="1"/>
                <c:pt idx="0">
                  <c:v>seminars/workshops</c:v>
                </c:pt>
              </c:strCache>
            </c:strRef>
          </c:tx>
          <c:spPr>
            <a:solidFill>
              <a:srgbClr val="117733"/>
            </a:solidFill>
            <a:ln>
              <a:noFill/>
            </a:ln>
            <a:effectLst/>
          </c:spPr>
          <c:invertIfNegative val="0"/>
          <c:cat>
            <c:strRef>
              <c:f>'2bis'!$AG$1:$AK$1</c:f>
              <c:strCache>
                <c:ptCount val="5"/>
                <c:pt idx="0">
                  <c:v>1-4</c:v>
                </c:pt>
                <c:pt idx="1">
                  <c:v>5-8</c:v>
                </c:pt>
                <c:pt idx="2">
                  <c:v>9-12</c:v>
                </c:pt>
                <c:pt idx="3">
                  <c:v>13-16</c:v>
                </c:pt>
                <c:pt idx="4">
                  <c:v>&gt;16</c:v>
                </c:pt>
              </c:strCache>
            </c:strRef>
          </c:cat>
          <c:val>
            <c:numRef>
              <c:f>'2bis'!$AG$5:$AK$5</c:f>
              <c:numCache>
                <c:formatCode>General</c:formatCode>
                <c:ptCount val="5"/>
                <c:pt idx="0">
                  <c:v>73</c:v>
                </c:pt>
                <c:pt idx="1">
                  <c:v>28</c:v>
                </c:pt>
                <c:pt idx="2">
                  <c:v>10</c:v>
                </c:pt>
                <c:pt idx="3">
                  <c:v>3</c:v>
                </c:pt>
                <c:pt idx="4">
                  <c:v>8</c:v>
                </c:pt>
              </c:numCache>
            </c:numRef>
          </c:val>
          <c:extLst>
            <c:ext xmlns:c16="http://schemas.microsoft.com/office/drawing/2014/chart" uri="{C3380CC4-5D6E-409C-BE32-E72D297353CC}">
              <c16:uniqueId val="{00000003-7FF0-4B86-A3D7-1227B37F0DB6}"/>
            </c:ext>
          </c:extLst>
        </c:ser>
        <c:ser>
          <c:idx val="4"/>
          <c:order val="4"/>
          <c:tx>
            <c:strRef>
              <c:f>'2bis'!$V$6</c:f>
              <c:strCache>
                <c:ptCount val="1"/>
                <c:pt idx="0">
                  <c:v>website</c:v>
                </c:pt>
              </c:strCache>
            </c:strRef>
          </c:tx>
          <c:spPr>
            <a:solidFill>
              <a:srgbClr val="88CCEE"/>
            </a:solidFill>
            <a:ln>
              <a:noFill/>
            </a:ln>
            <a:effectLst/>
          </c:spPr>
          <c:invertIfNegative val="0"/>
          <c:cat>
            <c:strRef>
              <c:f>'2bis'!$AG$1:$AK$1</c:f>
              <c:strCache>
                <c:ptCount val="5"/>
                <c:pt idx="0">
                  <c:v>1-4</c:v>
                </c:pt>
                <c:pt idx="1">
                  <c:v>5-8</c:v>
                </c:pt>
                <c:pt idx="2">
                  <c:v>9-12</c:v>
                </c:pt>
                <c:pt idx="3">
                  <c:v>13-16</c:v>
                </c:pt>
                <c:pt idx="4">
                  <c:v>&gt;16</c:v>
                </c:pt>
              </c:strCache>
            </c:strRef>
          </c:cat>
          <c:val>
            <c:numRef>
              <c:f>'2bis'!$AG$6:$AK$6</c:f>
              <c:numCache>
                <c:formatCode>General</c:formatCode>
                <c:ptCount val="5"/>
                <c:pt idx="0">
                  <c:v>68</c:v>
                </c:pt>
                <c:pt idx="1">
                  <c:v>27</c:v>
                </c:pt>
                <c:pt idx="2">
                  <c:v>4</c:v>
                </c:pt>
                <c:pt idx="3">
                  <c:v>4</c:v>
                </c:pt>
                <c:pt idx="4">
                  <c:v>7</c:v>
                </c:pt>
              </c:numCache>
            </c:numRef>
          </c:val>
          <c:extLst>
            <c:ext xmlns:c16="http://schemas.microsoft.com/office/drawing/2014/chart" uri="{C3380CC4-5D6E-409C-BE32-E72D297353CC}">
              <c16:uniqueId val="{00000004-7FF0-4B86-A3D7-1227B37F0DB6}"/>
            </c:ext>
          </c:extLst>
        </c:ser>
        <c:ser>
          <c:idx val="5"/>
          <c:order val="5"/>
          <c:tx>
            <c:strRef>
              <c:f>'2bis'!$V$7</c:f>
              <c:strCache>
                <c:ptCount val="1"/>
                <c:pt idx="0">
                  <c:v>user group meeting</c:v>
                </c:pt>
              </c:strCache>
            </c:strRef>
          </c:tx>
          <c:spPr>
            <a:solidFill>
              <a:srgbClr val="882255"/>
            </a:solidFill>
            <a:ln>
              <a:noFill/>
            </a:ln>
            <a:effectLst/>
          </c:spPr>
          <c:invertIfNegative val="0"/>
          <c:cat>
            <c:strRef>
              <c:f>'2bis'!$AG$1:$AK$1</c:f>
              <c:strCache>
                <c:ptCount val="5"/>
                <c:pt idx="0">
                  <c:v>1-4</c:v>
                </c:pt>
                <c:pt idx="1">
                  <c:v>5-8</c:v>
                </c:pt>
                <c:pt idx="2">
                  <c:v>9-12</c:v>
                </c:pt>
                <c:pt idx="3">
                  <c:v>13-16</c:v>
                </c:pt>
                <c:pt idx="4">
                  <c:v>&gt;16</c:v>
                </c:pt>
              </c:strCache>
            </c:strRef>
          </c:cat>
          <c:val>
            <c:numRef>
              <c:f>'2bis'!$AG$7:$AK$7</c:f>
              <c:numCache>
                <c:formatCode>General</c:formatCode>
                <c:ptCount val="5"/>
                <c:pt idx="0">
                  <c:v>48</c:v>
                </c:pt>
                <c:pt idx="1">
                  <c:v>16</c:v>
                </c:pt>
                <c:pt idx="2">
                  <c:v>10</c:v>
                </c:pt>
                <c:pt idx="3">
                  <c:v>3</c:v>
                </c:pt>
                <c:pt idx="4">
                  <c:v>6</c:v>
                </c:pt>
              </c:numCache>
            </c:numRef>
          </c:val>
          <c:extLst>
            <c:ext xmlns:c16="http://schemas.microsoft.com/office/drawing/2014/chart" uri="{C3380CC4-5D6E-409C-BE32-E72D297353CC}">
              <c16:uniqueId val="{00000005-7FF0-4B86-A3D7-1227B37F0DB6}"/>
            </c:ext>
          </c:extLst>
        </c:ser>
        <c:ser>
          <c:idx val="6"/>
          <c:order val="6"/>
          <c:tx>
            <c:strRef>
              <c:f>'2bis'!$V$8</c:f>
              <c:strCache>
                <c:ptCount val="1"/>
                <c:pt idx="0">
                  <c:v>communication/management software</c:v>
                </c:pt>
              </c:strCache>
            </c:strRef>
          </c:tx>
          <c:spPr>
            <a:solidFill>
              <a:srgbClr val="44AA99"/>
            </a:solidFill>
            <a:ln>
              <a:noFill/>
            </a:ln>
            <a:effectLst/>
          </c:spPr>
          <c:invertIfNegative val="0"/>
          <c:cat>
            <c:strRef>
              <c:f>'2bis'!$AG$1:$AK$1</c:f>
              <c:strCache>
                <c:ptCount val="5"/>
                <c:pt idx="0">
                  <c:v>1-4</c:v>
                </c:pt>
                <c:pt idx="1">
                  <c:v>5-8</c:v>
                </c:pt>
                <c:pt idx="2">
                  <c:v>9-12</c:v>
                </c:pt>
                <c:pt idx="3">
                  <c:v>13-16</c:v>
                </c:pt>
                <c:pt idx="4">
                  <c:v>&gt;16</c:v>
                </c:pt>
              </c:strCache>
            </c:strRef>
          </c:cat>
          <c:val>
            <c:numRef>
              <c:f>'2bis'!$AG$8:$AK$8</c:f>
              <c:numCache>
                <c:formatCode>General</c:formatCode>
                <c:ptCount val="5"/>
                <c:pt idx="0">
                  <c:v>41</c:v>
                </c:pt>
                <c:pt idx="1">
                  <c:v>14</c:v>
                </c:pt>
                <c:pt idx="2">
                  <c:v>7</c:v>
                </c:pt>
                <c:pt idx="3">
                  <c:v>4</c:v>
                </c:pt>
                <c:pt idx="4">
                  <c:v>4</c:v>
                </c:pt>
              </c:numCache>
            </c:numRef>
          </c:val>
          <c:extLst>
            <c:ext xmlns:c16="http://schemas.microsoft.com/office/drawing/2014/chart" uri="{C3380CC4-5D6E-409C-BE32-E72D297353CC}">
              <c16:uniqueId val="{00000006-7FF0-4B86-A3D7-1227B37F0DB6}"/>
            </c:ext>
          </c:extLst>
        </c:ser>
        <c:ser>
          <c:idx val="7"/>
          <c:order val="7"/>
          <c:tx>
            <c:strRef>
              <c:f>'2bis'!$V$9</c:f>
              <c:strCache>
                <c:ptCount val="1"/>
                <c:pt idx="0">
                  <c:v>social media</c:v>
                </c:pt>
              </c:strCache>
            </c:strRef>
          </c:tx>
          <c:spPr>
            <a:solidFill>
              <a:srgbClr val="AA4499"/>
            </a:solidFill>
            <a:ln>
              <a:noFill/>
            </a:ln>
            <a:effectLst/>
          </c:spPr>
          <c:invertIfNegative val="0"/>
          <c:cat>
            <c:strRef>
              <c:f>'2bis'!$AG$1:$AK$1</c:f>
              <c:strCache>
                <c:ptCount val="5"/>
                <c:pt idx="0">
                  <c:v>1-4</c:v>
                </c:pt>
                <c:pt idx="1">
                  <c:v>5-8</c:v>
                </c:pt>
                <c:pt idx="2">
                  <c:v>9-12</c:v>
                </c:pt>
                <c:pt idx="3">
                  <c:v>13-16</c:v>
                </c:pt>
                <c:pt idx="4">
                  <c:v>&gt;16</c:v>
                </c:pt>
              </c:strCache>
            </c:strRef>
          </c:cat>
          <c:val>
            <c:numRef>
              <c:f>'2bis'!$AG$9:$AK$9</c:f>
              <c:numCache>
                <c:formatCode>General</c:formatCode>
                <c:ptCount val="5"/>
                <c:pt idx="0">
                  <c:v>18</c:v>
                </c:pt>
                <c:pt idx="1">
                  <c:v>8</c:v>
                </c:pt>
                <c:pt idx="2">
                  <c:v>5</c:v>
                </c:pt>
                <c:pt idx="3">
                  <c:v>0</c:v>
                </c:pt>
                <c:pt idx="4">
                  <c:v>1</c:v>
                </c:pt>
              </c:numCache>
            </c:numRef>
          </c:val>
          <c:extLst>
            <c:ext xmlns:c16="http://schemas.microsoft.com/office/drawing/2014/chart" uri="{C3380CC4-5D6E-409C-BE32-E72D297353CC}">
              <c16:uniqueId val="{00000007-7FF0-4B86-A3D7-1227B37F0DB6}"/>
            </c:ext>
          </c:extLst>
        </c:ser>
        <c:ser>
          <c:idx val="8"/>
          <c:order val="8"/>
          <c:tx>
            <c:strRef>
              <c:f>'2bis'!$V$10</c:f>
              <c:strCache>
                <c:ptCount val="1"/>
                <c:pt idx="0">
                  <c:v>other</c:v>
                </c:pt>
              </c:strCache>
            </c:strRef>
          </c:tx>
          <c:spPr>
            <a:solidFill>
              <a:srgbClr val="999933"/>
            </a:solidFill>
            <a:ln>
              <a:noFill/>
            </a:ln>
            <a:effectLst/>
          </c:spPr>
          <c:invertIfNegative val="0"/>
          <c:cat>
            <c:strRef>
              <c:f>'2bis'!$AG$1:$AK$1</c:f>
              <c:strCache>
                <c:ptCount val="5"/>
                <c:pt idx="0">
                  <c:v>1-4</c:v>
                </c:pt>
                <c:pt idx="1">
                  <c:v>5-8</c:v>
                </c:pt>
                <c:pt idx="2">
                  <c:v>9-12</c:v>
                </c:pt>
                <c:pt idx="3">
                  <c:v>13-16</c:v>
                </c:pt>
                <c:pt idx="4">
                  <c:v>&gt;16</c:v>
                </c:pt>
              </c:strCache>
            </c:strRef>
          </c:cat>
          <c:val>
            <c:numRef>
              <c:f>'2bis'!$AG$10:$AK$10</c:f>
              <c:numCache>
                <c:formatCode>General</c:formatCode>
                <c:ptCount val="5"/>
                <c:pt idx="0">
                  <c:v>7</c:v>
                </c:pt>
                <c:pt idx="1">
                  <c:v>2</c:v>
                </c:pt>
                <c:pt idx="2">
                  <c:v>1</c:v>
                </c:pt>
                <c:pt idx="3">
                  <c:v>0</c:v>
                </c:pt>
                <c:pt idx="4">
                  <c:v>0</c:v>
                </c:pt>
              </c:numCache>
            </c:numRef>
          </c:val>
          <c:extLst>
            <c:ext xmlns:c16="http://schemas.microsoft.com/office/drawing/2014/chart" uri="{C3380CC4-5D6E-409C-BE32-E72D297353CC}">
              <c16:uniqueId val="{00000008-7FF0-4B86-A3D7-1227B37F0DB6}"/>
            </c:ext>
          </c:extLst>
        </c:ser>
        <c:dLbls>
          <c:showLegendKey val="0"/>
          <c:showVal val="0"/>
          <c:showCatName val="0"/>
          <c:showSerName val="0"/>
          <c:showPercent val="0"/>
          <c:showBubbleSize val="0"/>
        </c:dLbls>
        <c:gapWidth val="150"/>
        <c:overlap val="100"/>
        <c:axId val="490662432"/>
        <c:axId val="490662760"/>
      </c:barChart>
      <c:catAx>
        <c:axId val="490662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staff</a:t>
                </a:r>
              </a:p>
            </c:rich>
          </c:tx>
          <c:layout>
            <c:manualLayout>
              <c:xMode val="edge"/>
              <c:yMode val="edge"/>
              <c:x val="0.48787557044411561"/>
              <c:y val="0.9174303520291923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0662760"/>
        <c:crosses val="autoZero"/>
        <c:auto val="1"/>
        <c:lblAlgn val="ctr"/>
        <c:lblOffset val="100"/>
        <c:noMultiLvlLbl val="0"/>
      </c:catAx>
      <c:valAx>
        <c:axId val="490662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0662432"/>
        <c:crosses val="autoZero"/>
        <c:crossBetween val="between"/>
      </c:valAx>
      <c:spPr>
        <a:noFill/>
        <a:ln>
          <a:noFill/>
        </a:ln>
        <a:effectLst/>
      </c:spPr>
    </c:plotArea>
    <c:legend>
      <c:legendPos val="r"/>
      <c:layout>
        <c:manualLayout>
          <c:xMode val="edge"/>
          <c:yMode val="edge"/>
          <c:x val="0.66115857686389978"/>
          <c:y val="0.1392006207936331"/>
          <c:w val="0.33538480465070325"/>
          <c:h val="0.764607915924350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Communication with users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822205656245632"/>
          <c:y val="0.14787394389235681"/>
          <c:w val="0.51163187594858961"/>
          <c:h val="0.70313325730815235"/>
        </c:manualLayout>
      </c:layout>
      <c:barChart>
        <c:barDir val="col"/>
        <c:grouping val="percentStacked"/>
        <c:varyColors val="0"/>
        <c:ser>
          <c:idx val="0"/>
          <c:order val="0"/>
          <c:tx>
            <c:strRef>
              <c:f>'2bis'!$V$2</c:f>
              <c:strCache>
                <c:ptCount val="1"/>
                <c:pt idx="0">
                  <c:v>email</c:v>
                </c:pt>
              </c:strCache>
            </c:strRef>
          </c:tx>
          <c:spPr>
            <a:solidFill>
              <a:srgbClr val="CC6677"/>
            </a:solidFill>
            <a:ln>
              <a:noFill/>
            </a:ln>
            <a:effectLst/>
          </c:spPr>
          <c:invertIfNegative val="0"/>
          <c:cat>
            <c:strRef>
              <c:f>'2bis'!$AM$1:$AR$1</c:f>
              <c:strCache>
                <c:ptCount val="6"/>
                <c:pt idx="0">
                  <c:v>1-20</c:v>
                </c:pt>
                <c:pt idx="1">
                  <c:v>21-40</c:v>
                </c:pt>
                <c:pt idx="2">
                  <c:v>41-60</c:v>
                </c:pt>
                <c:pt idx="3">
                  <c:v>61-80</c:v>
                </c:pt>
                <c:pt idx="4">
                  <c:v>81-100</c:v>
                </c:pt>
                <c:pt idx="5">
                  <c:v>&gt; 100</c:v>
                </c:pt>
              </c:strCache>
            </c:strRef>
          </c:cat>
          <c:val>
            <c:numRef>
              <c:f>'2bis'!$AM$2:$AR$2</c:f>
              <c:numCache>
                <c:formatCode>General</c:formatCode>
                <c:ptCount val="6"/>
                <c:pt idx="0">
                  <c:v>122</c:v>
                </c:pt>
                <c:pt idx="1">
                  <c:v>62</c:v>
                </c:pt>
                <c:pt idx="2">
                  <c:v>33</c:v>
                </c:pt>
                <c:pt idx="3">
                  <c:v>12</c:v>
                </c:pt>
                <c:pt idx="4">
                  <c:v>10</c:v>
                </c:pt>
                <c:pt idx="5">
                  <c:v>27</c:v>
                </c:pt>
              </c:numCache>
            </c:numRef>
          </c:val>
          <c:extLst>
            <c:ext xmlns:c16="http://schemas.microsoft.com/office/drawing/2014/chart" uri="{C3380CC4-5D6E-409C-BE32-E72D297353CC}">
              <c16:uniqueId val="{00000000-621B-4524-8689-91499163F1AB}"/>
            </c:ext>
          </c:extLst>
        </c:ser>
        <c:ser>
          <c:idx val="1"/>
          <c:order val="1"/>
          <c:tx>
            <c:strRef>
              <c:f>'2bis'!$V$3</c:f>
              <c:strCache>
                <c:ptCount val="1"/>
                <c:pt idx="0">
                  <c:v>in person</c:v>
                </c:pt>
              </c:strCache>
            </c:strRef>
          </c:tx>
          <c:spPr>
            <a:solidFill>
              <a:srgbClr val="332288"/>
            </a:solidFill>
            <a:ln>
              <a:noFill/>
            </a:ln>
            <a:effectLst/>
          </c:spPr>
          <c:invertIfNegative val="0"/>
          <c:cat>
            <c:strRef>
              <c:f>'2bis'!$AM$1:$AR$1</c:f>
              <c:strCache>
                <c:ptCount val="6"/>
                <c:pt idx="0">
                  <c:v>1-20</c:v>
                </c:pt>
                <c:pt idx="1">
                  <c:v>21-40</c:v>
                </c:pt>
                <c:pt idx="2">
                  <c:v>41-60</c:v>
                </c:pt>
                <c:pt idx="3">
                  <c:v>61-80</c:v>
                </c:pt>
                <c:pt idx="4">
                  <c:v>81-100</c:v>
                </c:pt>
                <c:pt idx="5">
                  <c:v>&gt; 100</c:v>
                </c:pt>
              </c:strCache>
            </c:strRef>
          </c:cat>
          <c:val>
            <c:numRef>
              <c:f>'2bis'!$AM$3:$AR$3</c:f>
              <c:numCache>
                <c:formatCode>General</c:formatCode>
                <c:ptCount val="6"/>
                <c:pt idx="0">
                  <c:v>121</c:v>
                </c:pt>
                <c:pt idx="1">
                  <c:v>60</c:v>
                </c:pt>
                <c:pt idx="2">
                  <c:v>28</c:v>
                </c:pt>
                <c:pt idx="3">
                  <c:v>10</c:v>
                </c:pt>
                <c:pt idx="4">
                  <c:v>10</c:v>
                </c:pt>
                <c:pt idx="5">
                  <c:v>26</c:v>
                </c:pt>
              </c:numCache>
            </c:numRef>
          </c:val>
          <c:extLst>
            <c:ext xmlns:c16="http://schemas.microsoft.com/office/drawing/2014/chart" uri="{C3380CC4-5D6E-409C-BE32-E72D297353CC}">
              <c16:uniqueId val="{00000001-621B-4524-8689-91499163F1AB}"/>
            </c:ext>
          </c:extLst>
        </c:ser>
        <c:ser>
          <c:idx val="2"/>
          <c:order val="2"/>
          <c:tx>
            <c:strRef>
              <c:f>'2bis'!$V$4</c:f>
              <c:strCache>
                <c:ptCount val="1"/>
                <c:pt idx="0">
                  <c:v>phone</c:v>
                </c:pt>
              </c:strCache>
            </c:strRef>
          </c:tx>
          <c:spPr>
            <a:solidFill>
              <a:srgbClr val="DDCC77"/>
            </a:solidFill>
            <a:ln>
              <a:noFill/>
            </a:ln>
            <a:effectLst/>
          </c:spPr>
          <c:invertIfNegative val="0"/>
          <c:cat>
            <c:strRef>
              <c:f>'2bis'!$AM$1:$AR$1</c:f>
              <c:strCache>
                <c:ptCount val="6"/>
                <c:pt idx="0">
                  <c:v>1-20</c:v>
                </c:pt>
                <c:pt idx="1">
                  <c:v>21-40</c:v>
                </c:pt>
                <c:pt idx="2">
                  <c:v>41-60</c:v>
                </c:pt>
                <c:pt idx="3">
                  <c:v>61-80</c:v>
                </c:pt>
                <c:pt idx="4">
                  <c:v>81-100</c:v>
                </c:pt>
                <c:pt idx="5">
                  <c:v>&gt; 100</c:v>
                </c:pt>
              </c:strCache>
            </c:strRef>
          </c:cat>
          <c:val>
            <c:numRef>
              <c:f>'2bis'!$AM$4:$AR$4</c:f>
              <c:numCache>
                <c:formatCode>General</c:formatCode>
                <c:ptCount val="6"/>
                <c:pt idx="0">
                  <c:v>91</c:v>
                </c:pt>
                <c:pt idx="1">
                  <c:v>42</c:v>
                </c:pt>
                <c:pt idx="2">
                  <c:v>18</c:v>
                </c:pt>
                <c:pt idx="3">
                  <c:v>7</c:v>
                </c:pt>
                <c:pt idx="4">
                  <c:v>5</c:v>
                </c:pt>
                <c:pt idx="5">
                  <c:v>13</c:v>
                </c:pt>
              </c:numCache>
            </c:numRef>
          </c:val>
          <c:extLst>
            <c:ext xmlns:c16="http://schemas.microsoft.com/office/drawing/2014/chart" uri="{C3380CC4-5D6E-409C-BE32-E72D297353CC}">
              <c16:uniqueId val="{00000002-621B-4524-8689-91499163F1AB}"/>
            </c:ext>
          </c:extLst>
        </c:ser>
        <c:ser>
          <c:idx val="3"/>
          <c:order val="3"/>
          <c:tx>
            <c:strRef>
              <c:f>'2bis'!$V$5</c:f>
              <c:strCache>
                <c:ptCount val="1"/>
                <c:pt idx="0">
                  <c:v>seminars/workshops</c:v>
                </c:pt>
              </c:strCache>
            </c:strRef>
          </c:tx>
          <c:spPr>
            <a:solidFill>
              <a:srgbClr val="117733"/>
            </a:solidFill>
            <a:ln>
              <a:noFill/>
            </a:ln>
            <a:effectLst/>
          </c:spPr>
          <c:invertIfNegative val="0"/>
          <c:cat>
            <c:strRef>
              <c:f>'2bis'!$AM$1:$AR$1</c:f>
              <c:strCache>
                <c:ptCount val="6"/>
                <c:pt idx="0">
                  <c:v>1-20</c:v>
                </c:pt>
                <c:pt idx="1">
                  <c:v>21-40</c:v>
                </c:pt>
                <c:pt idx="2">
                  <c:v>41-60</c:v>
                </c:pt>
                <c:pt idx="3">
                  <c:v>61-80</c:v>
                </c:pt>
                <c:pt idx="4">
                  <c:v>81-100</c:v>
                </c:pt>
                <c:pt idx="5">
                  <c:v>&gt; 100</c:v>
                </c:pt>
              </c:strCache>
            </c:strRef>
          </c:cat>
          <c:val>
            <c:numRef>
              <c:f>'2bis'!$AM$5:$AR$5</c:f>
              <c:numCache>
                <c:formatCode>General</c:formatCode>
                <c:ptCount val="6"/>
                <c:pt idx="0">
                  <c:v>44</c:v>
                </c:pt>
                <c:pt idx="1">
                  <c:v>28</c:v>
                </c:pt>
                <c:pt idx="2">
                  <c:v>20</c:v>
                </c:pt>
                <c:pt idx="3">
                  <c:v>7</c:v>
                </c:pt>
                <c:pt idx="4">
                  <c:v>9</c:v>
                </c:pt>
                <c:pt idx="5">
                  <c:v>14</c:v>
                </c:pt>
              </c:numCache>
            </c:numRef>
          </c:val>
          <c:extLst>
            <c:ext xmlns:c16="http://schemas.microsoft.com/office/drawing/2014/chart" uri="{C3380CC4-5D6E-409C-BE32-E72D297353CC}">
              <c16:uniqueId val="{00000003-621B-4524-8689-91499163F1AB}"/>
            </c:ext>
          </c:extLst>
        </c:ser>
        <c:ser>
          <c:idx val="4"/>
          <c:order val="4"/>
          <c:tx>
            <c:strRef>
              <c:f>'2bis'!$V$6</c:f>
              <c:strCache>
                <c:ptCount val="1"/>
                <c:pt idx="0">
                  <c:v>website</c:v>
                </c:pt>
              </c:strCache>
            </c:strRef>
          </c:tx>
          <c:spPr>
            <a:solidFill>
              <a:srgbClr val="88CCEE"/>
            </a:solidFill>
            <a:ln>
              <a:noFill/>
            </a:ln>
            <a:effectLst/>
          </c:spPr>
          <c:invertIfNegative val="0"/>
          <c:cat>
            <c:strRef>
              <c:f>'2bis'!$AM$1:$AR$1</c:f>
              <c:strCache>
                <c:ptCount val="6"/>
                <c:pt idx="0">
                  <c:v>1-20</c:v>
                </c:pt>
                <c:pt idx="1">
                  <c:v>21-40</c:v>
                </c:pt>
                <c:pt idx="2">
                  <c:v>41-60</c:v>
                </c:pt>
                <c:pt idx="3">
                  <c:v>61-80</c:v>
                </c:pt>
                <c:pt idx="4">
                  <c:v>81-100</c:v>
                </c:pt>
                <c:pt idx="5">
                  <c:v>&gt; 100</c:v>
                </c:pt>
              </c:strCache>
            </c:strRef>
          </c:cat>
          <c:val>
            <c:numRef>
              <c:f>'2bis'!$AM$6:$AR$6</c:f>
              <c:numCache>
                <c:formatCode>General</c:formatCode>
                <c:ptCount val="6"/>
                <c:pt idx="0">
                  <c:v>39</c:v>
                </c:pt>
                <c:pt idx="1">
                  <c:v>28</c:v>
                </c:pt>
                <c:pt idx="2">
                  <c:v>14</c:v>
                </c:pt>
                <c:pt idx="3">
                  <c:v>4</c:v>
                </c:pt>
                <c:pt idx="4">
                  <c:v>10</c:v>
                </c:pt>
                <c:pt idx="5">
                  <c:v>15</c:v>
                </c:pt>
              </c:numCache>
            </c:numRef>
          </c:val>
          <c:extLst>
            <c:ext xmlns:c16="http://schemas.microsoft.com/office/drawing/2014/chart" uri="{C3380CC4-5D6E-409C-BE32-E72D297353CC}">
              <c16:uniqueId val="{00000004-621B-4524-8689-91499163F1AB}"/>
            </c:ext>
          </c:extLst>
        </c:ser>
        <c:ser>
          <c:idx val="5"/>
          <c:order val="5"/>
          <c:tx>
            <c:strRef>
              <c:f>'2bis'!$V$7</c:f>
              <c:strCache>
                <c:ptCount val="1"/>
                <c:pt idx="0">
                  <c:v>user group meeting</c:v>
                </c:pt>
              </c:strCache>
            </c:strRef>
          </c:tx>
          <c:spPr>
            <a:solidFill>
              <a:srgbClr val="882255"/>
            </a:solidFill>
            <a:ln>
              <a:noFill/>
            </a:ln>
            <a:effectLst/>
          </c:spPr>
          <c:invertIfNegative val="0"/>
          <c:cat>
            <c:strRef>
              <c:f>'2bis'!$AM$1:$AR$1</c:f>
              <c:strCache>
                <c:ptCount val="6"/>
                <c:pt idx="0">
                  <c:v>1-20</c:v>
                </c:pt>
                <c:pt idx="1">
                  <c:v>21-40</c:v>
                </c:pt>
                <c:pt idx="2">
                  <c:v>41-60</c:v>
                </c:pt>
                <c:pt idx="3">
                  <c:v>61-80</c:v>
                </c:pt>
                <c:pt idx="4">
                  <c:v>81-100</c:v>
                </c:pt>
                <c:pt idx="5">
                  <c:v>&gt; 100</c:v>
                </c:pt>
              </c:strCache>
            </c:strRef>
          </c:cat>
          <c:val>
            <c:numRef>
              <c:f>'2bis'!$AM$7:$AR$7</c:f>
              <c:numCache>
                <c:formatCode>General</c:formatCode>
                <c:ptCount val="6"/>
                <c:pt idx="0">
                  <c:v>35</c:v>
                </c:pt>
                <c:pt idx="1">
                  <c:v>17</c:v>
                </c:pt>
                <c:pt idx="2">
                  <c:v>10</c:v>
                </c:pt>
                <c:pt idx="3">
                  <c:v>2</c:v>
                </c:pt>
                <c:pt idx="4">
                  <c:v>3</c:v>
                </c:pt>
                <c:pt idx="5">
                  <c:v>16</c:v>
                </c:pt>
              </c:numCache>
            </c:numRef>
          </c:val>
          <c:extLst>
            <c:ext xmlns:c16="http://schemas.microsoft.com/office/drawing/2014/chart" uri="{C3380CC4-5D6E-409C-BE32-E72D297353CC}">
              <c16:uniqueId val="{00000005-621B-4524-8689-91499163F1AB}"/>
            </c:ext>
          </c:extLst>
        </c:ser>
        <c:ser>
          <c:idx val="6"/>
          <c:order val="6"/>
          <c:tx>
            <c:strRef>
              <c:f>'2bis'!$V$8</c:f>
              <c:strCache>
                <c:ptCount val="1"/>
                <c:pt idx="0">
                  <c:v>communication/management software</c:v>
                </c:pt>
              </c:strCache>
            </c:strRef>
          </c:tx>
          <c:spPr>
            <a:solidFill>
              <a:srgbClr val="44AA99"/>
            </a:solidFill>
            <a:ln>
              <a:noFill/>
            </a:ln>
            <a:effectLst/>
          </c:spPr>
          <c:invertIfNegative val="0"/>
          <c:cat>
            <c:strRef>
              <c:f>'2bis'!$AM$1:$AR$1</c:f>
              <c:strCache>
                <c:ptCount val="6"/>
                <c:pt idx="0">
                  <c:v>1-20</c:v>
                </c:pt>
                <c:pt idx="1">
                  <c:v>21-40</c:v>
                </c:pt>
                <c:pt idx="2">
                  <c:v>41-60</c:v>
                </c:pt>
                <c:pt idx="3">
                  <c:v>61-80</c:v>
                </c:pt>
                <c:pt idx="4">
                  <c:v>81-100</c:v>
                </c:pt>
                <c:pt idx="5">
                  <c:v>&gt; 100</c:v>
                </c:pt>
              </c:strCache>
            </c:strRef>
          </c:cat>
          <c:val>
            <c:numRef>
              <c:f>'2bis'!$AM$8:$AR$8</c:f>
              <c:numCache>
                <c:formatCode>General</c:formatCode>
                <c:ptCount val="6"/>
                <c:pt idx="0">
                  <c:v>24</c:v>
                </c:pt>
                <c:pt idx="1">
                  <c:v>16</c:v>
                </c:pt>
                <c:pt idx="2">
                  <c:v>11</c:v>
                </c:pt>
                <c:pt idx="3">
                  <c:v>6</c:v>
                </c:pt>
                <c:pt idx="4">
                  <c:v>2</c:v>
                </c:pt>
                <c:pt idx="5">
                  <c:v>11</c:v>
                </c:pt>
              </c:numCache>
            </c:numRef>
          </c:val>
          <c:extLst>
            <c:ext xmlns:c16="http://schemas.microsoft.com/office/drawing/2014/chart" uri="{C3380CC4-5D6E-409C-BE32-E72D297353CC}">
              <c16:uniqueId val="{00000006-621B-4524-8689-91499163F1AB}"/>
            </c:ext>
          </c:extLst>
        </c:ser>
        <c:ser>
          <c:idx val="7"/>
          <c:order val="7"/>
          <c:tx>
            <c:strRef>
              <c:f>'2bis'!$V$9</c:f>
              <c:strCache>
                <c:ptCount val="1"/>
                <c:pt idx="0">
                  <c:v>social media</c:v>
                </c:pt>
              </c:strCache>
            </c:strRef>
          </c:tx>
          <c:spPr>
            <a:solidFill>
              <a:srgbClr val="AA4499"/>
            </a:solidFill>
            <a:ln>
              <a:noFill/>
            </a:ln>
            <a:effectLst/>
          </c:spPr>
          <c:invertIfNegative val="0"/>
          <c:cat>
            <c:strRef>
              <c:f>'2bis'!$AM$1:$AR$1</c:f>
              <c:strCache>
                <c:ptCount val="6"/>
                <c:pt idx="0">
                  <c:v>1-20</c:v>
                </c:pt>
                <c:pt idx="1">
                  <c:v>21-40</c:v>
                </c:pt>
                <c:pt idx="2">
                  <c:v>41-60</c:v>
                </c:pt>
                <c:pt idx="3">
                  <c:v>61-80</c:v>
                </c:pt>
                <c:pt idx="4">
                  <c:v>81-100</c:v>
                </c:pt>
                <c:pt idx="5">
                  <c:v>&gt; 100</c:v>
                </c:pt>
              </c:strCache>
            </c:strRef>
          </c:cat>
          <c:val>
            <c:numRef>
              <c:f>'2bis'!$AM$9:$AR$9</c:f>
              <c:numCache>
                <c:formatCode>General</c:formatCode>
                <c:ptCount val="6"/>
                <c:pt idx="0">
                  <c:v>10</c:v>
                </c:pt>
                <c:pt idx="1">
                  <c:v>8</c:v>
                </c:pt>
                <c:pt idx="2">
                  <c:v>7</c:v>
                </c:pt>
                <c:pt idx="3">
                  <c:v>1</c:v>
                </c:pt>
                <c:pt idx="4">
                  <c:v>1</c:v>
                </c:pt>
                <c:pt idx="5">
                  <c:v>5</c:v>
                </c:pt>
              </c:numCache>
            </c:numRef>
          </c:val>
          <c:extLst>
            <c:ext xmlns:c16="http://schemas.microsoft.com/office/drawing/2014/chart" uri="{C3380CC4-5D6E-409C-BE32-E72D297353CC}">
              <c16:uniqueId val="{00000007-621B-4524-8689-91499163F1AB}"/>
            </c:ext>
          </c:extLst>
        </c:ser>
        <c:ser>
          <c:idx val="8"/>
          <c:order val="8"/>
          <c:tx>
            <c:strRef>
              <c:f>'2bis'!$V$10</c:f>
              <c:strCache>
                <c:ptCount val="1"/>
                <c:pt idx="0">
                  <c:v>other</c:v>
                </c:pt>
              </c:strCache>
            </c:strRef>
          </c:tx>
          <c:spPr>
            <a:solidFill>
              <a:srgbClr val="999933"/>
            </a:solidFill>
            <a:ln>
              <a:noFill/>
            </a:ln>
            <a:effectLst/>
          </c:spPr>
          <c:invertIfNegative val="0"/>
          <c:cat>
            <c:strRef>
              <c:f>'2bis'!$AM$1:$AR$1</c:f>
              <c:strCache>
                <c:ptCount val="6"/>
                <c:pt idx="0">
                  <c:v>1-20</c:v>
                </c:pt>
                <c:pt idx="1">
                  <c:v>21-40</c:v>
                </c:pt>
                <c:pt idx="2">
                  <c:v>41-60</c:v>
                </c:pt>
                <c:pt idx="3">
                  <c:v>61-80</c:v>
                </c:pt>
                <c:pt idx="4">
                  <c:v>81-100</c:v>
                </c:pt>
                <c:pt idx="5">
                  <c:v>&gt; 100</c:v>
                </c:pt>
              </c:strCache>
            </c:strRef>
          </c:cat>
          <c:val>
            <c:numRef>
              <c:f>'2bis'!$AM$10:$AR$10</c:f>
              <c:numCache>
                <c:formatCode>General</c:formatCode>
                <c:ptCount val="6"/>
                <c:pt idx="0">
                  <c:v>2</c:v>
                </c:pt>
                <c:pt idx="1">
                  <c:v>0</c:v>
                </c:pt>
                <c:pt idx="2">
                  <c:v>4</c:v>
                </c:pt>
                <c:pt idx="3">
                  <c:v>0</c:v>
                </c:pt>
                <c:pt idx="4">
                  <c:v>0</c:v>
                </c:pt>
                <c:pt idx="5">
                  <c:v>4</c:v>
                </c:pt>
              </c:numCache>
            </c:numRef>
          </c:val>
          <c:extLst>
            <c:ext xmlns:c16="http://schemas.microsoft.com/office/drawing/2014/chart" uri="{C3380CC4-5D6E-409C-BE32-E72D297353CC}">
              <c16:uniqueId val="{00000008-621B-4524-8689-91499163F1AB}"/>
            </c:ext>
          </c:extLst>
        </c:ser>
        <c:dLbls>
          <c:showLegendKey val="0"/>
          <c:showVal val="0"/>
          <c:showCatName val="0"/>
          <c:showSerName val="0"/>
          <c:showPercent val="0"/>
          <c:showBubbleSize val="0"/>
        </c:dLbls>
        <c:gapWidth val="150"/>
        <c:overlap val="100"/>
        <c:axId val="490657840"/>
        <c:axId val="490661448"/>
      </c:barChart>
      <c:catAx>
        <c:axId val="490657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users</a:t>
                </a:r>
              </a:p>
            </c:rich>
          </c:tx>
          <c:layout>
            <c:manualLayout>
              <c:xMode val="edge"/>
              <c:yMode val="edge"/>
              <c:x val="0.48048228507098445"/>
              <c:y val="0.937929369710884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0661448"/>
        <c:crosses val="autoZero"/>
        <c:auto val="1"/>
        <c:lblAlgn val="ctr"/>
        <c:lblOffset val="100"/>
        <c:noMultiLvlLbl val="0"/>
      </c:catAx>
      <c:valAx>
        <c:axId val="490661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0657840"/>
        <c:crosses val="autoZero"/>
        <c:crossBetween val="between"/>
      </c:valAx>
      <c:spPr>
        <a:noFill/>
        <a:ln>
          <a:noFill/>
        </a:ln>
        <a:effectLst/>
      </c:spPr>
    </c:plotArea>
    <c:legend>
      <c:legendPos val="r"/>
      <c:layout>
        <c:manualLayout>
          <c:xMode val="edge"/>
          <c:yMode val="edge"/>
          <c:x val="0.63920260272623075"/>
          <c:y val="0.12723489529319362"/>
          <c:w val="0.34248796791765079"/>
          <c:h val="0.75852402541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Communication needs improvement</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'2bis'!$AT$2</c:f>
              <c:strCache>
                <c:ptCount val="1"/>
                <c:pt idx="0">
                  <c:v>yes</c:v>
                </c:pt>
              </c:strCache>
            </c:strRef>
          </c:tx>
          <c:spPr>
            <a:solidFill>
              <a:schemeClr val="accent1"/>
            </a:solidFill>
            <a:ln>
              <a:noFill/>
            </a:ln>
            <a:effectLst/>
          </c:spPr>
          <c:invertIfNegative val="0"/>
          <c:cat>
            <c:strRef>
              <c:f>'2bis'!$BE$1:$BI$1</c:f>
              <c:strCache>
                <c:ptCount val="5"/>
                <c:pt idx="0">
                  <c:v>1-4</c:v>
                </c:pt>
                <c:pt idx="1">
                  <c:v>5-8</c:v>
                </c:pt>
                <c:pt idx="2">
                  <c:v>9-12</c:v>
                </c:pt>
                <c:pt idx="3">
                  <c:v>13-16</c:v>
                </c:pt>
                <c:pt idx="4">
                  <c:v>&gt;16</c:v>
                </c:pt>
              </c:strCache>
            </c:strRef>
          </c:cat>
          <c:val>
            <c:numRef>
              <c:f>'2bis'!$BE$2:$BI$2</c:f>
              <c:numCache>
                <c:formatCode>General</c:formatCode>
                <c:ptCount val="5"/>
                <c:pt idx="0">
                  <c:v>63</c:v>
                </c:pt>
                <c:pt idx="1">
                  <c:v>25</c:v>
                </c:pt>
                <c:pt idx="2">
                  <c:v>6</c:v>
                </c:pt>
                <c:pt idx="3">
                  <c:v>3</c:v>
                </c:pt>
                <c:pt idx="4">
                  <c:v>6</c:v>
                </c:pt>
              </c:numCache>
            </c:numRef>
          </c:val>
          <c:extLst>
            <c:ext xmlns:c16="http://schemas.microsoft.com/office/drawing/2014/chart" uri="{C3380CC4-5D6E-409C-BE32-E72D297353CC}">
              <c16:uniqueId val="{00000000-971A-4F5F-AB09-B62FF424B869}"/>
            </c:ext>
          </c:extLst>
        </c:ser>
        <c:ser>
          <c:idx val="1"/>
          <c:order val="1"/>
          <c:tx>
            <c:strRef>
              <c:f>'2bis'!$AT$3</c:f>
              <c:strCache>
                <c:ptCount val="1"/>
                <c:pt idx="0">
                  <c:v>no</c:v>
                </c:pt>
              </c:strCache>
            </c:strRef>
          </c:tx>
          <c:spPr>
            <a:solidFill>
              <a:srgbClr val="FF0000"/>
            </a:solidFill>
            <a:ln>
              <a:noFill/>
            </a:ln>
            <a:effectLst/>
          </c:spPr>
          <c:invertIfNegative val="0"/>
          <c:cat>
            <c:strRef>
              <c:f>'2bis'!$BE$1:$BI$1</c:f>
              <c:strCache>
                <c:ptCount val="5"/>
                <c:pt idx="0">
                  <c:v>1-4</c:v>
                </c:pt>
                <c:pt idx="1">
                  <c:v>5-8</c:v>
                </c:pt>
                <c:pt idx="2">
                  <c:v>9-12</c:v>
                </c:pt>
                <c:pt idx="3">
                  <c:v>13-16</c:v>
                </c:pt>
                <c:pt idx="4">
                  <c:v>&gt;16</c:v>
                </c:pt>
              </c:strCache>
            </c:strRef>
          </c:cat>
          <c:val>
            <c:numRef>
              <c:f>'2bis'!$BE$3:$BI$3</c:f>
              <c:numCache>
                <c:formatCode>General</c:formatCode>
                <c:ptCount val="5"/>
                <c:pt idx="0">
                  <c:v>119</c:v>
                </c:pt>
                <c:pt idx="1">
                  <c:v>29</c:v>
                </c:pt>
                <c:pt idx="2">
                  <c:v>11</c:v>
                </c:pt>
                <c:pt idx="3">
                  <c:v>5</c:v>
                </c:pt>
                <c:pt idx="4">
                  <c:v>9</c:v>
                </c:pt>
              </c:numCache>
            </c:numRef>
          </c:val>
          <c:extLst>
            <c:ext xmlns:c16="http://schemas.microsoft.com/office/drawing/2014/chart" uri="{C3380CC4-5D6E-409C-BE32-E72D297353CC}">
              <c16:uniqueId val="{00000001-971A-4F5F-AB09-B62FF424B869}"/>
            </c:ext>
          </c:extLst>
        </c:ser>
        <c:dLbls>
          <c:showLegendKey val="0"/>
          <c:showVal val="0"/>
          <c:showCatName val="0"/>
          <c:showSerName val="0"/>
          <c:showPercent val="0"/>
          <c:showBubbleSize val="0"/>
        </c:dLbls>
        <c:gapWidth val="150"/>
        <c:overlap val="100"/>
        <c:axId val="489491208"/>
        <c:axId val="489490880"/>
      </c:barChart>
      <c:catAx>
        <c:axId val="4894912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staff</a:t>
                </a:r>
              </a:p>
            </c:rich>
          </c:tx>
          <c:layout>
            <c:manualLayout>
              <c:xMode val="edge"/>
              <c:yMode val="edge"/>
              <c:x val="0.66235316418780987"/>
              <c:y val="0.9041360914794567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9490880"/>
        <c:crosses val="autoZero"/>
        <c:auto val="1"/>
        <c:lblAlgn val="ctr"/>
        <c:lblOffset val="100"/>
        <c:noMultiLvlLbl val="0"/>
      </c:catAx>
      <c:valAx>
        <c:axId val="489490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894912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Users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'1'!$AW$2:$AW$7</c:f>
              <c:strCache>
                <c:ptCount val="6"/>
                <c:pt idx="0">
                  <c:v>1-20</c:v>
                </c:pt>
                <c:pt idx="1">
                  <c:v>21-40</c:v>
                </c:pt>
                <c:pt idx="2">
                  <c:v>41-60</c:v>
                </c:pt>
                <c:pt idx="3">
                  <c:v>61-80</c:v>
                </c:pt>
                <c:pt idx="4">
                  <c:v>81-100</c:v>
                </c:pt>
                <c:pt idx="5">
                  <c:v>&gt;100</c:v>
                </c:pt>
              </c:strCache>
            </c:strRef>
          </c:cat>
          <c:val>
            <c:numRef>
              <c:f>'1'!$AX$2:$AX$7</c:f>
              <c:numCache>
                <c:formatCode>General</c:formatCode>
                <c:ptCount val="6"/>
                <c:pt idx="0">
                  <c:v>128</c:v>
                </c:pt>
                <c:pt idx="1">
                  <c:v>64</c:v>
                </c:pt>
                <c:pt idx="2">
                  <c:v>34</c:v>
                </c:pt>
                <c:pt idx="3">
                  <c:v>12</c:v>
                </c:pt>
                <c:pt idx="4">
                  <c:v>10</c:v>
                </c:pt>
                <c:pt idx="5">
                  <c:v>28</c:v>
                </c:pt>
              </c:numCache>
            </c:numRef>
          </c:val>
          <c:extLst>
            <c:ext xmlns:c16="http://schemas.microsoft.com/office/drawing/2014/chart" uri="{C3380CC4-5D6E-409C-BE32-E72D297353CC}">
              <c16:uniqueId val="{00000000-64D2-4C9A-8F60-023FEAC57623}"/>
            </c:ext>
          </c:extLst>
        </c:ser>
        <c:dLbls>
          <c:showLegendKey val="0"/>
          <c:showVal val="0"/>
          <c:showCatName val="0"/>
          <c:showSerName val="0"/>
          <c:showPercent val="0"/>
          <c:showBubbleSize val="0"/>
        </c:dLbls>
        <c:gapWidth val="130"/>
        <c:overlap val="-27"/>
        <c:axId val="513008320"/>
        <c:axId val="513002744"/>
      </c:barChart>
      <c:catAx>
        <c:axId val="51300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3002744"/>
        <c:crosses val="autoZero"/>
        <c:auto val="1"/>
        <c:lblAlgn val="ctr"/>
        <c:lblOffset val="100"/>
        <c:noMultiLvlLbl val="0"/>
      </c:catAx>
      <c:valAx>
        <c:axId val="513002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3008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Communication needs improvement</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'2bis'!$AT$2</c:f>
              <c:strCache>
                <c:ptCount val="1"/>
                <c:pt idx="0">
                  <c:v>yes</c:v>
                </c:pt>
              </c:strCache>
            </c:strRef>
          </c:tx>
          <c:spPr>
            <a:solidFill>
              <a:schemeClr val="accent1"/>
            </a:solidFill>
            <a:ln>
              <a:noFill/>
            </a:ln>
            <a:effectLst/>
          </c:spPr>
          <c:invertIfNegative val="0"/>
          <c:cat>
            <c:strRef>
              <c:f>'2bis'!$BK$1:$BP$1</c:f>
              <c:strCache>
                <c:ptCount val="6"/>
                <c:pt idx="0">
                  <c:v>1-20</c:v>
                </c:pt>
                <c:pt idx="1">
                  <c:v>21-40</c:v>
                </c:pt>
                <c:pt idx="2">
                  <c:v>41-60</c:v>
                </c:pt>
                <c:pt idx="3">
                  <c:v>61-80</c:v>
                </c:pt>
                <c:pt idx="4">
                  <c:v>81-100</c:v>
                </c:pt>
                <c:pt idx="5">
                  <c:v>&gt; 100</c:v>
                </c:pt>
              </c:strCache>
            </c:strRef>
          </c:cat>
          <c:val>
            <c:numRef>
              <c:f>'2bis'!$BK$2:$BP$2</c:f>
              <c:numCache>
                <c:formatCode>General</c:formatCode>
                <c:ptCount val="6"/>
                <c:pt idx="0">
                  <c:v>40</c:v>
                </c:pt>
                <c:pt idx="1">
                  <c:v>28</c:v>
                </c:pt>
                <c:pt idx="2">
                  <c:v>10</c:v>
                </c:pt>
                <c:pt idx="3">
                  <c:v>4</c:v>
                </c:pt>
                <c:pt idx="4">
                  <c:v>4</c:v>
                </c:pt>
                <c:pt idx="5">
                  <c:v>17</c:v>
                </c:pt>
              </c:numCache>
            </c:numRef>
          </c:val>
          <c:extLst>
            <c:ext xmlns:c16="http://schemas.microsoft.com/office/drawing/2014/chart" uri="{C3380CC4-5D6E-409C-BE32-E72D297353CC}">
              <c16:uniqueId val="{00000000-6868-451C-A668-D564AD97E01A}"/>
            </c:ext>
          </c:extLst>
        </c:ser>
        <c:ser>
          <c:idx val="1"/>
          <c:order val="1"/>
          <c:tx>
            <c:strRef>
              <c:f>'2bis'!$AT$3</c:f>
              <c:strCache>
                <c:ptCount val="1"/>
                <c:pt idx="0">
                  <c:v>no</c:v>
                </c:pt>
              </c:strCache>
            </c:strRef>
          </c:tx>
          <c:spPr>
            <a:solidFill>
              <a:srgbClr val="FF0000"/>
            </a:solidFill>
            <a:ln>
              <a:noFill/>
            </a:ln>
            <a:effectLst/>
          </c:spPr>
          <c:invertIfNegative val="0"/>
          <c:cat>
            <c:strRef>
              <c:f>'2bis'!$BK$1:$BP$1</c:f>
              <c:strCache>
                <c:ptCount val="6"/>
                <c:pt idx="0">
                  <c:v>1-20</c:v>
                </c:pt>
                <c:pt idx="1">
                  <c:v>21-40</c:v>
                </c:pt>
                <c:pt idx="2">
                  <c:v>41-60</c:v>
                </c:pt>
                <c:pt idx="3">
                  <c:v>61-80</c:v>
                </c:pt>
                <c:pt idx="4">
                  <c:v>81-100</c:v>
                </c:pt>
                <c:pt idx="5">
                  <c:v>&gt; 100</c:v>
                </c:pt>
              </c:strCache>
            </c:strRef>
          </c:cat>
          <c:val>
            <c:numRef>
              <c:f>'2bis'!$BK$3:$BP$3</c:f>
              <c:numCache>
                <c:formatCode>General</c:formatCode>
                <c:ptCount val="6"/>
                <c:pt idx="0">
                  <c:v>88</c:v>
                </c:pt>
                <c:pt idx="1">
                  <c:v>36</c:v>
                </c:pt>
                <c:pt idx="2">
                  <c:v>24</c:v>
                </c:pt>
                <c:pt idx="3">
                  <c:v>8</c:v>
                </c:pt>
                <c:pt idx="4">
                  <c:v>6</c:v>
                </c:pt>
                <c:pt idx="5">
                  <c:v>11</c:v>
                </c:pt>
              </c:numCache>
            </c:numRef>
          </c:val>
          <c:extLst>
            <c:ext xmlns:c16="http://schemas.microsoft.com/office/drawing/2014/chart" uri="{C3380CC4-5D6E-409C-BE32-E72D297353CC}">
              <c16:uniqueId val="{00000001-6868-451C-A668-D564AD97E01A}"/>
            </c:ext>
          </c:extLst>
        </c:ser>
        <c:dLbls>
          <c:showLegendKey val="0"/>
          <c:showVal val="0"/>
          <c:showCatName val="0"/>
          <c:showSerName val="0"/>
          <c:showPercent val="0"/>
          <c:showBubbleSize val="0"/>
        </c:dLbls>
        <c:gapWidth val="150"/>
        <c:overlap val="100"/>
        <c:axId val="491362648"/>
        <c:axId val="491362976"/>
      </c:barChart>
      <c:catAx>
        <c:axId val="4913626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users</a:t>
                </a:r>
              </a:p>
            </c:rich>
          </c:tx>
          <c:layout>
            <c:manualLayout>
              <c:xMode val="edge"/>
              <c:yMode val="edge"/>
              <c:x val="0.72317805693600623"/>
              <c:y val="0.9183864520172556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1362976"/>
        <c:crosses val="autoZero"/>
        <c:auto val="1"/>
        <c:lblAlgn val="ctr"/>
        <c:lblOffset val="100"/>
        <c:noMultiLvlLbl val="0"/>
      </c:catAx>
      <c:valAx>
        <c:axId val="491362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1362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Training provided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B76-4EFE-8FA2-B0392C99AD67}"/>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AB76-4EFE-8FA2-B0392C99AD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'3'!$G$2:$G$3</c:f>
              <c:strCache>
                <c:ptCount val="2"/>
                <c:pt idx="0">
                  <c:v>yes</c:v>
                </c:pt>
                <c:pt idx="1">
                  <c:v>no</c:v>
                </c:pt>
              </c:strCache>
            </c:strRef>
          </c:cat>
          <c:val>
            <c:numRef>
              <c:f>'3'!$H$2:$H$3</c:f>
              <c:numCache>
                <c:formatCode>General</c:formatCode>
                <c:ptCount val="2"/>
                <c:pt idx="0">
                  <c:v>239</c:v>
                </c:pt>
                <c:pt idx="1">
                  <c:v>29</c:v>
                </c:pt>
              </c:numCache>
            </c:numRef>
          </c:val>
          <c:extLst>
            <c:ext xmlns:c16="http://schemas.microsoft.com/office/drawing/2014/chart" uri="{C3380CC4-5D6E-409C-BE32-E72D297353CC}">
              <c16:uniqueId val="{00000004-AB76-4EFE-8FA2-B0392C99AD6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importance of training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'3'!$AN$2:$AN$6</c:f>
              <c:strCache>
                <c:ptCount val="5"/>
                <c:pt idx="0">
                  <c:v>unimportant</c:v>
                </c:pt>
                <c:pt idx="1">
                  <c:v>slightly important</c:v>
                </c:pt>
                <c:pt idx="2">
                  <c:v>moderately important</c:v>
                </c:pt>
                <c:pt idx="3">
                  <c:v>important</c:v>
                </c:pt>
                <c:pt idx="4">
                  <c:v>very important</c:v>
                </c:pt>
              </c:strCache>
            </c:strRef>
          </c:cat>
          <c:val>
            <c:numRef>
              <c:f>'3'!$AO$2:$AO$6</c:f>
              <c:numCache>
                <c:formatCode>General</c:formatCode>
                <c:ptCount val="5"/>
                <c:pt idx="0">
                  <c:v>2</c:v>
                </c:pt>
                <c:pt idx="1">
                  <c:v>10</c:v>
                </c:pt>
                <c:pt idx="2">
                  <c:v>22</c:v>
                </c:pt>
                <c:pt idx="3">
                  <c:v>57</c:v>
                </c:pt>
                <c:pt idx="4">
                  <c:v>185</c:v>
                </c:pt>
              </c:numCache>
            </c:numRef>
          </c:val>
          <c:extLst>
            <c:ext xmlns:c16="http://schemas.microsoft.com/office/drawing/2014/chart" uri="{C3380CC4-5D6E-409C-BE32-E72D297353CC}">
              <c16:uniqueId val="{00000000-D7EE-43D0-B90A-0C608360DABA}"/>
            </c:ext>
          </c:extLst>
        </c:ser>
        <c:dLbls>
          <c:showLegendKey val="0"/>
          <c:showVal val="0"/>
          <c:showCatName val="0"/>
          <c:showSerName val="0"/>
          <c:showPercent val="0"/>
          <c:showBubbleSize val="0"/>
        </c:dLbls>
        <c:gapWidth val="130"/>
        <c:overlap val="-27"/>
        <c:axId val="357932984"/>
        <c:axId val="357933640"/>
      </c:barChart>
      <c:catAx>
        <c:axId val="357932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57933640"/>
        <c:crosses val="autoZero"/>
        <c:auto val="1"/>
        <c:lblAlgn val="ctr"/>
        <c:lblOffset val="100"/>
        <c:noMultiLvlLbl val="0"/>
      </c:catAx>
      <c:valAx>
        <c:axId val="357933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579329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 Training provided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'3'!$G$2</c:f>
              <c:strCache>
                <c:ptCount val="1"/>
                <c:pt idx="0">
                  <c:v>yes</c:v>
                </c:pt>
              </c:strCache>
            </c:strRef>
          </c:tx>
          <c:spPr>
            <a:solidFill>
              <a:schemeClr val="accent1"/>
            </a:solidFill>
            <a:ln>
              <a:noFill/>
            </a:ln>
            <a:effectLst/>
          </c:spPr>
          <c:invertIfNegative val="0"/>
          <c:cat>
            <c:strRef>
              <c:f>'3'!$J$1:$L$1</c:f>
              <c:strCache>
                <c:ptCount val="3"/>
                <c:pt idx="0">
                  <c:v>full-service</c:v>
                </c:pt>
                <c:pt idx="1">
                  <c:v>hybrid-service</c:v>
                </c:pt>
                <c:pt idx="2">
                  <c:v>self-service</c:v>
                </c:pt>
              </c:strCache>
            </c:strRef>
          </c:cat>
          <c:val>
            <c:numRef>
              <c:f>'3'!$J$2:$L$2</c:f>
              <c:numCache>
                <c:formatCode>General</c:formatCode>
                <c:ptCount val="3"/>
                <c:pt idx="0">
                  <c:v>47</c:v>
                </c:pt>
                <c:pt idx="1">
                  <c:v>165</c:v>
                </c:pt>
                <c:pt idx="2">
                  <c:v>27</c:v>
                </c:pt>
              </c:numCache>
            </c:numRef>
          </c:val>
          <c:extLst>
            <c:ext xmlns:c16="http://schemas.microsoft.com/office/drawing/2014/chart" uri="{C3380CC4-5D6E-409C-BE32-E72D297353CC}">
              <c16:uniqueId val="{00000000-A77B-4192-91BA-04A4C175D9AD}"/>
            </c:ext>
          </c:extLst>
        </c:ser>
        <c:ser>
          <c:idx val="1"/>
          <c:order val="1"/>
          <c:tx>
            <c:strRef>
              <c:f>'3'!$G$3</c:f>
              <c:strCache>
                <c:ptCount val="1"/>
                <c:pt idx="0">
                  <c:v>no</c:v>
                </c:pt>
              </c:strCache>
            </c:strRef>
          </c:tx>
          <c:spPr>
            <a:solidFill>
              <a:srgbClr val="FF0000"/>
            </a:solidFill>
            <a:ln>
              <a:noFill/>
            </a:ln>
            <a:effectLst/>
          </c:spPr>
          <c:invertIfNegative val="0"/>
          <c:cat>
            <c:strRef>
              <c:f>'3'!$J$1:$L$1</c:f>
              <c:strCache>
                <c:ptCount val="3"/>
                <c:pt idx="0">
                  <c:v>full-service</c:v>
                </c:pt>
                <c:pt idx="1">
                  <c:v>hybrid-service</c:v>
                </c:pt>
                <c:pt idx="2">
                  <c:v>self-service</c:v>
                </c:pt>
              </c:strCache>
            </c:strRef>
          </c:cat>
          <c:val>
            <c:numRef>
              <c:f>'3'!$J$3:$L$3</c:f>
              <c:numCache>
                <c:formatCode>General</c:formatCode>
                <c:ptCount val="3"/>
                <c:pt idx="0">
                  <c:v>21</c:v>
                </c:pt>
                <c:pt idx="1">
                  <c:v>7</c:v>
                </c:pt>
                <c:pt idx="2">
                  <c:v>1</c:v>
                </c:pt>
              </c:numCache>
            </c:numRef>
          </c:val>
          <c:extLst>
            <c:ext xmlns:c16="http://schemas.microsoft.com/office/drawing/2014/chart" uri="{C3380CC4-5D6E-409C-BE32-E72D297353CC}">
              <c16:uniqueId val="{00000001-A77B-4192-91BA-04A4C175D9AD}"/>
            </c:ext>
          </c:extLst>
        </c:ser>
        <c:dLbls>
          <c:showLegendKey val="0"/>
          <c:showVal val="0"/>
          <c:showCatName val="0"/>
          <c:showSerName val="0"/>
          <c:showPercent val="0"/>
          <c:showBubbleSize val="0"/>
        </c:dLbls>
        <c:gapWidth val="130"/>
        <c:overlap val="100"/>
        <c:axId val="385465328"/>
        <c:axId val="385462704"/>
      </c:barChart>
      <c:catAx>
        <c:axId val="38546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5462704"/>
        <c:crosses val="autoZero"/>
        <c:auto val="1"/>
        <c:lblAlgn val="ctr"/>
        <c:lblOffset val="100"/>
        <c:noMultiLvlLbl val="0"/>
      </c:catAx>
      <c:valAx>
        <c:axId val="385462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54653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Most important aspect of training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43867641197245116"/>
          <c:y val="0.16200344544026007"/>
          <c:w val="0.5155296113310035"/>
          <c:h val="0.73667007037736476"/>
        </c:manualLayout>
      </c:layout>
      <c:barChart>
        <c:barDir val="bar"/>
        <c:grouping val="clustered"/>
        <c:varyColors val="0"/>
        <c:ser>
          <c:idx val="0"/>
          <c:order val="0"/>
          <c:spPr>
            <a:solidFill>
              <a:schemeClr val="accent1"/>
            </a:solidFill>
            <a:ln>
              <a:noFill/>
            </a:ln>
            <a:effectLst/>
          </c:spPr>
          <c:invertIfNegative val="0"/>
          <c:cat>
            <c:strRef>
              <c:f>'3'!$W$2:$W$15</c:f>
              <c:strCache>
                <c:ptCount val="14"/>
                <c:pt idx="0">
                  <c:v>equipment, instruments</c:v>
                </c:pt>
                <c:pt idx="1">
                  <c:v>techniques, protocols</c:v>
                </c:pt>
                <c:pt idx="2">
                  <c:v>theory</c:v>
                </c:pt>
                <c:pt idx="3">
                  <c:v>data analysis + interpretation</c:v>
                </c:pt>
                <c:pt idx="4">
                  <c:v>sample preparation</c:v>
                </c:pt>
                <c:pt idx="5">
                  <c:v>quality control, best practice</c:v>
                </c:pt>
                <c:pt idx="6">
                  <c:v>safety</c:v>
                </c:pt>
                <c:pt idx="7">
                  <c:v>experimental design</c:v>
                </c:pt>
                <c:pt idx="8">
                  <c:v>independence of the user</c:v>
                </c:pt>
                <c:pt idx="9">
                  <c:v>software, data acquisition</c:v>
                </c:pt>
                <c:pt idx="10">
                  <c:v>limitations of technique</c:v>
                </c:pt>
                <c:pt idx="11">
                  <c:v>controls</c:v>
                </c:pt>
                <c:pt idx="12">
                  <c:v>rules to follow</c:v>
                </c:pt>
                <c:pt idx="13">
                  <c:v>troubleshooting</c:v>
                </c:pt>
              </c:strCache>
            </c:strRef>
          </c:cat>
          <c:val>
            <c:numRef>
              <c:f>'3'!$X$2:$X$15</c:f>
              <c:numCache>
                <c:formatCode>General</c:formatCode>
                <c:ptCount val="14"/>
                <c:pt idx="0">
                  <c:v>61</c:v>
                </c:pt>
                <c:pt idx="1">
                  <c:v>43</c:v>
                </c:pt>
                <c:pt idx="2">
                  <c:v>42</c:v>
                </c:pt>
                <c:pt idx="3">
                  <c:v>36</c:v>
                </c:pt>
                <c:pt idx="4">
                  <c:v>25</c:v>
                </c:pt>
                <c:pt idx="5">
                  <c:v>21</c:v>
                </c:pt>
                <c:pt idx="6">
                  <c:v>19</c:v>
                </c:pt>
                <c:pt idx="7">
                  <c:v>16</c:v>
                </c:pt>
                <c:pt idx="8">
                  <c:v>14</c:v>
                </c:pt>
                <c:pt idx="9">
                  <c:v>13</c:v>
                </c:pt>
                <c:pt idx="10">
                  <c:v>10</c:v>
                </c:pt>
                <c:pt idx="11">
                  <c:v>7</c:v>
                </c:pt>
                <c:pt idx="12">
                  <c:v>4</c:v>
                </c:pt>
                <c:pt idx="13">
                  <c:v>3</c:v>
                </c:pt>
              </c:numCache>
            </c:numRef>
          </c:val>
          <c:extLst>
            <c:ext xmlns:c16="http://schemas.microsoft.com/office/drawing/2014/chart" uri="{C3380CC4-5D6E-409C-BE32-E72D297353CC}">
              <c16:uniqueId val="{00000000-5877-4986-96CC-B62C88959F2C}"/>
            </c:ext>
          </c:extLst>
        </c:ser>
        <c:dLbls>
          <c:showLegendKey val="0"/>
          <c:showVal val="0"/>
          <c:showCatName val="0"/>
          <c:showSerName val="0"/>
          <c:showPercent val="0"/>
          <c:showBubbleSize val="0"/>
        </c:dLbls>
        <c:gapWidth val="130"/>
        <c:axId val="389342080"/>
        <c:axId val="389342408"/>
      </c:barChart>
      <c:catAx>
        <c:axId val="38934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9342408"/>
        <c:crosses val="autoZero"/>
        <c:auto val="1"/>
        <c:lblAlgn val="ctr"/>
        <c:lblOffset val="100"/>
        <c:noMultiLvlLbl val="0"/>
      </c:catAx>
      <c:valAx>
        <c:axId val="3893424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9342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Training provided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'3'!$G$2</c:f>
              <c:strCache>
                <c:ptCount val="1"/>
                <c:pt idx="0">
                  <c:v>yes</c:v>
                </c:pt>
              </c:strCache>
            </c:strRef>
          </c:tx>
          <c:spPr>
            <a:solidFill>
              <a:schemeClr val="accent1"/>
            </a:solidFill>
            <a:ln>
              <a:noFill/>
            </a:ln>
            <a:effectLst/>
          </c:spPr>
          <c:invertIfNegative val="0"/>
          <c:cat>
            <c:strRef>
              <c:f>'3'!$N$1:$U$1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'3'!$N$2:$U$2</c:f>
              <c:numCache>
                <c:formatCode>General</c:formatCode>
                <c:ptCount val="8"/>
                <c:pt idx="0">
                  <c:v>47</c:v>
                </c:pt>
                <c:pt idx="1">
                  <c:v>25</c:v>
                </c:pt>
                <c:pt idx="2">
                  <c:v>11</c:v>
                </c:pt>
                <c:pt idx="3">
                  <c:v>6</c:v>
                </c:pt>
                <c:pt idx="4">
                  <c:v>61</c:v>
                </c:pt>
                <c:pt idx="5">
                  <c:v>14</c:v>
                </c:pt>
                <c:pt idx="6">
                  <c:v>6</c:v>
                </c:pt>
                <c:pt idx="7">
                  <c:v>27</c:v>
                </c:pt>
              </c:numCache>
            </c:numRef>
          </c:val>
          <c:extLst>
            <c:ext xmlns:c16="http://schemas.microsoft.com/office/drawing/2014/chart" uri="{C3380CC4-5D6E-409C-BE32-E72D297353CC}">
              <c16:uniqueId val="{00000000-EF06-41C2-899D-2724502A17BF}"/>
            </c:ext>
          </c:extLst>
        </c:ser>
        <c:ser>
          <c:idx val="1"/>
          <c:order val="1"/>
          <c:tx>
            <c:strRef>
              <c:f>'3'!$G$3</c:f>
              <c:strCache>
                <c:ptCount val="1"/>
                <c:pt idx="0">
                  <c:v>no</c:v>
                </c:pt>
              </c:strCache>
            </c:strRef>
          </c:tx>
          <c:spPr>
            <a:solidFill>
              <a:srgbClr val="FF0000"/>
            </a:solidFill>
            <a:ln>
              <a:noFill/>
            </a:ln>
            <a:effectLst/>
          </c:spPr>
          <c:invertIfNegative val="0"/>
          <c:cat>
            <c:strRef>
              <c:f>'3'!$N$1:$U$1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'3'!$N$3:$U$3</c:f>
              <c:numCache>
                <c:formatCode>General</c:formatCode>
                <c:ptCount val="8"/>
                <c:pt idx="0">
                  <c:v>1</c:v>
                </c:pt>
                <c:pt idx="1">
                  <c:v>8</c:v>
                </c:pt>
                <c:pt idx="2">
                  <c:v>0</c:v>
                </c:pt>
                <c:pt idx="3">
                  <c:v>2</c:v>
                </c:pt>
                <c:pt idx="4">
                  <c:v>2</c:v>
                </c:pt>
                <c:pt idx="5">
                  <c:v>1</c:v>
                </c:pt>
                <c:pt idx="6">
                  <c:v>2</c:v>
                </c:pt>
                <c:pt idx="7">
                  <c:v>6</c:v>
                </c:pt>
              </c:numCache>
            </c:numRef>
          </c:val>
          <c:extLst>
            <c:ext xmlns:c16="http://schemas.microsoft.com/office/drawing/2014/chart" uri="{C3380CC4-5D6E-409C-BE32-E72D297353CC}">
              <c16:uniqueId val="{00000001-EF06-41C2-899D-2724502A17BF}"/>
            </c:ext>
          </c:extLst>
        </c:ser>
        <c:dLbls>
          <c:showLegendKey val="0"/>
          <c:showVal val="0"/>
          <c:showCatName val="0"/>
          <c:showSerName val="0"/>
          <c:showPercent val="0"/>
          <c:showBubbleSize val="0"/>
        </c:dLbls>
        <c:gapWidth val="130"/>
        <c:overlap val="100"/>
        <c:axId val="640512408"/>
        <c:axId val="640509784"/>
      </c:barChart>
      <c:catAx>
        <c:axId val="64051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40509784"/>
        <c:crosses val="autoZero"/>
        <c:auto val="1"/>
        <c:lblAlgn val="ctr"/>
        <c:lblOffset val="100"/>
        <c:noMultiLvlLbl val="0"/>
      </c:catAx>
      <c:valAx>
        <c:axId val="640509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40512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Importance of training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'3'!$AN$2</c:f>
              <c:strCache>
                <c:ptCount val="1"/>
                <c:pt idx="0">
                  <c:v>unimportant</c:v>
                </c:pt>
              </c:strCache>
            </c:strRef>
          </c:tx>
          <c:spPr>
            <a:solidFill>
              <a:srgbClr val="FF0000"/>
            </a:solidFill>
            <a:ln>
              <a:noFill/>
            </a:ln>
            <a:effectLst/>
          </c:spPr>
          <c:invertIfNegative val="0"/>
          <c:cat>
            <c:strRef>
              <c:f>'3'!$AQ$1:$AS$1</c:f>
              <c:strCache>
                <c:ptCount val="3"/>
                <c:pt idx="0">
                  <c:v>full-service</c:v>
                </c:pt>
                <c:pt idx="1">
                  <c:v>hybrid-service</c:v>
                </c:pt>
                <c:pt idx="2">
                  <c:v>self-service</c:v>
                </c:pt>
              </c:strCache>
            </c:strRef>
          </c:cat>
          <c:val>
            <c:numRef>
              <c:f>'3'!$AQ$2:$AS$2</c:f>
              <c:numCache>
                <c:formatCode>General</c:formatCode>
                <c:ptCount val="3"/>
                <c:pt idx="0">
                  <c:v>1</c:v>
                </c:pt>
                <c:pt idx="1">
                  <c:v>1</c:v>
                </c:pt>
                <c:pt idx="2">
                  <c:v>0</c:v>
                </c:pt>
              </c:numCache>
            </c:numRef>
          </c:val>
          <c:extLst>
            <c:ext xmlns:c16="http://schemas.microsoft.com/office/drawing/2014/chart" uri="{C3380CC4-5D6E-409C-BE32-E72D297353CC}">
              <c16:uniqueId val="{00000000-D1E1-4F95-8763-F17494CB8A60}"/>
            </c:ext>
          </c:extLst>
        </c:ser>
        <c:ser>
          <c:idx val="1"/>
          <c:order val="1"/>
          <c:tx>
            <c:strRef>
              <c:f>'3'!$AN$3</c:f>
              <c:strCache>
                <c:ptCount val="1"/>
                <c:pt idx="0">
                  <c:v>slightly important</c:v>
                </c:pt>
              </c:strCache>
            </c:strRef>
          </c:tx>
          <c:spPr>
            <a:solidFill>
              <a:srgbClr val="FF9933"/>
            </a:solidFill>
            <a:ln>
              <a:noFill/>
            </a:ln>
            <a:effectLst/>
          </c:spPr>
          <c:invertIfNegative val="0"/>
          <c:cat>
            <c:strRef>
              <c:f>'3'!$AQ$1:$AS$1</c:f>
              <c:strCache>
                <c:ptCount val="3"/>
                <c:pt idx="0">
                  <c:v>full-service</c:v>
                </c:pt>
                <c:pt idx="1">
                  <c:v>hybrid-service</c:v>
                </c:pt>
                <c:pt idx="2">
                  <c:v>self-service</c:v>
                </c:pt>
              </c:strCache>
            </c:strRef>
          </c:cat>
          <c:val>
            <c:numRef>
              <c:f>'3'!$AQ$3:$AS$3</c:f>
              <c:numCache>
                <c:formatCode>General</c:formatCode>
                <c:ptCount val="3"/>
                <c:pt idx="0">
                  <c:v>9</c:v>
                </c:pt>
                <c:pt idx="1">
                  <c:v>1</c:v>
                </c:pt>
                <c:pt idx="2">
                  <c:v>0</c:v>
                </c:pt>
              </c:numCache>
            </c:numRef>
          </c:val>
          <c:extLst>
            <c:ext xmlns:c16="http://schemas.microsoft.com/office/drawing/2014/chart" uri="{C3380CC4-5D6E-409C-BE32-E72D297353CC}">
              <c16:uniqueId val="{00000001-D1E1-4F95-8763-F17494CB8A60}"/>
            </c:ext>
          </c:extLst>
        </c:ser>
        <c:ser>
          <c:idx val="2"/>
          <c:order val="2"/>
          <c:tx>
            <c:strRef>
              <c:f>'3'!$AN$4</c:f>
              <c:strCache>
                <c:ptCount val="1"/>
                <c:pt idx="0">
                  <c:v>moderately important</c:v>
                </c:pt>
              </c:strCache>
            </c:strRef>
          </c:tx>
          <c:spPr>
            <a:solidFill>
              <a:srgbClr val="FFCC00"/>
            </a:solidFill>
            <a:ln>
              <a:noFill/>
            </a:ln>
            <a:effectLst/>
          </c:spPr>
          <c:invertIfNegative val="0"/>
          <c:cat>
            <c:strRef>
              <c:f>'3'!$AQ$1:$AS$1</c:f>
              <c:strCache>
                <c:ptCount val="3"/>
                <c:pt idx="0">
                  <c:v>full-service</c:v>
                </c:pt>
                <c:pt idx="1">
                  <c:v>hybrid-service</c:v>
                </c:pt>
                <c:pt idx="2">
                  <c:v>self-service</c:v>
                </c:pt>
              </c:strCache>
            </c:strRef>
          </c:cat>
          <c:val>
            <c:numRef>
              <c:f>'3'!$AQ$4:$AS$4</c:f>
              <c:numCache>
                <c:formatCode>General</c:formatCode>
                <c:ptCount val="3"/>
                <c:pt idx="0">
                  <c:v>10</c:v>
                </c:pt>
                <c:pt idx="1">
                  <c:v>12</c:v>
                </c:pt>
                <c:pt idx="2">
                  <c:v>0</c:v>
                </c:pt>
              </c:numCache>
            </c:numRef>
          </c:val>
          <c:extLst>
            <c:ext xmlns:c16="http://schemas.microsoft.com/office/drawing/2014/chart" uri="{C3380CC4-5D6E-409C-BE32-E72D297353CC}">
              <c16:uniqueId val="{00000002-D1E1-4F95-8763-F17494CB8A60}"/>
            </c:ext>
          </c:extLst>
        </c:ser>
        <c:ser>
          <c:idx val="3"/>
          <c:order val="3"/>
          <c:tx>
            <c:strRef>
              <c:f>'3'!$AN$5</c:f>
              <c:strCache>
                <c:ptCount val="1"/>
                <c:pt idx="0">
                  <c:v>important</c:v>
                </c:pt>
              </c:strCache>
            </c:strRef>
          </c:tx>
          <c:spPr>
            <a:solidFill>
              <a:schemeClr val="accent5">
                <a:lumMod val="40000"/>
                <a:lumOff val="60000"/>
              </a:schemeClr>
            </a:solidFill>
            <a:ln>
              <a:noFill/>
            </a:ln>
            <a:effectLst/>
          </c:spPr>
          <c:invertIfNegative val="0"/>
          <c:cat>
            <c:strRef>
              <c:f>'3'!$AQ$1:$AS$1</c:f>
              <c:strCache>
                <c:ptCount val="3"/>
                <c:pt idx="0">
                  <c:v>full-service</c:v>
                </c:pt>
                <c:pt idx="1">
                  <c:v>hybrid-service</c:v>
                </c:pt>
                <c:pt idx="2">
                  <c:v>self-service</c:v>
                </c:pt>
              </c:strCache>
            </c:strRef>
          </c:cat>
          <c:val>
            <c:numRef>
              <c:f>'3'!$AQ$5:$AS$5</c:f>
              <c:numCache>
                <c:formatCode>General</c:formatCode>
                <c:ptCount val="3"/>
                <c:pt idx="0">
                  <c:v>23</c:v>
                </c:pt>
                <c:pt idx="1">
                  <c:v>32</c:v>
                </c:pt>
                <c:pt idx="2">
                  <c:v>2</c:v>
                </c:pt>
              </c:numCache>
            </c:numRef>
          </c:val>
          <c:extLst>
            <c:ext xmlns:c16="http://schemas.microsoft.com/office/drawing/2014/chart" uri="{C3380CC4-5D6E-409C-BE32-E72D297353CC}">
              <c16:uniqueId val="{00000002-C2FA-4ADD-9AD3-FE55AADE71C8}"/>
            </c:ext>
          </c:extLst>
        </c:ser>
        <c:ser>
          <c:idx val="4"/>
          <c:order val="4"/>
          <c:tx>
            <c:strRef>
              <c:f>'3'!$AN$6</c:f>
              <c:strCache>
                <c:ptCount val="1"/>
                <c:pt idx="0">
                  <c:v>very important</c:v>
                </c:pt>
              </c:strCache>
            </c:strRef>
          </c:tx>
          <c:spPr>
            <a:solidFill>
              <a:schemeClr val="accent1"/>
            </a:solidFill>
            <a:ln>
              <a:noFill/>
            </a:ln>
            <a:effectLst/>
          </c:spPr>
          <c:invertIfNegative val="0"/>
          <c:cat>
            <c:strRef>
              <c:f>'3'!$AQ$1:$AS$1</c:f>
              <c:strCache>
                <c:ptCount val="3"/>
                <c:pt idx="0">
                  <c:v>full-service</c:v>
                </c:pt>
                <c:pt idx="1">
                  <c:v>hybrid-service</c:v>
                </c:pt>
                <c:pt idx="2">
                  <c:v>self-service</c:v>
                </c:pt>
              </c:strCache>
            </c:strRef>
          </c:cat>
          <c:val>
            <c:numRef>
              <c:f>'3'!$AQ$6:$AS$6</c:f>
              <c:numCache>
                <c:formatCode>General</c:formatCode>
                <c:ptCount val="3"/>
                <c:pt idx="0">
                  <c:v>30</c:v>
                </c:pt>
                <c:pt idx="1">
                  <c:v>129</c:v>
                </c:pt>
                <c:pt idx="2">
                  <c:v>26</c:v>
                </c:pt>
              </c:numCache>
            </c:numRef>
          </c:val>
          <c:extLst>
            <c:ext xmlns:c16="http://schemas.microsoft.com/office/drawing/2014/chart" uri="{C3380CC4-5D6E-409C-BE32-E72D297353CC}">
              <c16:uniqueId val="{00000003-C2FA-4ADD-9AD3-FE55AADE71C8}"/>
            </c:ext>
          </c:extLst>
        </c:ser>
        <c:dLbls>
          <c:showLegendKey val="0"/>
          <c:showVal val="0"/>
          <c:showCatName val="0"/>
          <c:showSerName val="0"/>
          <c:showPercent val="0"/>
          <c:showBubbleSize val="0"/>
        </c:dLbls>
        <c:gapWidth val="130"/>
        <c:overlap val="100"/>
        <c:axId val="524387512"/>
        <c:axId val="524392432"/>
      </c:barChart>
      <c:catAx>
        <c:axId val="52438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392432"/>
        <c:crosses val="autoZero"/>
        <c:auto val="1"/>
        <c:lblAlgn val="ctr"/>
        <c:lblOffset val="100"/>
        <c:noMultiLvlLbl val="0"/>
      </c:catAx>
      <c:valAx>
        <c:axId val="524392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387512"/>
        <c:crosses val="autoZero"/>
        <c:crossBetween val="between"/>
      </c:valAx>
      <c:spPr>
        <a:noFill/>
        <a:ln>
          <a:noFill/>
        </a:ln>
        <a:effectLst/>
      </c:spPr>
    </c:plotArea>
    <c:legend>
      <c:legendPos val="r"/>
      <c:layout>
        <c:manualLayout>
          <c:xMode val="edge"/>
          <c:yMode val="edge"/>
          <c:x val="0.65809963100927493"/>
          <c:y val="0.19750963317075418"/>
          <c:w val="0.31512728458383316"/>
          <c:h val="0.59676553041873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Importance of training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'3'!$AN$2</c:f>
              <c:strCache>
                <c:ptCount val="1"/>
                <c:pt idx="0">
                  <c:v>unimportant</c:v>
                </c:pt>
              </c:strCache>
            </c:strRef>
          </c:tx>
          <c:spPr>
            <a:solidFill>
              <a:srgbClr val="FF0000"/>
            </a:solidFill>
            <a:ln>
              <a:noFill/>
            </a:ln>
            <a:effectLst/>
          </c:spPr>
          <c:invertIfNegative val="0"/>
          <c:cat>
            <c:strRef>
              <c:f>'3'!$AU$1:$BB$1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'3'!$AU$2:$BB$2</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B50D-4474-B027-EA1BB138C5EA}"/>
            </c:ext>
          </c:extLst>
        </c:ser>
        <c:ser>
          <c:idx val="1"/>
          <c:order val="1"/>
          <c:tx>
            <c:strRef>
              <c:f>'3'!$AN$3</c:f>
              <c:strCache>
                <c:ptCount val="1"/>
                <c:pt idx="0">
                  <c:v>slightly important</c:v>
                </c:pt>
              </c:strCache>
            </c:strRef>
          </c:tx>
          <c:spPr>
            <a:solidFill>
              <a:srgbClr val="FF9933"/>
            </a:solidFill>
            <a:ln>
              <a:noFill/>
            </a:ln>
            <a:effectLst/>
          </c:spPr>
          <c:invertIfNegative val="0"/>
          <c:cat>
            <c:strRef>
              <c:f>'3'!$AU$1:$BB$1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'3'!$AU$3:$BB$3</c:f>
              <c:numCache>
                <c:formatCode>General</c:formatCode>
                <c:ptCount val="8"/>
                <c:pt idx="0">
                  <c:v>1</c:v>
                </c:pt>
                <c:pt idx="1">
                  <c:v>1</c:v>
                </c:pt>
                <c:pt idx="2">
                  <c:v>0</c:v>
                </c:pt>
                <c:pt idx="3">
                  <c:v>1</c:v>
                </c:pt>
                <c:pt idx="4">
                  <c:v>1</c:v>
                </c:pt>
                <c:pt idx="5">
                  <c:v>0</c:v>
                </c:pt>
                <c:pt idx="6">
                  <c:v>1</c:v>
                </c:pt>
                <c:pt idx="7">
                  <c:v>1</c:v>
                </c:pt>
              </c:numCache>
            </c:numRef>
          </c:val>
          <c:extLst>
            <c:ext xmlns:c16="http://schemas.microsoft.com/office/drawing/2014/chart" uri="{C3380CC4-5D6E-409C-BE32-E72D297353CC}">
              <c16:uniqueId val="{00000001-B50D-4474-B027-EA1BB138C5EA}"/>
            </c:ext>
          </c:extLst>
        </c:ser>
        <c:ser>
          <c:idx val="2"/>
          <c:order val="2"/>
          <c:tx>
            <c:strRef>
              <c:f>'3'!$AN$4</c:f>
              <c:strCache>
                <c:ptCount val="1"/>
                <c:pt idx="0">
                  <c:v>moderately important</c:v>
                </c:pt>
              </c:strCache>
            </c:strRef>
          </c:tx>
          <c:spPr>
            <a:solidFill>
              <a:srgbClr val="FFC000"/>
            </a:solidFill>
            <a:ln>
              <a:noFill/>
            </a:ln>
            <a:effectLst/>
          </c:spPr>
          <c:invertIfNegative val="0"/>
          <c:cat>
            <c:strRef>
              <c:f>'3'!$AU$1:$BB$1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'3'!$AU$4:$BB$4</c:f>
              <c:numCache>
                <c:formatCode>General</c:formatCode>
                <c:ptCount val="8"/>
                <c:pt idx="0">
                  <c:v>2</c:v>
                </c:pt>
                <c:pt idx="1">
                  <c:v>6</c:v>
                </c:pt>
                <c:pt idx="2">
                  <c:v>0</c:v>
                </c:pt>
                <c:pt idx="3">
                  <c:v>0</c:v>
                </c:pt>
                <c:pt idx="4">
                  <c:v>2</c:v>
                </c:pt>
                <c:pt idx="5">
                  <c:v>1</c:v>
                </c:pt>
                <c:pt idx="6">
                  <c:v>0</c:v>
                </c:pt>
                <c:pt idx="7">
                  <c:v>7</c:v>
                </c:pt>
              </c:numCache>
            </c:numRef>
          </c:val>
          <c:extLst>
            <c:ext xmlns:c16="http://schemas.microsoft.com/office/drawing/2014/chart" uri="{C3380CC4-5D6E-409C-BE32-E72D297353CC}">
              <c16:uniqueId val="{00000002-B50D-4474-B027-EA1BB138C5EA}"/>
            </c:ext>
          </c:extLst>
        </c:ser>
        <c:ser>
          <c:idx val="3"/>
          <c:order val="3"/>
          <c:tx>
            <c:strRef>
              <c:f>'3'!$AN$5</c:f>
              <c:strCache>
                <c:ptCount val="1"/>
                <c:pt idx="0">
                  <c:v>important</c:v>
                </c:pt>
              </c:strCache>
            </c:strRef>
          </c:tx>
          <c:spPr>
            <a:solidFill>
              <a:schemeClr val="accent5">
                <a:lumMod val="40000"/>
                <a:lumOff val="60000"/>
              </a:schemeClr>
            </a:solidFill>
            <a:ln>
              <a:noFill/>
            </a:ln>
            <a:effectLst/>
          </c:spPr>
          <c:invertIfNegative val="0"/>
          <c:cat>
            <c:strRef>
              <c:f>'3'!$AU$1:$BB$1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'3'!$AU$5:$BB$5</c:f>
              <c:numCache>
                <c:formatCode>General</c:formatCode>
                <c:ptCount val="8"/>
                <c:pt idx="0">
                  <c:v>7</c:v>
                </c:pt>
                <c:pt idx="1">
                  <c:v>15</c:v>
                </c:pt>
                <c:pt idx="2">
                  <c:v>1</c:v>
                </c:pt>
                <c:pt idx="3">
                  <c:v>2</c:v>
                </c:pt>
                <c:pt idx="4">
                  <c:v>3</c:v>
                </c:pt>
                <c:pt idx="5">
                  <c:v>2</c:v>
                </c:pt>
                <c:pt idx="6">
                  <c:v>2</c:v>
                </c:pt>
                <c:pt idx="7">
                  <c:v>12</c:v>
                </c:pt>
              </c:numCache>
            </c:numRef>
          </c:val>
          <c:extLst>
            <c:ext xmlns:c16="http://schemas.microsoft.com/office/drawing/2014/chart" uri="{C3380CC4-5D6E-409C-BE32-E72D297353CC}">
              <c16:uniqueId val="{00000003-B50D-4474-B027-EA1BB138C5EA}"/>
            </c:ext>
          </c:extLst>
        </c:ser>
        <c:ser>
          <c:idx val="4"/>
          <c:order val="4"/>
          <c:tx>
            <c:strRef>
              <c:f>'3'!$AN$6</c:f>
              <c:strCache>
                <c:ptCount val="1"/>
                <c:pt idx="0">
                  <c:v>very important</c:v>
                </c:pt>
              </c:strCache>
            </c:strRef>
          </c:tx>
          <c:spPr>
            <a:solidFill>
              <a:schemeClr val="accent1"/>
            </a:solidFill>
            <a:ln>
              <a:noFill/>
            </a:ln>
            <a:effectLst/>
          </c:spPr>
          <c:invertIfNegative val="0"/>
          <c:cat>
            <c:strRef>
              <c:f>'3'!$AU$1:$BB$1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'3'!$AU$6:$BB$6</c:f>
              <c:numCache>
                <c:formatCode>General</c:formatCode>
                <c:ptCount val="8"/>
                <c:pt idx="0">
                  <c:v>40</c:v>
                </c:pt>
                <c:pt idx="1">
                  <c:v>11</c:v>
                </c:pt>
                <c:pt idx="2">
                  <c:v>10</c:v>
                </c:pt>
                <c:pt idx="3">
                  <c:v>5</c:v>
                </c:pt>
                <c:pt idx="4">
                  <c:v>57</c:v>
                </c:pt>
                <c:pt idx="5">
                  <c:v>13</c:v>
                </c:pt>
                <c:pt idx="6">
                  <c:v>5</c:v>
                </c:pt>
                <c:pt idx="7">
                  <c:v>15</c:v>
                </c:pt>
              </c:numCache>
            </c:numRef>
          </c:val>
          <c:extLst>
            <c:ext xmlns:c16="http://schemas.microsoft.com/office/drawing/2014/chart" uri="{C3380CC4-5D6E-409C-BE32-E72D297353CC}">
              <c16:uniqueId val="{00000004-B50D-4474-B027-EA1BB138C5EA}"/>
            </c:ext>
          </c:extLst>
        </c:ser>
        <c:dLbls>
          <c:showLegendKey val="0"/>
          <c:showVal val="0"/>
          <c:showCatName val="0"/>
          <c:showSerName val="0"/>
          <c:showPercent val="0"/>
          <c:showBubbleSize val="0"/>
        </c:dLbls>
        <c:gapWidth val="130"/>
        <c:overlap val="100"/>
        <c:axId val="458809320"/>
        <c:axId val="458814568"/>
      </c:barChart>
      <c:catAx>
        <c:axId val="458809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8814568"/>
        <c:crosses val="autoZero"/>
        <c:auto val="1"/>
        <c:lblAlgn val="ctr"/>
        <c:lblOffset val="100"/>
        <c:noMultiLvlLbl val="0"/>
      </c:catAx>
      <c:valAx>
        <c:axId val="458814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8809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Most important aspect of training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'3'!$W$2</c:f>
              <c:strCache>
                <c:ptCount val="1"/>
                <c:pt idx="0">
                  <c:v>equipment, instruments</c:v>
                </c:pt>
              </c:strCache>
            </c:strRef>
          </c:tx>
          <c:spPr>
            <a:solidFill>
              <a:schemeClr val="accent1"/>
            </a:solidFill>
            <a:ln>
              <a:noFill/>
            </a:ln>
            <a:effectLst/>
          </c:spPr>
          <c:invertIfNegative val="0"/>
          <c:cat>
            <c:strRef>
              <c:f>'3'!$Z$1:$AB$1</c:f>
              <c:strCache>
                <c:ptCount val="3"/>
                <c:pt idx="0">
                  <c:v>full-service</c:v>
                </c:pt>
                <c:pt idx="1">
                  <c:v>hybrid-service</c:v>
                </c:pt>
                <c:pt idx="2">
                  <c:v>self-service</c:v>
                </c:pt>
              </c:strCache>
            </c:strRef>
          </c:cat>
          <c:val>
            <c:numRef>
              <c:f>'3'!$Z$2:$AB$2</c:f>
              <c:numCache>
                <c:formatCode>General</c:formatCode>
                <c:ptCount val="3"/>
                <c:pt idx="0">
                  <c:v>2</c:v>
                </c:pt>
                <c:pt idx="1">
                  <c:v>51</c:v>
                </c:pt>
                <c:pt idx="2">
                  <c:v>8</c:v>
                </c:pt>
              </c:numCache>
            </c:numRef>
          </c:val>
          <c:extLst>
            <c:ext xmlns:c16="http://schemas.microsoft.com/office/drawing/2014/chart" uri="{C3380CC4-5D6E-409C-BE32-E72D297353CC}">
              <c16:uniqueId val="{00000000-DB1A-4FC9-8BD9-3DAA6E1F784F}"/>
            </c:ext>
          </c:extLst>
        </c:ser>
        <c:ser>
          <c:idx val="1"/>
          <c:order val="1"/>
          <c:tx>
            <c:strRef>
              <c:f>'3'!$W$3</c:f>
              <c:strCache>
                <c:ptCount val="1"/>
                <c:pt idx="0">
                  <c:v>techniques, protocols</c:v>
                </c:pt>
              </c:strCache>
            </c:strRef>
          </c:tx>
          <c:spPr>
            <a:solidFill>
              <a:srgbClr val="FF6600"/>
            </a:solidFill>
            <a:ln>
              <a:noFill/>
            </a:ln>
            <a:effectLst/>
          </c:spPr>
          <c:invertIfNegative val="0"/>
          <c:cat>
            <c:strRef>
              <c:f>'3'!$Z$1:$AB$1</c:f>
              <c:strCache>
                <c:ptCount val="3"/>
                <c:pt idx="0">
                  <c:v>full-service</c:v>
                </c:pt>
                <c:pt idx="1">
                  <c:v>hybrid-service</c:v>
                </c:pt>
                <c:pt idx="2">
                  <c:v>self-service</c:v>
                </c:pt>
              </c:strCache>
            </c:strRef>
          </c:cat>
          <c:val>
            <c:numRef>
              <c:f>'3'!$Z$3:$AB$3</c:f>
              <c:numCache>
                <c:formatCode>General</c:formatCode>
                <c:ptCount val="3"/>
                <c:pt idx="0">
                  <c:v>9</c:v>
                </c:pt>
                <c:pt idx="1">
                  <c:v>31</c:v>
                </c:pt>
                <c:pt idx="2">
                  <c:v>3</c:v>
                </c:pt>
              </c:numCache>
            </c:numRef>
          </c:val>
          <c:extLst>
            <c:ext xmlns:c16="http://schemas.microsoft.com/office/drawing/2014/chart" uri="{C3380CC4-5D6E-409C-BE32-E72D297353CC}">
              <c16:uniqueId val="{00000001-DB1A-4FC9-8BD9-3DAA6E1F784F}"/>
            </c:ext>
          </c:extLst>
        </c:ser>
        <c:ser>
          <c:idx val="2"/>
          <c:order val="2"/>
          <c:tx>
            <c:strRef>
              <c:f>'3'!$W$4</c:f>
              <c:strCache>
                <c:ptCount val="1"/>
                <c:pt idx="0">
                  <c:v>theory</c:v>
                </c:pt>
              </c:strCache>
            </c:strRef>
          </c:tx>
          <c:spPr>
            <a:solidFill>
              <a:schemeClr val="accent3"/>
            </a:solidFill>
            <a:ln>
              <a:noFill/>
            </a:ln>
            <a:effectLst/>
          </c:spPr>
          <c:invertIfNegative val="0"/>
          <c:cat>
            <c:strRef>
              <c:f>'3'!$Z$1:$AB$1</c:f>
              <c:strCache>
                <c:ptCount val="3"/>
                <c:pt idx="0">
                  <c:v>full-service</c:v>
                </c:pt>
                <c:pt idx="1">
                  <c:v>hybrid-service</c:v>
                </c:pt>
                <c:pt idx="2">
                  <c:v>self-service</c:v>
                </c:pt>
              </c:strCache>
            </c:strRef>
          </c:cat>
          <c:val>
            <c:numRef>
              <c:f>'3'!$Z$4:$AB$4</c:f>
              <c:numCache>
                <c:formatCode>General</c:formatCode>
                <c:ptCount val="3"/>
                <c:pt idx="0">
                  <c:v>17</c:v>
                </c:pt>
                <c:pt idx="1">
                  <c:v>22</c:v>
                </c:pt>
                <c:pt idx="2">
                  <c:v>3</c:v>
                </c:pt>
              </c:numCache>
            </c:numRef>
          </c:val>
          <c:extLst>
            <c:ext xmlns:c16="http://schemas.microsoft.com/office/drawing/2014/chart" uri="{C3380CC4-5D6E-409C-BE32-E72D297353CC}">
              <c16:uniqueId val="{00000002-DB1A-4FC9-8BD9-3DAA6E1F784F}"/>
            </c:ext>
          </c:extLst>
        </c:ser>
        <c:ser>
          <c:idx val="3"/>
          <c:order val="3"/>
          <c:tx>
            <c:strRef>
              <c:f>'3'!$W$5</c:f>
              <c:strCache>
                <c:ptCount val="1"/>
                <c:pt idx="0">
                  <c:v>data analysis + interpretation</c:v>
                </c:pt>
              </c:strCache>
            </c:strRef>
          </c:tx>
          <c:spPr>
            <a:solidFill>
              <a:schemeClr val="accent4"/>
            </a:solidFill>
            <a:ln>
              <a:noFill/>
            </a:ln>
            <a:effectLst/>
          </c:spPr>
          <c:invertIfNegative val="0"/>
          <c:cat>
            <c:strRef>
              <c:f>'3'!$Z$1:$AB$1</c:f>
              <c:strCache>
                <c:ptCount val="3"/>
                <c:pt idx="0">
                  <c:v>full-service</c:v>
                </c:pt>
                <c:pt idx="1">
                  <c:v>hybrid-service</c:v>
                </c:pt>
                <c:pt idx="2">
                  <c:v>self-service</c:v>
                </c:pt>
              </c:strCache>
            </c:strRef>
          </c:cat>
          <c:val>
            <c:numRef>
              <c:f>'3'!$Z$5:$AB$5</c:f>
              <c:numCache>
                <c:formatCode>General</c:formatCode>
                <c:ptCount val="3"/>
                <c:pt idx="0">
                  <c:v>8</c:v>
                </c:pt>
                <c:pt idx="1">
                  <c:v>26</c:v>
                </c:pt>
                <c:pt idx="2">
                  <c:v>2</c:v>
                </c:pt>
              </c:numCache>
            </c:numRef>
          </c:val>
          <c:extLst>
            <c:ext xmlns:c16="http://schemas.microsoft.com/office/drawing/2014/chart" uri="{C3380CC4-5D6E-409C-BE32-E72D297353CC}">
              <c16:uniqueId val="{00000008-DB1A-4FC9-8BD9-3DAA6E1F784F}"/>
            </c:ext>
          </c:extLst>
        </c:ser>
        <c:ser>
          <c:idx val="4"/>
          <c:order val="4"/>
          <c:tx>
            <c:strRef>
              <c:f>'3'!$W$6</c:f>
              <c:strCache>
                <c:ptCount val="1"/>
                <c:pt idx="0">
                  <c:v>sample preparation</c:v>
                </c:pt>
              </c:strCache>
            </c:strRef>
          </c:tx>
          <c:spPr>
            <a:solidFill>
              <a:srgbClr val="00B0F0"/>
            </a:solidFill>
            <a:ln>
              <a:noFill/>
            </a:ln>
            <a:effectLst/>
          </c:spPr>
          <c:invertIfNegative val="0"/>
          <c:cat>
            <c:strRef>
              <c:f>'3'!$Z$1:$AB$1</c:f>
              <c:strCache>
                <c:ptCount val="3"/>
                <c:pt idx="0">
                  <c:v>full-service</c:v>
                </c:pt>
                <c:pt idx="1">
                  <c:v>hybrid-service</c:v>
                </c:pt>
                <c:pt idx="2">
                  <c:v>self-service</c:v>
                </c:pt>
              </c:strCache>
            </c:strRef>
          </c:cat>
          <c:val>
            <c:numRef>
              <c:f>'3'!$Z$6:$AB$6</c:f>
              <c:numCache>
                <c:formatCode>General</c:formatCode>
                <c:ptCount val="3"/>
                <c:pt idx="0">
                  <c:v>7</c:v>
                </c:pt>
                <c:pt idx="1">
                  <c:v>13</c:v>
                </c:pt>
                <c:pt idx="2">
                  <c:v>5</c:v>
                </c:pt>
              </c:numCache>
            </c:numRef>
          </c:val>
          <c:extLst>
            <c:ext xmlns:c16="http://schemas.microsoft.com/office/drawing/2014/chart" uri="{C3380CC4-5D6E-409C-BE32-E72D297353CC}">
              <c16:uniqueId val="{00000009-DB1A-4FC9-8BD9-3DAA6E1F784F}"/>
            </c:ext>
          </c:extLst>
        </c:ser>
        <c:ser>
          <c:idx val="5"/>
          <c:order val="5"/>
          <c:tx>
            <c:strRef>
              <c:f>'3'!$W$7</c:f>
              <c:strCache>
                <c:ptCount val="1"/>
                <c:pt idx="0">
                  <c:v>quality control, best practice</c:v>
                </c:pt>
              </c:strCache>
            </c:strRef>
          </c:tx>
          <c:spPr>
            <a:solidFill>
              <a:schemeClr val="accent1">
                <a:lumMod val="75000"/>
              </a:schemeClr>
            </a:solidFill>
            <a:ln>
              <a:noFill/>
            </a:ln>
            <a:effectLst/>
          </c:spPr>
          <c:invertIfNegative val="0"/>
          <c:cat>
            <c:strRef>
              <c:f>'3'!$Z$1:$AB$1</c:f>
              <c:strCache>
                <c:ptCount val="3"/>
                <c:pt idx="0">
                  <c:v>full-service</c:v>
                </c:pt>
                <c:pt idx="1">
                  <c:v>hybrid-service</c:v>
                </c:pt>
                <c:pt idx="2">
                  <c:v>self-service</c:v>
                </c:pt>
              </c:strCache>
            </c:strRef>
          </c:cat>
          <c:val>
            <c:numRef>
              <c:f>'3'!$Z$7:$AB$7</c:f>
              <c:numCache>
                <c:formatCode>General</c:formatCode>
                <c:ptCount val="3"/>
                <c:pt idx="0">
                  <c:v>5</c:v>
                </c:pt>
                <c:pt idx="1">
                  <c:v>14</c:v>
                </c:pt>
                <c:pt idx="2">
                  <c:v>2</c:v>
                </c:pt>
              </c:numCache>
            </c:numRef>
          </c:val>
          <c:extLst>
            <c:ext xmlns:c16="http://schemas.microsoft.com/office/drawing/2014/chart" uri="{C3380CC4-5D6E-409C-BE32-E72D297353CC}">
              <c16:uniqueId val="{0000000A-DB1A-4FC9-8BD9-3DAA6E1F784F}"/>
            </c:ext>
          </c:extLst>
        </c:ser>
        <c:ser>
          <c:idx val="6"/>
          <c:order val="6"/>
          <c:tx>
            <c:strRef>
              <c:f>'3'!$W$8</c:f>
              <c:strCache>
                <c:ptCount val="1"/>
                <c:pt idx="0">
                  <c:v>safety</c:v>
                </c:pt>
              </c:strCache>
            </c:strRef>
          </c:tx>
          <c:spPr>
            <a:solidFill>
              <a:schemeClr val="accent6">
                <a:lumMod val="60000"/>
                <a:lumOff val="40000"/>
              </a:schemeClr>
            </a:solidFill>
            <a:ln>
              <a:noFill/>
            </a:ln>
            <a:effectLst/>
          </c:spPr>
          <c:invertIfNegative val="0"/>
          <c:cat>
            <c:strRef>
              <c:f>'3'!$Z$1:$AB$1</c:f>
              <c:strCache>
                <c:ptCount val="3"/>
                <c:pt idx="0">
                  <c:v>full-service</c:v>
                </c:pt>
                <c:pt idx="1">
                  <c:v>hybrid-service</c:v>
                </c:pt>
                <c:pt idx="2">
                  <c:v>self-service</c:v>
                </c:pt>
              </c:strCache>
            </c:strRef>
          </c:cat>
          <c:val>
            <c:numRef>
              <c:f>'3'!$Z$8:$AB$8</c:f>
              <c:numCache>
                <c:formatCode>General</c:formatCode>
                <c:ptCount val="3"/>
                <c:pt idx="0">
                  <c:v>0</c:v>
                </c:pt>
                <c:pt idx="1">
                  <c:v>16</c:v>
                </c:pt>
                <c:pt idx="2">
                  <c:v>3</c:v>
                </c:pt>
              </c:numCache>
            </c:numRef>
          </c:val>
          <c:extLst>
            <c:ext xmlns:c16="http://schemas.microsoft.com/office/drawing/2014/chart" uri="{C3380CC4-5D6E-409C-BE32-E72D297353CC}">
              <c16:uniqueId val="{0000000B-DB1A-4FC9-8BD9-3DAA6E1F784F}"/>
            </c:ext>
          </c:extLst>
        </c:ser>
        <c:ser>
          <c:idx val="7"/>
          <c:order val="7"/>
          <c:tx>
            <c:strRef>
              <c:f>'3'!$W$9</c:f>
              <c:strCache>
                <c:ptCount val="1"/>
                <c:pt idx="0">
                  <c:v>experimental design</c:v>
                </c:pt>
              </c:strCache>
            </c:strRef>
          </c:tx>
          <c:spPr>
            <a:solidFill>
              <a:srgbClr val="C00000"/>
            </a:solidFill>
            <a:ln>
              <a:noFill/>
            </a:ln>
            <a:effectLst/>
          </c:spPr>
          <c:invertIfNegative val="0"/>
          <c:cat>
            <c:strRef>
              <c:f>'3'!$Z$1:$AB$1</c:f>
              <c:strCache>
                <c:ptCount val="3"/>
                <c:pt idx="0">
                  <c:v>full-service</c:v>
                </c:pt>
                <c:pt idx="1">
                  <c:v>hybrid-service</c:v>
                </c:pt>
                <c:pt idx="2">
                  <c:v>self-service</c:v>
                </c:pt>
              </c:strCache>
            </c:strRef>
          </c:cat>
          <c:val>
            <c:numRef>
              <c:f>'3'!$Z$9:$AB$9</c:f>
              <c:numCache>
                <c:formatCode>General</c:formatCode>
                <c:ptCount val="3"/>
                <c:pt idx="0">
                  <c:v>5</c:v>
                </c:pt>
                <c:pt idx="1">
                  <c:v>10</c:v>
                </c:pt>
                <c:pt idx="2">
                  <c:v>1</c:v>
                </c:pt>
              </c:numCache>
            </c:numRef>
          </c:val>
          <c:extLst>
            <c:ext xmlns:c16="http://schemas.microsoft.com/office/drawing/2014/chart" uri="{C3380CC4-5D6E-409C-BE32-E72D297353CC}">
              <c16:uniqueId val="{0000000C-DB1A-4FC9-8BD9-3DAA6E1F784F}"/>
            </c:ext>
          </c:extLst>
        </c:ser>
        <c:ser>
          <c:idx val="8"/>
          <c:order val="8"/>
          <c:tx>
            <c:strRef>
              <c:f>'3'!$W$10</c:f>
              <c:strCache>
                <c:ptCount val="1"/>
                <c:pt idx="0">
                  <c:v>independence of the user</c:v>
                </c:pt>
              </c:strCache>
            </c:strRef>
          </c:tx>
          <c:spPr>
            <a:solidFill>
              <a:srgbClr val="7030A0"/>
            </a:solidFill>
            <a:ln>
              <a:noFill/>
            </a:ln>
            <a:effectLst/>
          </c:spPr>
          <c:invertIfNegative val="0"/>
          <c:cat>
            <c:strRef>
              <c:f>'3'!$Z$1:$AB$1</c:f>
              <c:strCache>
                <c:ptCount val="3"/>
                <c:pt idx="0">
                  <c:v>full-service</c:v>
                </c:pt>
                <c:pt idx="1">
                  <c:v>hybrid-service</c:v>
                </c:pt>
                <c:pt idx="2">
                  <c:v>self-service</c:v>
                </c:pt>
              </c:strCache>
            </c:strRef>
          </c:cat>
          <c:val>
            <c:numRef>
              <c:f>'3'!$Z$10:$AB$10</c:f>
              <c:numCache>
                <c:formatCode>General</c:formatCode>
                <c:ptCount val="3"/>
                <c:pt idx="0">
                  <c:v>0</c:v>
                </c:pt>
                <c:pt idx="1">
                  <c:v>11</c:v>
                </c:pt>
                <c:pt idx="2">
                  <c:v>3</c:v>
                </c:pt>
              </c:numCache>
            </c:numRef>
          </c:val>
          <c:extLst>
            <c:ext xmlns:c16="http://schemas.microsoft.com/office/drawing/2014/chart" uri="{C3380CC4-5D6E-409C-BE32-E72D297353CC}">
              <c16:uniqueId val="{0000000D-DB1A-4FC9-8BD9-3DAA6E1F784F}"/>
            </c:ext>
          </c:extLst>
        </c:ser>
        <c:ser>
          <c:idx val="9"/>
          <c:order val="9"/>
          <c:tx>
            <c:strRef>
              <c:f>'3'!$W$11</c:f>
              <c:strCache>
                <c:ptCount val="1"/>
                <c:pt idx="0">
                  <c:v>software, data acquisition</c:v>
                </c:pt>
              </c:strCache>
            </c:strRef>
          </c:tx>
          <c:spPr>
            <a:solidFill>
              <a:srgbClr val="FF9900"/>
            </a:solidFill>
            <a:ln>
              <a:noFill/>
            </a:ln>
            <a:effectLst/>
          </c:spPr>
          <c:invertIfNegative val="0"/>
          <c:cat>
            <c:strRef>
              <c:f>'3'!$Z$1:$AB$1</c:f>
              <c:strCache>
                <c:ptCount val="3"/>
                <c:pt idx="0">
                  <c:v>full-service</c:v>
                </c:pt>
                <c:pt idx="1">
                  <c:v>hybrid-service</c:v>
                </c:pt>
                <c:pt idx="2">
                  <c:v>self-service</c:v>
                </c:pt>
              </c:strCache>
            </c:strRef>
          </c:cat>
          <c:val>
            <c:numRef>
              <c:f>'3'!$Z$11:$AB$11</c:f>
              <c:numCache>
                <c:formatCode>General</c:formatCode>
                <c:ptCount val="3"/>
                <c:pt idx="0">
                  <c:v>1</c:v>
                </c:pt>
                <c:pt idx="1">
                  <c:v>6</c:v>
                </c:pt>
                <c:pt idx="2">
                  <c:v>6</c:v>
                </c:pt>
              </c:numCache>
            </c:numRef>
          </c:val>
          <c:extLst>
            <c:ext xmlns:c16="http://schemas.microsoft.com/office/drawing/2014/chart" uri="{C3380CC4-5D6E-409C-BE32-E72D297353CC}">
              <c16:uniqueId val="{0000000E-DB1A-4FC9-8BD9-3DAA6E1F784F}"/>
            </c:ext>
          </c:extLst>
        </c:ser>
        <c:ser>
          <c:idx val="10"/>
          <c:order val="10"/>
          <c:tx>
            <c:strRef>
              <c:f>'3'!$W$12</c:f>
              <c:strCache>
                <c:ptCount val="1"/>
                <c:pt idx="0">
                  <c:v>limitations of technique</c:v>
                </c:pt>
              </c:strCache>
            </c:strRef>
          </c:tx>
          <c:spPr>
            <a:solidFill>
              <a:schemeClr val="tx1"/>
            </a:solidFill>
            <a:ln>
              <a:noFill/>
            </a:ln>
            <a:effectLst/>
          </c:spPr>
          <c:invertIfNegative val="0"/>
          <c:cat>
            <c:strRef>
              <c:f>'3'!$Z$1:$AB$1</c:f>
              <c:strCache>
                <c:ptCount val="3"/>
                <c:pt idx="0">
                  <c:v>full-service</c:v>
                </c:pt>
                <c:pt idx="1">
                  <c:v>hybrid-service</c:v>
                </c:pt>
                <c:pt idx="2">
                  <c:v>self-service</c:v>
                </c:pt>
              </c:strCache>
            </c:strRef>
          </c:cat>
          <c:val>
            <c:numRef>
              <c:f>'3'!$Z$12:$AB$12</c:f>
              <c:numCache>
                <c:formatCode>General</c:formatCode>
                <c:ptCount val="3"/>
                <c:pt idx="0">
                  <c:v>5</c:v>
                </c:pt>
                <c:pt idx="1">
                  <c:v>5</c:v>
                </c:pt>
                <c:pt idx="2">
                  <c:v>0</c:v>
                </c:pt>
              </c:numCache>
            </c:numRef>
          </c:val>
          <c:extLst>
            <c:ext xmlns:c16="http://schemas.microsoft.com/office/drawing/2014/chart" uri="{C3380CC4-5D6E-409C-BE32-E72D297353CC}">
              <c16:uniqueId val="{0000000F-DB1A-4FC9-8BD9-3DAA6E1F784F}"/>
            </c:ext>
          </c:extLst>
        </c:ser>
        <c:ser>
          <c:idx val="11"/>
          <c:order val="11"/>
          <c:tx>
            <c:strRef>
              <c:f>'3'!$W$13</c:f>
              <c:strCache>
                <c:ptCount val="1"/>
                <c:pt idx="0">
                  <c:v>controls</c:v>
                </c:pt>
              </c:strCache>
            </c:strRef>
          </c:tx>
          <c:spPr>
            <a:solidFill>
              <a:srgbClr val="FF99FF"/>
            </a:solidFill>
            <a:ln>
              <a:noFill/>
            </a:ln>
            <a:effectLst/>
          </c:spPr>
          <c:invertIfNegative val="0"/>
          <c:cat>
            <c:strRef>
              <c:f>'3'!$Z$1:$AB$1</c:f>
              <c:strCache>
                <c:ptCount val="3"/>
                <c:pt idx="0">
                  <c:v>full-service</c:v>
                </c:pt>
                <c:pt idx="1">
                  <c:v>hybrid-service</c:v>
                </c:pt>
                <c:pt idx="2">
                  <c:v>self-service</c:v>
                </c:pt>
              </c:strCache>
            </c:strRef>
          </c:cat>
          <c:val>
            <c:numRef>
              <c:f>'3'!$Z$13:$AB$13</c:f>
              <c:numCache>
                <c:formatCode>General</c:formatCode>
                <c:ptCount val="3"/>
                <c:pt idx="0">
                  <c:v>1</c:v>
                </c:pt>
                <c:pt idx="1">
                  <c:v>6</c:v>
                </c:pt>
                <c:pt idx="2">
                  <c:v>0</c:v>
                </c:pt>
              </c:numCache>
            </c:numRef>
          </c:val>
          <c:extLst>
            <c:ext xmlns:c16="http://schemas.microsoft.com/office/drawing/2014/chart" uri="{C3380CC4-5D6E-409C-BE32-E72D297353CC}">
              <c16:uniqueId val="{00000010-DB1A-4FC9-8BD9-3DAA6E1F784F}"/>
            </c:ext>
          </c:extLst>
        </c:ser>
        <c:ser>
          <c:idx val="12"/>
          <c:order val="12"/>
          <c:tx>
            <c:strRef>
              <c:f>'3'!$W$14</c:f>
              <c:strCache>
                <c:ptCount val="1"/>
                <c:pt idx="0">
                  <c:v>rules to follow</c:v>
                </c:pt>
              </c:strCache>
            </c:strRef>
          </c:tx>
          <c:spPr>
            <a:solidFill>
              <a:srgbClr val="009900"/>
            </a:solidFill>
            <a:ln>
              <a:noFill/>
            </a:ln>
            <a:effectLst/>
          </c:spPr>
          <c:invertIfNegative val="0"/>
          <c:cat>
            <c:strRef>
              <c:f>'3'!$Z$1:$AB$1</c:f>
              <c:strCache>
                <c:ptCount val="3"/>
                <c:pt idx="0">
                  <c:v>full-service</c:v>
                </c:pt>
                <c:pt idx="1">
                  <c:v>hybrid-service</c:v>
                </c:pt>
                <c:pt idx="2">
                  <c:v>self-service</c:v>
                </c:pt>
              </c:strCache>
            </c:strRef>
          </c:cat>
          <c:val>
            <c:numRef>
              <c:f>'3'!$Z$14:$AB$14</c:f>
              <c:numCache>
                <c:formatCode>General</c:formatCode>
                <c:ptCount val="3"/>
                <c:pt idx="0">
                  <c:v>0</c:v>
                </c:pt>
                <c:pt idx="1">
                  <c:v>3</c:v>
                </c:pt>
                <c:pt idx="2">
                  <c:v>1</c:v>
                </c:pt>
              </c:numCache>
            </c:numRef>
          </c:val>
          <c:extLst>
            <c:ext xmlns:c16="http://schemas.microsoft.com/office/drawing/2014/chart" uri="{C3380CC4-5D6E-409C-BE32-E72D297353CC}">
              <c16:uniqueId val="{00000011-DB1A-4FC9-8BD9-3DAA6E1F784F}"/>
            </c:ext>
          </c:extLst>
        </c:ser>
        <c:ser>
          <c:idx val="13"/>
          <c:order val="13"/>
          <c:tx>
            <c:strRef>
              <c:f>'3'!$W$15</c:f>
              <c:strCache>
                <c:ptCount val="1"/>
                <c:pt idx="0">
                  <c:v>troubleshooting</c:v>
                </c:pt>
              </c:strCache>
            </c:strRef>
          </c:tx>
          <c:spPr>
            <a:solidFill>
              <a:srgbClr val="997300"/>
            </a:solidFill>
            <a:ln>
              <a:noFill/>
            </a:ln>
            <a:effectLst/>
          </c:spPr>
          <c:invertIfNegative val="0"/>
          <c:cat>
            <c:strRef>
              <c:f>'3'!$Z$1:$AB$1</c:f>
              <c:strCache>
                <c:ptCount val="3"/>
                <c:pt idx="0">
                  <c:v>full-service</c:v>
                </c:pt>
                <c:pt idx="1">
                  <c:v>hybrid-service</c:v>
                </c:pt>
                <c:pt idx="2">
                  <c:v>self-service</c:v>
                </c:pt>
              </c:strCache>
            </c:strRef>
          </c:cat>
          <c:val>
            <c:numRef>
              <c:f>'3'!$Z$15:$AB$15</c:f>
              <c:numCache>
                <c:formatCode>General</c:formatCode>
                <c:ptCount val="3"/>
                <c:pt idx="0">
                  <c:v>0</c:v>
                </c:pt>
                <c:pt idx="1">
                  <c:v>3</c:v>
                </c:pt>
                <c:pt idx="2">
                  <c:v>0</c:v>
                </c:pt>
              </c:numCache>
            </c:numRef>
          </c:val>
          <c:extLst>
            <c:ext xmlns:c16="http://schemas.microsoft.com/office/drawing/2014/chart" uri="{C3380CC4-5D6E-409C-BE32-E72D297353CC}">
              <c16:uniqueId val="{00000012-DB1A-4FC9-8BD9-3DAA6E1F784F}"/>
            </c:ext>
          </c:extLst>
        </c:ser>
        <c:dLbls>
          <c:showLegendKey val="0"/>
          <c:showVal val="0"/>
          <c:showCatName val="0"/>
          <c:showSerName val="0"/>
          <c:showPercent val="0"/>
          <c:showBubbleSize val="0"/>
        </c:dLbls>
        <c:gapWidth val="130"/>
        <c:overlap val="100"/>
        <c:axId val="383835392"/>
        <c:axId val="383835720"/>
      </c:barChart>
      <c:catAx>
        <c:axId val="38383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835720"/>
        <c:crosses val="autoZero"/>
        <c:auto val="1"/>
        <c:lblAlgn val="ctr"/>
        <c:lblOffset val="100"/>
        <c:noMultiLvlLbl val="0"/>
      </c:catAx>
      <c:valAx>
        <c:axId val="383835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835392"/>
        <c:crosses val="autoZero"/>
        <c:crossBetween val="between"/>
      </c:valAx>
      <c:spPr>
        <a:noFill/>
        <a:ln>
          <a:noFill/>
        </a:ln>
        <a:effectLst/>
      </c:spPr>
    </c:plotArea>
    <c:legend>
      <c:legendPos val="r"/>
      <c:layout>
        <c:manualLayout>
          <c:xMode val="edge"/>
          <c:yMode val="edge"/>
          <c:x val="0.63410277528547465"/>
          <c:y val="0.11160155006841348"/>
          <c:w val="0.34345913484968099"/>
          <c:h val="0.782691717030120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Most important aspect of training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'3'!$W$2</c:f>
              <c:strCache>
                <c:ptCount val="1"/>
                <c:pt idx="0">
                  <c:v>equipment, instruments</c:v>
                </c:pt>
              </c:strCache>
            </c:strRef>
          </c:tx>
          <c:spPr>
            <a:solidFill>
              <a:schemeClr val="accent1"/>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'3'!$AD$2:$AK$2</c:f>
              <c:numCache>
                <c:formatCode>General</c:formatCode>
                <c:ptCount val="8"/>
                <c:pt idx="0">
                  <c:v>19</c:v>
                </c:pt>
                <c:pt idx="1">
                  <c:v>4</c:v>
                </c:pt>
                <c:pt idx="2">
                  <c:v>4</c:v>
                </c:pt>
                <c:pt idx="3">
                  <c:v>1</c:v>
                </c:pt>
                <c:pt idx="4">
                  <c:v>23</c:v>
                </c:pt>
                <c:pt idx="5">
                  <c:v>1</c:v>
                </c:pt>
                <c:pt idx="6">
                  <c:v>2</c:v>
                </c:pt>
                <c:pt idx="7">
                  <c:v>0</c:v>
                </c:pt>
              </c:numCache>
            </c:numRef>
          </c:val>
          <c:extLst>
            <c:ext xmlns:c16="http://schemas.microsoft.com/office/drawing/2014/chart" uri="{C3380CC4-5D6E-409C-BE32-E72D297353CC}">
              <c16:uniqueId val="{00000000-054C-43CD-846C-284A10F0C54F}"/>
            </c:ext>
          </c:extLst>
        </c:ser>
        <c:ser>
          <c:idx val="1"/>
          <c:order val="1"/>
          <c:tx>
            <c:strRef>
              <c:f>'3'!$W$3</c:f>
              <c:strCache>
                <c:ptCount val="1"/>
                <c:pt idx="0">
                  <c:v>techniques, protocols</c:v>
                </c:pt>
              </c:strCache>
            </c:strRef>
          </c:tx>
          <c:spPr>
            <a:solidFill>
              <a:srgbClr val="FF6600"/>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'3'!$AD$3:$AK$3</c:f>
              <c:numCache>
                <c:formatCode>General</c:formatCode>
                <c:ptCount val="8"/>
                <c:pt idx="0">
                  <c:v>6</c:v>
                </c:pt>
                <c:pt idx="1">
                  <c:v>1</c:v>
                </c:pt>
                <c:pt idx="2">
                  <c:v>4</c:v>
                </c:pt>
                <c:pt idx="3">
                  <c:v>0</c:v>
                </c:pt>
                <c:pt idx="4">
                  <c:v>9</c:v>
                </c:pt>
                <c:pt idx="5">
                  <c:v>5</c:v>
                </c:pt>
                <c:pt idx="6">
                  <c:v>2</c:v>
                </c:pt>
                <c:pt idx="7">
                  <c:v>6</c:v>
                </c:pt>
              </c:numCache>
            </c:numRef>
          </c:val>
          <c:extLst>
            <c:ext xmlns:c16="http://schemas.microsoft.com/office/drawing/2014/chart" uri="{C3380CC4-5D6E-409C-BE32-E72D297353CC}">
              <c16:uniqueId val="{00000001-054C-43CD-846C-284A10F0C54F}"/>
            </c:ext>
          </c:extLst>
        </c:ser>
        <c:ser>
          <c:idx val="2"/>
          <c:order val="2"/>
          <c:tx>
            <c:strRef>
              <c:f>'3'!$W$4</c:f>
              <c:strCache>
                <c:ptCount val="1"/>
                <c:pt idx="0">
                  <c:v>theory</c:v>
                </c:pt>
              </c:strCache>
            </c:strRef>
          </c:tx>
          <c:spPr>
            <a:solidFill>
              <a:schemeClr val="accent3"/>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'3'!$AD$4:$AK$4</c:f>
              <c:numCache>
                <c:formatCode>General</c:formatCode>
                <c:ptCount val="8"/>
                <c:pt idx="0">
                  <c:v>8</c:v>
                </c:pt>
                <c:pt idx="1">
                  <c:v>6</c:v>
                </c:pt>
                <c:pt idx="2">
                  <c:v>1</c:v>
                </c:pt>
                <c:pt idx="3">
                  <c:v>0</c:v>
                </c:pt>
                <c:pt idx="4">
                  <c:v>10</c:v>
                </c:pt>
                <c:pt idx="5">
                  <c:v>3</c:v>
                </c:pt>
                <c:pt idx="6">
                  <c:v>1</c:v>
                </c:pt>
                <c:pt idx="7">
                  <c:v>7</c:v>
                </c:pt>
              </c:numCache>
            </c:numRef>
          </c:val>
          <c:extLst>
            <c:ext xmlns:c16="http://schemas.microsoft.com/office/drawing/2014/chart" uri="{C3380CC4-5D6E-409C-BE32-E72D297353CC}">
              <c16:uniqueId val="{00000002-054C-43CD-846C-284A10F0C54F}"/>
            </c:ext>
          </c:extLst>
        </c:ser>
        <c:ser>
          <c:idx val="3"/>
          <c:order val="3"/>
          <c:tx>
            <c:strRef>
              <c:f>'3'!$W$5</c:f>
              <c:strCache>
                <c:ptCount val="1"/>
                <c:pt idx="0">
                  <c:v>data analysis + interpretation</c:v>
                </c:pt>
              </c:strCache>
            </c:strRef>
          </c:tx>
          <c:spPr>
            <a:solidFill>
              <a:schemeClr val="accent4"/>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'3'!$AD$5:$AK$5</c:f>
              <c:numCache>
                <c:formatCode>General</c:formatCode>
                <c:ptCount val="8"/>
                <c:pt idx="0">
                  <c:v>5</c:v>
                </c:pt>
                <c:pt idx="1">
                  <c:v>2</c:v>
                </c:pt>
                <c:pt idx="2">
                  <c:v>2</c:v>
                </c:pt>
                <c:pt idx="3">
                  <c:v>4</c:v>
                </c:pt>
                <c:pt idx="4">
                  <c:v>5</c:v>
                </c:pt>
                <c:pt idx="5">
                  <c:v>0</c:v>
                </c:pt>
                <c:pt idx="6">
                  <c:v>1</c:v>
                </c:pt>
                <c:pt idx="7">
                  <c:v>8</c:v>
                </c:pt>
              </c:numCache>
            </c:numRef>
          </c:val>
          <c:extLst>
            <c:ext xmlns:c16="http://schemas.microsoft.com/office/drawing/2014/chart" uri="{C3380CC4-5D6E-409C-BE32-E72D297353CC}">
              <c16:uniqueId val="{00000003-054C-43CD-846C-284A10F0C54F}"/>
            </c:ext>
          </c:extLst>
        </c:ser>
        <c:ser>
          <c:idx val="4"/>
          <c:order val="4"/>
          <c:tx>
            <c:strRef>
              <c:f>'3'!$W$6</c:f>
              <c:strCache>
                <c:ptCount val="1"/>
                <c:pt idx="0">
                  <c:v>sample preparation</c:v>
                </c:pt>
              </c:strCache>
            </c:strRef>
          </c:tx>
          <c:spPr>
            <a:solidFill>
              <a:srgbClr val="00B0F0"/>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'3'!$AD$6:$AK$6</c:f>
              <c:numCache>
                <c:formatCode>General</c:formatCode>
                <c:ptCount val="8"/>
                <c:pt idx="0">
                  <c:v>4</c:v>
                </c:pt>
                <c:pt idx="1">
                  <c:v>0</c:v>
                </c:pt>
                <c:pt idx="2">
                  <c:v>2</c:v>
                </c:pt>
                <c:pt idx="3">
                  <c:v>3</c:v>
                </c:pt>
                <c:pt idx="4">
                  <c:v>8</c:v>
                </c:pt>
                <c:pt idx="5">
                  <c:v>0</c:v>
                </c:pt>
                <c:pt idx="6">
                  <c:v>0</c:v>
                </c:pt>
                <c:pt idx="7">
                  <c:v>7</c:v>
                </c:pt>
              </c:numCache>
            </c:numRef>
          </c:val>
          <c:extLst>
            <c:ext xmlns:c16="http://schemas.microsoft.com/office/drawing/2014/chart" uri="{C3380CC4-5D6E-409C-BE32-E72D297353CC}">
              <c16:uniqueId val="{00000004-054C-43CD-846C-284A10F0C54F}"/>
            </c:ext>
          </c:extLst>
        </c:ser>
        <c:ser>
          <c:idx val="5"/>
          <c:order val="5"/>
          <c:tx>
            <c:strRef>
              <c:f>'3'!$W$7</c:f>
              <c:strCache>
                <c:ptCount val="1"/>
                <c:pt idx="0">
                  <c:v>quality control, best practice</c:v>
                </c:pt>
              </c:strCache>
            </c:strRef>
          </c:tx>
          <c:spPr>
            <a:solidFill>
              <a:schemeClr val="accent1">
                <a:lumMod val="75000"/>
              </a:schemeClr>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'3'!$AD$7:$AK$7</c:f>
              <c:numCache>
                <c:formatCode>General</c:formatCode>
                <c:ptCount val="8"/>
                <c:pt idx="0">
                  <c:v>4</c:v>
                </c:pt>
                <c:pt idx="1">
                  <c:v>2</c:v>
                </c:pt>
                <c:pt idx="2">
                  <c:v>1</c:v>
                </c:pt>
                <c:pt idx="3">
                  <c:v>0</c:v>
                </c:pt>
                <c:pt idx="4">
                  <c:v>5</c:v>
                </c:pt>
                <c:pt idx="5">
                  <c:v>1</c:v>
                </c:pt>
                <c:pt idx="6">
                  <c:v>1</c:v>
                </c:pt>
                <c:pt idx="7">
                  <c:v>0</c:v>
                </c:pt>
              </c:numCache>
            </c:numRef>
          </c:val>
          <c:extLst>
            <c:ext xmlns:c16="http://schemas.microsoft.com/office/drawing/2014/chart" uri="{C3380CC4-5D6E-409C-BE32-E72D297353CC}">
              <c16:uniqueId val="{00000005-054C-43CD-846C-284A10F0C54F}"/>
            </c:ext>
          </c:extLst>
        </c:ser>
        <c:ser>
          <c:idx val="6"/>
          <c:order val="6"/>
          <c:tx>
            <c:strRef>
              <c:f>'3'!$W$8</c:f>
              <c:strCache>
                <c:ptCount val="1"/>
                <c:pt idx="0">
                  <c:v>safety</c:v>
                </c:pt>
              </c:strCache>
            </c:strRef>
          </c:tx>
          <c:spPr>
            <a:solidFill>
              <a:schemeClr val="accent6">
                <a:lumMod val="60000"/>
                <a:lumOff val="40000"/>
              </a:schemeClr>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'3'!$AD$8:$AK$8</c:f>
              <c:numCache>
                <c:formatCode>General</c:formatCode>
                <c:ptCount val="8"/>
                <c:pt idx="0">
                  <c:v>2</c:v>
                </c:pt>
                <c:pt idx="1">
                  <c:v>1</c:v>
                </c:pt>
                <c:pt idx="2">
                  <c:v>1</c:v>
                </c:pt>
                <c:pt idx="3">
                  <c:v>0</c:v>
                </c:pt>
                <c:pt idx="4">
                  <c:v>9</c:v>
                </c:pt>
                <c:pt idx="5">
                  <c:v>0</c:v>
                </c:pt>
                <c:pt idx="6">
                  <c:v>2</c:v>
                </c:pt>
                <c:pt idx="7">
                  <c:v>0</c:v>
                </c:pt>
              </c:numCache>
            </c:numRef>
          </c:val>
          <c:extLst>
            <c:ext xmlns:c16="http://schemas.microsoft.com/office/drawing/2014/chart" uri="{C3380CC4-5D6E-409C-BE32-E72D297353CC}">
              <c16:uniqueId val="{00000006-054C-43CD-846C-284A10F0C54F}"/>
            </c:ext>
          </c:extLst>
        </c:ser>
        <c:ser>
          <c:idx val="7"/>
          <c:order val="7"/>
          <c:tx>
            <c:strRef>
              <c:f>'3'!$W$9</c:f>
              <c:strCache>
                <c:ptCount val="1"/>
                <c:pt idx="0">
                  <c:v>experimental design</c:v>
                </c:pt>
              </c:strCache>
            </c:strRef>
          </c:tx>
          <c:spPr>
            <a:solidFill>
              <a:srgbClr val="C00000"/>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'3'!$AD$9:$AK$9</c:f>
              <c:numCache>
                <c:formatCode>General</c:formatCode>
                <c:ptCount val="8"/>
                <c:pt idx="0">
                  <c:v>3</c:v>
                </c:pt>
                <c:pt idx="1">
                  <c:v>3</c:v>
                </c:pt>
                <c:pt idx="2">
                  <c:v>0</c:v>
                </c:pt>
                <c:pt idx="3">
                  <c:v>1</c:v>
                </c:pt>
                <c:pt idx="4">
                  <c:v>1</c:v>
                </c:pt>
                <c:pt idx="5">
                  <c:v>2</c:v>
                </c:pt>
                <c:pt idx="6">
                  <c:v>0</c:v>
                </c:pt>
                <c:pt idx="7">
                  <c:v>1</c:v>
                </c:pt>
              </c:numCache>
            </c:numRef>
          </c:val>
          <c:extLst>
            <c:ext xmlns:c16="http://schemas.microsoft.com/office/drawing/2014/chart" uri="{C3380CC4-5D6E-409C-BE32-E72D297353CC}">
              <c16:uniqueId val="{00000007-054C-43CD-846C-284A10F0C54F}"/>
            </c:ext>
          </c:extLst>
        </c:ser>
        <c:ser>
          <c:idx val="8"/>
          <c:order val="8"/>
          <c:tx>
            <c:strRef>
              <c:f>'3'!$W$10</c:f>
              <c:strCache>
                <c:ptCount val="1"/>
                <c:pt idx="0">
                  <c:v>independence of the user</c:v>
                </c:pt>
              </c:strCache>
            </c:strRef>
          </c:tx>
          <c:spPr>
            <a:solidFill>
              <a:srgbClr val="7030A0"/>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'3'!$AD$10:$AK$10</c:f>
              <c:numCache>
                <c:formatCode>General</c:formatCode>
                <c:ptCount val="8"/>
                <c:pt idx="0">
                  <c:v>3</c:v>
                </c:pt>
                <c:pt idx="1">
                  <c:v>1</c:v>
                </c:pt>
                <c:pt idx="2">
                  <c:v>1</c:v>
                </c:pt>
                <c:pt idx="3">
                  <c:v>0</c:v>
                </c:pt>
                <c:pt idx="4">
                  <c:v>6</c:v>
                </c:pt>
                <c:pt idx="5">
                  <c:v>0</c:v>
                </c:pt>
                <c:pt idx="6">
                  <c:v>0</c:v>
                </c:pt>
                <c:pt idx="7">
                  <c:v>0</c:v>
                </c:pt>
              </c:numCache>
            </c:numRef>
          </c:val>
          <c:extLst>
            <c:ext xmlns:c16="http://schemas.microsoft.com/office/drawing/2014/chart" uri="{C3380CC4-5D6E-409C-BE32-E72D297353CC}">
              <c16:uniqueId val="{00000008-054C-43CD-846C-284A10F0C54F}"/>
            </c:ext>
          </c:extLst>
        </c:ser>
        <c:ser>
          <c:idx val="9"/>
          <c:order val="9"/>
          <c:tx>
            <c:strRef>
              <c:f>'3'!$W$11</c:f>
              <c:strCache>
                <c:ptCount val="1"/>
                <c:pt idx="0">
                  <c:v>software, data acquisition</c:v>
                </c:pt>
              </c:strCache>
            </c:strRef>
          </c:tx>
          <c:spPr>
            <a:solidFill>
              <a:srgbClr val="FF9900"/>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'3'!$AD$11:$AK$11</c:f>
              <c:numCache>
                <c:formatCode>General</c:formatCode>
                <c:ptCount val="8"/>
                <c:pt idx="0">
                  <c:v>5</c:v>
                </c:pt>
                <c:pt idx="1">
                  <c:v>0</c:v>
                </c:pt>
                <c:pt idx="2">
                  <c:v>1</c:v>
                </c:pt>
                <c:pt idx="3">
                  <c:v>1</c:v>
                </c:pt>
                <c:pt idx="4">
                  <c:v>3</c:v>
                </c:pt>
                <c:pt idx="5">
                  <c:v>0</c:v>
                </c:pt>
                <c:pt idx="6">
                  <c:v>0</c:v>
                </c:pt>
                <c:pt idx="7">
                  <c:v>2</c:v>
                </c:pt>
              </c:numCache>
            </c:numRef>
          </c:val>
          <c:extLst>
            <c:ext xmlns:c16="http://schemas.microsoft.com/office/drawing/2014/chart" uri="{C3380CC4-5D6E-409C-BE32-E72D297353CC}">
              <c16:uniqueId val="{00000009-054C-43CD-846C-284A10F0C54F}"/>
            </c:ext>
          </c:extLst>
        </c:ser>
        <c:ser>
          <c:idx val="10"/>
          <c:order val="10"/>
          <c:tx>
            <c:strRef>
              <c:f>'3'!$W$12</c:f>
              <c:strCache>
                <c:ptCount val="1"/>
                <c:pt idx="0">
                  <c:v>limitations of technique</c:v>
                </c:pt>
              </c:strCache>
            </c:strRef>
          </c:tx>
          <c:spPr>
            <a:solidFill>
              <a:schemeClr val="tx1"/>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'3'!$AD$12:$AK$12</c:f>
              <c:numCache>
                <c:formatCode>General</c:formatCode>
                <c:ptCount val="8"/>
                <c:pt idx="0">
                  <c:v>0</c:v>
                </c:pt>
                <c:pt idx="1">
                  <c:v>1</c:v>
                </c:pt>
                <c:pt idx="2">
                  <c:v>1</c:v>
                </c:pt>
                <c:pt idx="3">
                  <c:v>0</c:v>
                </c:pt>
                <c:pt idx="4">
                  <c:v>3</c:v>
                </c:pt>
                <c:pt idx="5">
                  <c:v>0</c:v>
                </c:pt>
                <c:pt idx="6">
                  <c:v>1</c:v>
                </c:pt>
                <c:pt idx="7">
                  <c:v>3</c:v>
                </c:pt>
              </c:numCache>
            </c:numRef>
          </c:val>
          <c:extLst>
            <c:ext xmlns:c16="http://schemas.microsoft.com/office/drawing/2014/chart" uri="{C3380CC4-5D6E-409C-BE32-E72D297353CC}">
              <c16:uniqueId val="{0000000A-054C-43CD-846C-284A10F0C54F}"/>
            </c:ext>
          </c:extLst>
        </c:ser>
        <c:ser>
          <c:idx val="11"/>
          <c:order val="11"/>
          <c:tx>
            <c:strRef>
              <c:f>'3'!$W$13</c:f>
              <c:strCache>
                <c:ptCount val="1"/>
                <c:pt idx="0">
                  <c:v>controls</c:v>
                </c:pt>
              </c:strCache>
            </c:strRef>
          </c:tx>
          <c:spPr>
            <a:solidFill>
              <a:srgbClr val="FF99FF"/>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'3'!$AD$13:$AK$13</c:f>
              <c:numCache>
                <c:formatCode>General</c:formatCode>
                <c:ptCount val="8"/>
                <c:pt idx="0">
                  <c:v>5</c:v>
                </c:pt>
                <c:pt idx="1">
                  <c:v>0</c:v>
                </c:pt>
                <c:pt idx="2">
                  <c:v>0</c:v>
                </c:pt>
                <c:pt idx="3">
                  <c:v>0</c:v>
                </c:pt>
                <c:pt idx="4">
                  <c:v>0</c:v>
                </c:pt>
                <c:pt idx="5">
                  <c:v>0</c:v>
                </c:pt>
                <c:pt idx="6">
                  <c:v>0</c:v>
                </c:pt>
                <c:pt idx="7">
                  <c:v>1</c:v>
                </c:pt>
              </c:numCache>
            </c:numRef>
          </c:val>
          <c:extLst>
            <c:ext xmlns:c16="http://schemas.microsoft.com/office/drawing/2014/chart" uri="{C3380CC4-5D6E-409C-BE32-E72D297353CC}">
              <c16:uniqueId val="{0000000B-054C-43CD-846C-284A10F0C54F}"/>
            </c:ext>
          </c:extLst>
        </c:ser>
        <c:ser>
          <c:idx val="12"/>
          <c:order val="12"/>
          <c:tx>
            <c:strRef>
              <c:f>'3'!$W$14</c:f>
              <c:strCache>
                <c:ptCount val="1"/>
                <c:pt idx="0">
                  <c:v>rules to follow</c:v>
                </c:pt>
              </c:strCache>
            </c:strRef>
          </c:tx>
          <c:spPr>
            <a:solidFill>
              <a:srgbClr val="009900"/>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'3'!$AD$14:$AK$14</c:f>
              <c:numCache>
                <c:formatCode>General</c:formatCode>
                <c:ptCount val="8"/>
                <c:pt idx="0">
                  <c:v>1</c:v>
                </c:pt>
                <c:pt idx="1">
                  <c:v>0</c:v>
                </c:pt>
                <c:pt idx="2">
                  <c:v>0</c:v>
                </c:pt>
                <c:pt idx="3">
                  <c:v>0</c:v>
                </c:pt>
                <c:pt idx="4">
                  <c:v>1</c:v>
                </c:pt>
                <c:pt idx="5">
                  <c:v>1</c:v>
                </c:pt>
                <c:pt idx="6">
                  <c:v>0</c:v>
                </c:pt>
                <c:pt idx="7">
                  <c:v>0</c:v>
                </c:pt>
              </c:numCache>
            </c:numRef>
          </c:val>
          <c:extLst>
            <c:ext xmlns:c16="http://schemas.microsoft.com/office/drawing/2014/chart" uri="{C3380CC4-5D6E-409C-BE32-E72D297353CC}">
              <c16:uniqueId val="{0000000C-054C-43CD-846C-284A10F0C54F}"/>
            </c:ext>
          </c:extLst>
        </c:ser>
        <c:ser>
          <c:idx val="13"/>
          <c:order val="13"/>
          <c:tx>
            <c:strRef>
              <c:f>'3'!$W$15</c:f>
              <c:strCache>
                <c:ptCount val="1"/>
                <c:pt idx="0">
                  <c:v>troubleshooting</c:v>
                </c:pt>
              </c:strCache>
            </c:strRef>
          </c:tx>
          <c:spPr>
            <a:solidFill>
              <a:srgbClr val="997300"/>
            </a:solidFill>
            <a:ln>
              <a:noFill/>
            </a:ln>
            <a:effectLst/>
          </c:spPr>
          <c:invertIfNegative val="0"/>
          <c:cat>
            <c:strRef>
              <c:f>'3'!$AD$1:$AK$1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'3'!$AD$15:$AK$15</c:f>
              <c:numCache>
                <c:formatCode>General</c:formatCode>
                <c:ptCount val="8"/>
                <c:pt idx="0">
                  <c:v>2</c:v>
                </c:pt>
                <c:pt idx="1">
                  <c:v>0</c:v>
                </c:pt>
                <c:pt idx="2">
                  <c:v>0</c:v>
                </c:pt>
                <c:pt idx="3">
                  <c:v>0</c:v>
                </c:pt>
                <c:pt idx="4">
                  <c:v>0</c:v>
                </c:pt>
                <c:pt idx="5">
                  <c:v>1</c:v>
                </c:pt>
                <c:pt idx="6">
                  <c:v>0</c:v>
                </c:pt>
                <c:pt idx="7">
                  <c:v>0</c:v>
                </c:pt>
              </c:numCache>
            </c:numRef>
          </c:val>
          <c:extLst>
            <c:ext xmlns:c16="http://schemas.microsoft.com/office/drawing/2014/chart" uri="{C3380CC4-5D6E-409C-BE32-E72D297353CC}">
              <c16:uniqueId val="{0000000D-054C-43CD-846C-284A10F0C54F}"/>
            </c:ext>
          </c:extLst>
        </c:ser>
        <c:dLbls>
          <c:showLegendKey val="0"/>
          <c:showVal val="0"/>
          <c:showCatName val="0"/>
          <c:showSerName val="0"/>
          <c:showPercent val="0"/>
          <c:showBubbleSize val="0"/>
        </c:dLbls>
        <c:gapWidth val="130"/>
        <c:overlap val="100"/>
        <c:axId val="383835392"/>
        <c:axId val="383835720"/>
      </c:barChart>
      <c:catAx>
        <c:axId val="38383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835720"/>
        <c:crosses val="autoZero"/>
        <c:auto val="1"/>
        <c:lblAlgn val="ctr"/>
        <c:lblOffset val="100"/>
        <c:noMultiLvlLbl val="0"/>
      </c:catAx>
      <c:valAx>
        <c:axId val="383835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835392"/>
        <c:crosses val="autoZero"/>
        <c:crossBetween val="between"/>
      </c:valAx>
      <c:spPr>
        <a:noFill/>
        <a:ln>
          <a:noFill/>
        </a:ln>
        <a:effectLst/>
      </c:spPr>
    </c:plotArea>
    <c:legend>
      <c:legendPos val="r"/>
      <c:layout>
        <c:manualLayout>
          <c:xMode val="edge"/>
          <c:yMode val="edge"/>
          <c:x val="0.72823729772088597"/>
          <c:y val="0.14109288318559896"/>
          <c:w val="0.2465362725241049"/>
          <c:h val="0.633396756127779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Experiment performed by: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2172724592461"/>
          <c:y val="0.13847624188032981"/>
          <c:w val="0.669312809078354"/>
          <c:h val="0.6067445590566366"/>
        </c:manualLayout>
      </c:layout>
      <c:barChart>
        <c:barDir val="col"/>
        <c:grouping val="percentStacked"/>
        <c:varyColors val="0"/>
        <c:ser>
          <c:idx val="0"/>
          <c:order val="0"/>
          <c:tx>
            <c:strRef>
              <c:f>'1'!$P$2</c:f>
              <c:strCache>
                <c:ptCount val="1"/>
                <c:pt idx="0">
                  <c:v>core facility staff</c:v>
                </c:pt>
              </c:strCache>
            </c:strRef>
          </c:tx>
          <c:spPr>
            <a:solidFill>
              <a:srgbClr val="66CCEE"/>
            </a:solidFill>
            <a:ln>
              <a:noFill/>
            </a:ln>
            <a:effectLst/>
          </c:spPr>
          <c:invertIfNegative val="0"/>
          <c:cat>
            <c:strRef>
              <c:f>'1'!$R$1:$Y$1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'1'!$R$2:$Y$2</c:f>
              <c:numCache>
                <c:formatCode>General</c:formatCode>
                <c:ptCount val="8"/>
                <c:pt idx="0">
                  <c:v>3</c:v>
                </c:pt>
                <c:pt idx="1">
                  <c:v>15</c:v>
                </c:pt>
                <c:pt idx="2">
                  <c:v>2</c:v>
                </c:pt>
                <c:pt idx="3">
                  <c:v>3</c:v>
                </c:pt>
                <c:pt idx="4">
                  <c:v>5</c:v>
                </c:pt>
                <c:pt idx="5">
                  <c:v>6</c:v>
                </c:pt>
                <c:pt idx="6">
                  <c:v>3</c:v>
                </c:pt>
                <c:pt idx="7">
                  <c:v>23</c:v>
                </c:pt>
              </c:numCache>
            </c:numRef>
          </c:val>
          <c:extLst>
            <c:ext xmlns:c16="http://schemas.microsoft.com/office/drawing/2014/chart" uri="{C3380CC4-5D6E-409C-BE32-E72D297353CC}">
              <c16:uniqueId val="{00000000-33CD-40C2-AB02-A145C26E3003}"/>
            </c:ext>
          </c:extLst>
        </c:ser>
        <c:ser>
          <c:idx val="1"/>
          <c:order val="1"/>
          <c:tx>
            <c:strRef>
              <c:f>'1'!$P$3</c:f>
              <c:strCache>
                <c:ptCount val="1"/>
                <c:pt idx="0">
                  <c:v>both</c:v>
                </c:pt>
              </c:strCache>
            </c:strRef>
          </c:tx>
          <c:spPr>
            <a:solidFill>
              <a:srgbClr val="AA3377"/>
            </a:solidFill>
            <a:ln>
              <a:noFill/>
            </a:ln>
            <a:effectLst/>
          </c:spPr>
          <c:invertIfNegative val="0"/>
          <c:cat>
            <c:strRef>
              <c:f>'1'!$R$1:$Y$1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'1'!$R$3:$Y$3</c:f>
              <c:numCache>
                <c:formatCode>General</c:formatCode>
                <c:ptCount val="8"/>
                <c:pt idx="0">
                  <c:v>40</c:v>
                </c:pt>
                <c:pt idx="1">
                  <c:v>17</c:v>
                </c:pt>
                <c:pt idx="2">
                  <c:v>8</c:v>
                </c:pt>
                <c:pt idx="3">
                  <c:v>4</c:v>
                </c:pt>
                <c:pt idx="4">
                  <c:v>49</c:v>
                </c:pt>
                <c:pt idx="5">
                  <c:v>7</c:v>
                </c:pt>
                <c:pt idx="6">
                  <c:v>5</c:v>
                </c:pt>
                <c:pt idx="7">
                  <c:v>12</c:v>
                </c:pt>
              </c:numCache>
            </c:numRef>
          </c:val>
          <c:extLst>
            <c:ext xmlns:c16="http://schemas.microsoft.com/office/drawing/2014/chart" uri="{C3380CC4-5D6E-409C-BE32-E72D297353CC}">
              <c16:uniqueId val="{00000001-33CD-40C2-AB02-A145C26E3003}"/>
            </c:ext>
          </c:extLst>
        </c:ser>
        <c:ser>
          <c:idx val="2"/>
          <c:order val="2"/>
          <c:tx>
            <c:strRef>
              <c:f>'1'!$P$4</c:f>
              <c:strCache>
                <c:ptCount val="1"/>
                <c:pt idx="0">
                  <c:v>user only</c:v>
                </c:pt>
              </c:strCache>
            </c:strRef>
          </c:tx>
          <c:spPr>
            <a:solidFill>
              <a:srgbClr val="EE6677"/>
            </a:solidFill>
            <a:ln>
              <a:noFill/>
            </a:ln>
            <a:effectLst/>
          </c:spPr>
          <c:invertIfNegative val="0"/>
          <c:cat>
            <c:strRef>
              <c:f>'1'!$R$1:$Y$1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'1'!$R$4:$Y$4</c:f>
              <c:numCache>
                <c:formatCode>General</c:formatCode>
                <c:ptCount val="8"/>
                <c:pt idx="0">
                  <c:v>7</c:v>
                </c:pt>
                <c:pt idx="1">
                  <c:v>1</c:v>
                </c:pt>
                <c:pt idx="2">
                  <c:v>1</c:v>
                </c:pt>
                <c:pt idx="3">
                  <c:v>1</c:v>
                </c:pt>
                <c:pt idx="4">
                  <c:v>9</c:v>
                </c:pt>
                <c:pt idx="5">
                  <c:v>3</c:v>
                </c:pt>
                <c:pt idx="6">
                  <c:v>0</c:v>
                </c:pt>
                <c:pt idx="7">
                  <c:v>0</c:v>
                </c:pt>
              </c:numCache>
            </c:numRef>
          </c:val>
          <c:extLst>
            <c:ext xmlns:c16="http://schemas.microsoft.com/office/drawing/2014/chart" uri="{C3380CC4-5D6E-409C-BE32-E72D297353CC}">
              <c16:uniqueId val="{00000002-33CD-40C2-AB02-A145C26E3003}"/>
            </c:ext>
          </c:extLst>
        </c:ser>
        <c:dLbls>
          <c:showLegendKey val="0"/>
          <c:showVal val="0"/>
          <c:showCatName val="0"/>
          <c:showSerName val="0"/>
          <c:showPercent val="0"/>
          <c:showBubbleSize val="0"/>
        </c:dLbls>
        <c:gapWidth val="130"/>
        <c:overlap val="100"/>
        <c:axId val="520963920"/>
        <c:axId val="520966872"/>
      </c:barChart>
      <c:catAx>
        <c:axId val="52096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0966872"/>
        <c:crosses val="autoZero"/>
        <c:auto val="1"/>
        <c:lblAlgn val="ctr"/>
        <c:lblOffset val="100"/>
        <c:noMultiLvlLbl val="0"/>
      </c:catAx>
      <c:valAx>
        <c:axId val="52096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0963920"/>
        <c:crosses val="autoZero"/>
        <c:crossBetween val="between"/>
      </c:valAx>
      <c:spPr>
        <a:noFill/>
        <a:ln>
          <a:noFill/>
        </a:ln>
        <a:effectLst/>
      </c:spPr>
    </c:plotArea>
    <c:legend>
      <c:legendPos val="r"/>
      <c:layout>
        <c:manualLayout>
          <c:xMode val="edge"/>
          <c:yMode val="edge"/>
          <c:x val="0.7859300789115905"/>
          <c:y val="0.24138762282397538"/>
          <c:w val="0.19587883591378571"/>
          <c:h val="0.401821369607856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involved in experimental design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rgbClr val="FF0000"/>
              </a:solidFill>
              <a:ln>
                <a:noFill/>
              </a:ln>
              <a:effectLst/>
            </c:spPr>
            <c:extLst>
              <c:ext xmlns:c16="http://schemas.microsoft.com/office/drawing/2014/chart" uri="{C3380CC4-5D6E-409C-BE32-E72D297353CC}">
                <c16:uniqueId val="{00000000-FA43-4DB0-88FF-68999F29549D}"/>
              </c:ext>
            </c:extLst>
          </c:dPt>
          <c:dPt>
            <c:idx val="1"/>
            <c:bubble3D val="0"/>
            <c:spPr>
              <a:solidFill>
                <a:schemeClr val="accent5">
                  <a:lumMod val="60000"/>
                  <a:lumOff val="40000"/>
                </a:schemeClr>
              </a:solidFill>
              <a:ln>
                <a:noFill/>
              </a:ln>
              <a:effectLst/>
            </c:spPr>
            <c:extLst>
              <c:ext xmlns:c16="http://schemas.microsoft.com/office/drawing/2014/chart" uri="{C3380CC4-5D6E-409C-BE32-E72D297353CC}">
                <c16:uniqueId val="{00000001-FA43-4DB0-88FF-68999F29549D}"/>
              </c:ext>
            </c:extLst>
          </c:dPt>
          <c:dPt>
            <c:idx val="2"/>
            <c:bubble3D val="0"/>
            <c:spPr>
              <a:solidFill>
                <a:srgbClr val="0070C0"/>
              </a:solidFill>
              <a:ln>
                <a:noFill/>
              </a:ln>
              <a:effectLst/>
            </c:spPr>
            <c:extLst>
              <c:ext xmlns:c16="http://schemas.microsoft.com/office/drawing/2014/chart" uri="{C3380CC4-5D6E-409C-BE32-E72D297353CC}">
                <c16:uniqueId val="{00000002-FA43-4DB0-88FF-68999F29549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f>'4'!$R$2:$R$4</c:f>
              <c:strCache>
                <c:ptCount val="3"/>
                <c:pt idx="0">
                  <c:v>No</c:v>
                </c:pt>
                <c:pt idx="1">
                  <c:v>Yes, we provide information</c:v>
                </c:pt>
                <c:pt idx="2">
                  <c:v>Yes, we are actively involved</c:v>
                </c:pt>
              </c:strCache>
            </c:strRef>
          </c:cat>
          <c:val>
            <c:numRef>
              <c:f>'4'!$S$2:$S$4</c:f>
              <c:numCache>
                <c:formatCode>General</c:formatCode>
                <c:ptCount val="3"/>
                <c:pt idx="0">
                  <c:v>4</c:v>
                </c:pt>
                <c:pt idx="1">
                  <c:v>108</c:v>
                </c:pt>
                <c:pt idx="2">
                  <c:v>164</c:v>
                </c:pt>
              </c:numCache>
            </c:numRef>
          </c:val>
          <c:extLst>
            <c:ext xmlns:c16="http://schemas.microsoft.com/office/drawing/2014/chart" uri="{C3380CC4-5D6E-409C-BE32-E72D297353CC}">
              <c16:uniqueId val="{00000000-74AA-4B17-8508-E73B04837D12}"/>
            </c:ext>
          </c:extLst>
        </c:ser>
        <c:dLbls>
          <c:showLegendKey val="0"/>
          <c:showVal val="0"/>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experimental design involvement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2644017107423325"/>
          <c:y val="0.27357272453393972"/>
          <c:w val="0.82313392100887783"/>
          <c:h val="0.55812600248554889"/>
        </c:manualLayout>
      </c:layout>
      <c:barChart>
        <c:barDir val="col"/>
        <c:grouping val="clustered"/>
        <c:varyColors val="0"/>
        <c:ser>
          <c:idx val="0"/>
          <c:order val="0"/>
          <c:spPr>
            <a:solidFill>
              <a:schemeClr val="accent1"/>
            </a:solidFill>
            <a:ln>
              <a:noFill/>
            </a:ln>
            <a:effectLst/>
          </c:spPr>
          <c:invertIfNegative val="0"/>
          <c:cat>
            <c:strRef>
              <c:f>'4'!$AH$2:$AH$6</c:f>
              <c:strCache>
                <c:ptCount val="5"/>
                <c:pt idx="0">
                  <c:v>in person</c:v>
                </c:pt>
                <c:pt idx="1">
                  <c:v>email</c:v>
                </c:pt>
                <c:pt idx="2">
                  <c:v>in writing</c:v>
                </c:pt>
                <c:pt idx="3">
                  <c:v>phone</c:v>
                </c:pt>
                <c:pt idx="4">
                  <c:v>other</c:v>
                </c:pt>
              </c:strCache>
            </c:strRef>
          </c:cat>
          <c:val>
            <c:numRef>
              <c:f>'4'!$AI$2:$AI$6</c:f>
              <c:numCache>
                <c:formatCode>General</c:formatCode>
                <c:ptCount val="5"/>
                <c:pt idx="0">
                  <c:v>243</c:v>
                </c:pt>
                <c:pt idx="1">
                  <c:v>171</c:v>
                </c:pt>
                <c:pt idx="2">
                  <c:v>118</c:v>
                </c:pt>
                <c:pt idx="3">
                  <c:v>96</c:v>
                </c:pt>
                <c:pt idx="4">
                  <c:v>8</c:v>
                </c:pt>
              </c:numCache>
            </c:numRef>
          </c:val>
          <c:extLst>
            <c:ext xmlns:c16="http://schemas.microsoft.com/office/drawing/2014/chart" uri="{C3380CC4-5D6E-409C-BE32-E72D297353CC}">
              <c16:uniqueId val="{00000000-6030-45A9-8436-BD177351EFE4}"/>
            </c:ext>
          </c:extLst>
        </c:ser>
        <c:dLbls>
          <c:showLegendKey val="0"/>
          <c:showVal val="0"/>
          <c:showCatName val="0"/>
          <c:showSerName val="0"/>
          <c:showPercent val="0"/>
          <c:showBubbleSize val="0"/>
        </c:dLbls>
        <c:gapWidth val="130"/>
        <c:overlap val="-27"/>
        <c:axId val="552360112"/>
        <c:axId val="552358800"/>
      </c:barChart>
      <c:catAx>
        <c:axId val="55236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2358800"/>
        <c:crosses val="autoZero"/>
        <c:auto val="1"/>
        <c:lblAlgn val="ctr"/>
        <c:lblOffset val="100"/>
        <c:noMultiLvlLbl val="0"/>
      </c:catAx>
      <c:valAx>
        <c:axId val="552358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2360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Involved in experimental design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868-4864-85C0-207A09F3A8B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868-4864-85C0-207A09F3A8B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'4'!$R$17:$R$18</c:f>
              <c:strCache>
                <c:ptCount val="2"/>
                <c:pt idx="0">
                  <c:v>Yes</c:v>
                </c:pt>
                <c:pt idx="1">
                  <c:v>No</c:v>
                </c:pt>
              </c:strCache>
            </c:strRef>
          </c:cat>
          <c:val>
            <c:numRef>
              <c:f>'4'!$S$17:$S$18</c:f>
              <c:numCache>
                <c:formatCode>General</c:formatCode>
                <c:ptCount val="2"/>
                <c:pt idx="0">
                  <c:v>272</c:v>
                </c:pt>
                <c:pt idx="1">
                  <c:v>4</c:v>
                </c:pt>
              </c:numCache>
            </c:numRef>
          </c:val>
          <c:extLst>
            <c:ext xmlns:c16="http://schemas.microsoft.com/office/drawing/2014/chart" uri="{C3380CC4-5D6E-409C-BE32-E72D297353CC}">
              <c16:uniqueId val="{00000004-D868-4864-85C0-207A09F3A8B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Involved in experimental design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8944711841327503E-2"/>
          <c:y val="0.16091150265326018"/>
          <c:w val="0.64565914672607461"/>
          <c:h val="0.54303118665328476"/>
        </c:manualLayout>
      </c:layout>
      <c:barChart>
        <c:barDir val="col"/>
        <c:grouping val="percentStacked"/>
        <c:varyColors val="0"/>
        <c:ser>
          <c:idx val="0"/>
          <c:order val="0"/>
          <c:tx>
            <c:strRef>
              <c:f>'4'!$R$2</c:f>
              <c:strCache>
                <c:ptCount val="1"/>
                <c:pt idx="0">
                  <c:v>No</c:v>
                </c:pt>
              </c:strCache>
            </c:strRef>
          </c:tx>
          <c:spPr>
            <a:solidFill>
              <a:srgbClr val="FF0000"/>
            </a:solidFill>
            <a:ln>
              <a:noFill/>
            </a:ln>
            <a:effectLst/>
          </c:spPr>
          <c:invertIfNegative val="0"/>
          <c:cat>
            <c:strRef>
              <c:f>'4'!$Y$1:$AF$1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'4'!$Y$2:$AF$2</c:f>
              <c:numCache>
                <c:formatCode>General</c:formatCode>
                <c:ptCount val="8"/>
                <c:pt idx="0">
                  <c:v>0</c:v>
                </c:pt>
                <c:pt idx="1">
                  <c:v>0</c:v>
                </c:pt>
                <c:pt idx="2">
                  <c:v>0</c:v>
                </c:pt>
                <c:pt idx="3">
                  <c:v>0</c:v>
                </c:pt>
                <c:pt idx="4">
                  <c:v>1</c:v>
                </c:pt>
                <c:pt idx="5">
                  <c:v>0</c:v>
                </c:pt>
                <c:pt idx="6">
                  <c:v>0</c:v>
                </c:pt>
                <c:pt idx="7">
                  <c:v>0</c:v>
                </c:pt>
              </c:numCache>
            </c:numRef>
          </c:val>
          <c:extLst>
            <c:ext xmlns:c16="http://schemas.microsoft.com/office/drawing/2014/chart" uri="{C3380CC4-5D6E-409C-BE32-E72D297353CC}">
              <c16:uniqueId val="{00000000-8613-4CD5-8296-FA02458626DB}"/>
            </c:ext>
          </c:extLst>
        </c:ser>
        <c:ser>
          <c:idx val="1"/>
          <c:order val="1"/>
          <c:tx>
            <c:strRef>
              <c:f>'4'!$R$3</c:f>
              <c:strCache>
                <c:ptCount val="1"/>
                <c:pt idx="0">
                  <c:v>Yes, we provide information</c:v>
                </c:pt>
              </c:strCache>
            </c:strRef>
          </c:tx>
          <c:spPr>
            <a:solidFill>
              <a:schemeClr val="accent5">
                <a:lumMod val="60000"/>
                <a:lumOff val="40000"/>
              </a:schemeClr>
            </a:solidFill>
            <a:ln>
              <a:noFill/>
            </a:ln>
            <a:effectLst/>
          </c:spPr>
          <c:invertIfNegative val="0"/>
          <c:cat>
            <c:strRef>
              <c:f>'4'!$Y$1:$AF$1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'4'!$Y$3:$AF$3</c:f>
              <c:numCache>
                <c:formatCode>General</c:formatCode>
                <c:ptCount val="8"/>
                <c:pt idx="0">
                  <c:v>28</c:v>
                </c:pt>
                <c:pt idx="1">
                  <c:v>13</c:v>
                </c:pt>
                <c:pt idx="2">
                  <c:v>8</c:v>
                </c:pt>
                <c:pt idx="3">
                  <c:v>4</c:v>
                </c:pt>
                <c:pt idx="4">
                  <c:v>31</c:v>
                </c:pt>
                <c:pt idx="5">
                  <c:v>2</c:v>
                </c:pt>
                <c:pt idx="6">
                  <c:v>0</c:v>
                </c:pt>
                <c:pt idx="7">
                  <c:v>7</c:v>
                </c:pt>
              </c:numCache>
            </c:numRef>
          </c:val>
          <c:extLst>
            <c:ext xmlns:c16="http://schemas.microsoft.com/office/drawing/2014/chart" uri="{C3380CC4-5D6E-409C-BE32-E72D297353CC}">
              <c16:uniqueId val="{00000001-8613-4CD5-8296-FA02458626DB}"/>
            </c:ext>
          </c:extLst>
        </c:ser>
        <c:ser>
          <c:idx val="2"/>
          <c:order val="2"/>
          <c:tx>
            <c:strRef>
              <c:f>'4'!$R$4</c:f>
              <c:strCache>
                <c:ptCount val="1"/>
                <c:pt idx="0">
                  <c:v>Yes, we are actively involved</c:v>
                </c:pt>
              </c:strCache>
            </c:strRef>
          </c:tx>
          <c:spPr>
            <a:solidFill>
              <a:srgbClr val="0070C0"/>
            </a:solidFill>
            <a:ln>
              <a:noFill/>
            </a:ln>
            <a:effectLst/>
          </c:spPr>
          <c:invertIfNegative val="0"/>
          <c:cat>
            <c:strRef>
              <c:f>'4'!$Y$1:$AF$1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'4'!$Y$4:$AF$4</c:f>
              <c:numCache>
                <c:formatCode>General</c:formatCode>
                <c:ptCount val="8"/>
                <c:pt idx="0">
                  <c:v>22</c:v>
                </c:pt>
                <c:pt idx="1">
                  <c:v>20</c:v>
                </c:pt>
                <c:pt idx="2">
                  <c:v>3</c:v>
                </c:pt>
                <c:pt idx="3">
                  <c:v>4</c:v>
                </c:pt>
                <c:pt idx="4">
                  <c:v>31</c:v>
                </c:pt>
                <c:pt idx="5">
                  <c:v>14</c:v>
                </c:pt>
                <c:pt idx="6">
                  <c:v>8</c:v>
                </c:pt>
                <c:pt idx="7">
                  <c:v>28</c:v>
                </c:pt>
              </c:numCache>
            </c:numRef>
          </c:val>
          <c:extLst>
            <c:ext xmlns:c16="http://schemas.microsoft.com/office/drawing/2014/chart" uri="{C3380CC4-5D6E-409C-BE32-E72D297353CC}">
              <c16:uniqueId val="{00000002-8613-4CD5-8296-FA02458626DB}"/>
            </c:ext>
          </c:extLst>
        </c:ser>
        <c:dLbls>
          <c:showLegendKey val="0"/>
          <c:showVal val="0"/>
          <c:showCatName val="0"/>
          <c:showSerName val="0"/>
          <c:showPercent val="0"/>
          <c:showBubbleSize val="0"/>
        </c:dLbls>
        <c:gapWidth val="130"/>
        <c:overlap val="100"/>
        <c:axId val="458785704"/>
        <c:axId val="458786032"/>
      </c:barChart>
      <c:catAx>
        <c:axId val="458785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8786032"/>
        <c:crosses val="autoZero"/>
        <c:auto val="1"/>
        <c:lblAlgn val="ctr"/>
        <c:lblOffset val="100"/>
        <c:noMultiLvlLbl val="0"/>
      </c:catAx>
      <c:valAx>
        <c:axId val="458786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8785704"/>
        <c:crosses val="autoZero"/>
        <c:crossBetween val="between"/>
      </c:valAx>
      <c:spPr>
        <a:noFill/>
        <a:ln>
          <a:noFill/>
        </a:ln>
        <a:effectLst/>
      </c:spPr>
    </c:plotArea>
    <c:legend>
      <c:legendPos val="r"/>
      <c:layout>
        <c:manualLayout>
          <c:xMode val="edge"/>
          <c:yMode val="edge"/>
          <c:x val="0.73969162147604806"/>
          <c:y val="0.30361023754655247"/>
          <c:w val="0.24504508979801384"/>
          <c:h val="0.362800793347685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Experimental design involvement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'4'!$AH$2</c:f>
              <c:strCache>
                <c:ptCount val="1"/>
                <c:pt idx="0">
                  <c:v>in person</c:v>
                </c:pt>
              </c:strCache>
            </c:strRef>
          </c:tx>
          <c:spPr>
            <a:solidFill>
              <a:srgbClr val="CC6677"/>
            </a:solidFill>
            <a:ln>
              <a:noFill/>
            </a:ln>
            <a:effectLst/>
          </c:spPr>
          <c:invertIfNegative val="0"/>
          <c:cat>
            <c:strRef>
              <c:f>'4'!$AO$1:$AV$1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'4'!$AO$2:$AV$2</c:f>
              <c:numCache>
                <c:formatCode>General</c:formatCode>
                <c:ptCount val="8"/>
                <c:pt idx="0">
                  <c:v>46</c:v>
                </c:pt>
                <c:pt idx="1">
                  <c:v>30</c:v>
                </c:pt>
                <c:pt idx="2">
                  <c:v>10</c:v>
                </c:pt>
                <c:pt idx="3">
                  <c:v>7</c:v>
                </c:pt>
                <c:pt idx="4">
                  <c:v>59</c:v>
                </c:pt>
                <c:pt idx="5">
                  <c:v>11</c:v>
                </c:pt>
                <c:pt idx="6">
                  <c:v>7</c:v>
                </c:pt>
                <c:pt idx="7">
                  <c:v>32</c:v>
                </c:pt>
              </c:numCache>
            </c:numRef>
          </c:val>
          <c:extLst>
            <c:ext xmlns:c16="http://schemas.microsoft.com/office/drawing/2014/chart" uri="{C3380CC4-5D6E-409C-BE32-E72D297353CC}">
              <c16:uniqueId val="{00000000-6C38-4D59-8ACB-ECFE451D729D}"/>
            </c:ext>
          </c:extLst>
        </c:ser>
        <c:ser>
          <c:idx val="1"/>
          <c:order val="1"/>
          <c:tx>
            <c:strRef>
              <c:f>'4'!$AH$3</c:f>
              <c:strCache>
                <c:ptCount val="1"/>
                <c:pt idx="0">
                  <c:v>email</c:v>
                </c:pt>
              </c:strCache>
            </c:strRef>
          </c:tx>
          <c:spPr>
            <a:solidFill>
              <a:srgbClr val="332288"/>
            </a:solidFill>
            <a:ln>
              <a:noFill/>
            </a:ln>
            <a:effectLst/>
          </c:spPr>
          <c:invertIfNegative val="0"/>
          <c:cat>
            <c:strRef>
              <c:f>'4'!$AO$1:$AV$1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'4'!$AO$3:$AV$3</c:f>
              <c:numCache>
                <c:formatCode>General</c:formatCode>
                <c:ptCount val="8"/>
                <c:pt idx="0">
                  <c:v>34</c:v>
                </c:pt>
                <c:pt idx="1">
                  <c:v>24</c:v>
                </c:pt>
                <c:pt idx="2">
                  <c:v>5</c:v>
                </c:pt>
                <c:pt idx="3">
                  <c:v>7</c:v>
                </c:pt>
                <c:pt idx="4">
                  <c:v>37</c:v>
                </c:pt>
                <c:pt idx="5">
                  <c:v>9</c:v>
                </c:pt>
                <c:pt idx="6">
                  <c:v>7</c:v>
                </c:pt>
                <c:pt idx="7">
                  <c:v>20</c:v>
                </c:pt>
              </c:numCache>
            </c:numRef>
          </c:val>
          <c:extLst>
            <c:ext xmlns:c16="http://schemas.microsoft.com/office/drawing/2014/chart" uri="{C3380CC4-5D6E-409C-BE32-E72D297353CC}">
              <c16:uniqueId val="{00000001-6C38-4D59-8ACB-ECFE451D729D}"/>
            </c:ext>
          </c:extLst>
        </c:ser>
        <c:ser>
          <c:idx val="2"/>
          <c:order val="2"/>
          <c:tx>
            <c:strRef>
              <c:f>'4'!$AH$4</c:f>
              <c:strCache>
                <c:ptCount val="1"/>
                <c:pt idx="0">
                  <c:v>in writing</c:v>
                </c:pt>
              </c:strCache>
            </c:strRef>
          </c:tx>
          <c:spPr>
            <a:solidFill>
              <a:srgbClr val="DDCC77"/>
            </a:solidFill>
            <a:ln>
              <a:noFill/>
            </a:ln>
            <a:effectLst/>
          </c:spPr>
          <c:invertIfNegative val="0"/>
          <c:cat>
            <c:strRef>
              <c:f>'4'!$AO$1:$AV$1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'4'!$AO$4:$AV$4</c:f>
              <c:numCache>
                <c:formatCode>General</c:formatCode>
                <c:ptCount val="8"/>
                <c:pt idx="0">
                  <c:v>20</c:v>
                </c:pt>
                <c:pt idx="1">
                  <c:v>17</c:v>
                </c:pt>
                <c:pt idx="2">
                  <c:v>6</c:v>
                </c:pt>
                <c:pt idx="3">
                  <c:v>3</c:v>
                </c:pt>
                <c:pt idx="4">
                  <c:v>24</c:v>
                </c:pt>
                <c:pt idx="5">
                  <c:v>9</c:v>
                </c:pt>
                <c:pt idx="6">
                  <c:v>5</c:v>
                </c:pt>
                <c:pt idx="7">
                  <c:v>15</c:v>
                </c:pt>
              </c:numCache>
            </c:numRef>
          </c:val>
          <c:extLst>
            <c:ext xmlns:c16="http://schemas.microsoft.com/office/drawing/2014/chart" uri="{C3380CC4-5D6E-409C-BE32-E72D297353CC}">
              <c16:uniqueId val="{00000002-6C38-4D59-8ACB-ECFE451D729D}"/>
            </c:ext>
          </c:extLst>
        </c:ser>
        <c:ser>
          <c:idx val="3"/>
          <c:order val="3"/>
          <c:tx>
            <c:strRef>
              <c:f>'4'!$AH$5</c:f>
              <c:strCache>
                <c:ptCount val="1"/>
                <c:pt idx="0">
                  <c:v>phone</c:v>
                </c:pt>
              </c:strCache>
            </c:strRef>
          </c:tx>
          <c:spPr>
            <a:solidFill>
              <a:srgbClr val="117733"/>
            </a:solidFill>
            <a:ln>
              <a:noFill/>
            </a:ln>
            <a:effectLst/>
          </c:spPr>
          <c:invertIfNegative val="0"/>
          <c:cat>
            <c:strRef>
              <c:f>'4'!$AO$1:$AV$1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'4'!$AO$5:$AV$5</c:f>
              <c:numCache>
                <c:formatCode>General</c:formatCode>
                <c:ptCount val="8"/>
                <c:pt idx="0">
                  <c:v>12</c:v>
                </c:pt>
                <c:pt idx="1">
                  <c:v>19</c:v>
                </c:pt>
                <c:pt idx="2">
                  <c:v>3</c:v>
                </c:pt>
                <c:pt idx="3">
                  <c:v>3</c:v>
                </c:pt>
                <c:pt idx="4">
                  <c:v>19</c:v>
                </c:pt>
                <c:pt idx="5">
                  <c:v>6</c:v>
                </c:pt>
                <c:pt idx="6">
                  <c:v>6</c:v>
                </c:pt>
                <c:pt idx="7">
                  <c:v>9</c:v>
                </c:pt>
              </c:numCache>
            </c:numRef>
          </c:val>
          <c:extLst>
            <c:ext xmlns:c16="http://schemas.microsoft.com/office/drawing/2014/chart" uri="{C3380CC4-5D6E-409C-BE32-E72D297353CC}">
              <c16:uniqueId val="{00000003-6C38-4D59-8ACB-ECFE451D729D}"/>
            </c:ext>
          </c:extLst>
        </c:ser>
        <c:ser>
          <c:idx val="4"/>
          <c:order val="4"/>
          <c:tx>
            <c:strRef>
              <c:f>'4'!$AH$6</c:f>
              <c:strCache>
                <c:ptCount val="1"/>
                <c:pt idx="0">
                  <c:v>other</c:v>
                </c:pt>
              </c:strCache>
            </c:strRef>
          </c:tx>
          <c:spPr>
            <a:solidFill>
              <a:srgbClr val="88CCEE"/>
            </a:solidFill>
            <a:ln>
              <a:noFill/>
            </a:ln>
            <a:effectLst/>
          </c:spPr>
          <c:invertIfNegative val="0"/>
          <c:cat>
            <c:strRef>
              <c:f>'4'!$AO$1:$AV$1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'4'!$AO$6:$AV$6</c:f>
              <c:numCache>
                <c:formatCode>General</c:formatCode>
                <c:ptCount val="8"/>
                <c:pt idx="0">
                  <c:v>0</c:v>
                </c:pt>
                <c:pt idx="1">
                  <c:v>0</c:v>
                </c:pt>
                <c:pt idx="2">
                  <c:v>0</c:v>
                </c:pt>
                <c:pt idx="3">
                  <c:v>0</c:v>
                </c:pt>
                <c:pt idx="4">
                  <c:v>4</c:v>
                </c:pt>
                <c:pt idx="5">
                  <c:v>1</c:v>
                </c:pt>
                <c:pt idx="6">
                  <c:v>1</c:v>
                </c:pt>
                <c:pt idx="7">
                  <c:v>1</c:v>
                </c:pt>
              </c:numCache>
            </c:numRef>
          </c:val>
          <c:extLst>
            <c:ext xmlns:c16="http://schemas.microsoft.com/office/drawing/2014/chart" uri="{C3380CC4-5D6E-409C-BE32-E72D297353CC}">
              <c16:uniqueId val="{00000004-6C38-4D59-8ACB-ECFE451D729D}"/>
            </c:ext>
          </c:extLst>
        </c:ser>
        <c:dLbls>
          <c:showLegendKey val="0"/>
          <c:showVal val="0"/>
          <c:showCatName val="0"/>
          <c:showSerName val="0"/>
          <c:showPercent val="0"/>
          <c:showBubbleSize val="0"/>
        </c:dLbls>
        <c:gapWidth val="130"/>
        <c:overlap val="100"/>
        <c:axId val="458776520"/>
        <c:axId val="458781440"/>
      </c:barChart>
      <c:catAx>
        <c:axId val="458776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8781440"/>
        <c:crosses val="autoZero"/>
        <c:auto val="1"/>
        <c:lblAlgn val="ctr"/>
        <c:lblOffset val="100"/>
        <c:noMultiLvlLbl val="0"/>
      </c:catAx>
      <c:valAx>
        <c:axId val="458781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8776520"/>
        <c:crosses val="autoZero"/>
        <c:crossBetween val="between"/>
      </c:valAx>
      <c:spPr>
        <a:noFill/>
        <a:ln>
          <a:noFill/>
        </a:ln>
        <a:effectLst/>
      </c:spPr>
    </c:plotArea>
    <c:legend>
      <c:legendPos val="r"/>
      <c:layout>
        <c:manualLayout>
          <c:xMode val="edge"/>
          <c:yMode val="edge"/>
          <c:x val="0.85842918919773581"/>
          <c:y val="0.25165316375052293"/>
          <c:w val="0.12651056983840875"/>
          <c:h val="0.403638687293954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Experimental design involvement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'4'!$AH$2</c:f>
              <c:strCache>
                <c:ptCount val="1"/>
                <c:pt idx="0">
                  <c:v>in person</c:v>
                </c:pt>
              </c:strCache>
            </c:strRef>
          </c:tx>
          <c:spPr>
            <a:solidFill>
              <a:srgbClr val="CC6677"/>
            </a:solidFill>
            <a:ln>
              <a:noFill/>
            </a:ln>
            <a:effectLst/>
          </c:spPr>
          <c:invertIfNegative val="0"/>
          <c:cat>
            <c:strRef>
              <c:f>'4'!$AK$1:$AM$1</c:f>
              <c:strCache>
                <c:ptCount val="3"/>
                <c:pt idx="0">
                  <c:v>full-service</c:v>
                </c:pt>
                <c:pt idx="1">
                  <c:v>hybrid-service</c:v>
                </c:pt>
                <c:pt idx="2">
                  <c:v>self-service</c:v>
                </c:pt>
              </c:strCache>
            </c:strRef>
          </c:cat>
          <c:val>
            <c:numRef>
              <c:f>'4'!$AK$2:$AM$2</c:f>
              <c:numCache>
                <c:formatCode>General</c:formatCode>
                <c:ptCount val="3"/>
                <c:pt idx="0">
                  <c:v>67</c:v>
                </c:pt>
                <c:pt idx="1">
                  <c:v>158</c:v>
                </c:pt>
                <c:pt idx="2">
                  <c:v>18</c:v>
                </c:pt>
              </c:numCache>
            </c:numRef>
          </c:val>
          <c:extLst>
            <c:ext xmlns:c16="http://schemas.microsoft.com/office/drawing/2014/chart" uri="{C3380CC4-5D6E-409C-BE32-E72D297353CC}">
              <c16:uniqueId val="{00000000-666C-4FE5-8148-5122361494B4}"/>
            </c:ext>
          </c:extLst>
        </c:ser>
        <c:ser>
          <c:idx val="1"/>
          <c:order val="1"/>
          <c:tx>
            <c:strRef>
              <c:f>'4'!$AH$3</c:f>
              <c:strCache>
                <c:ptCount val="1"/>
                <c:pt idx="0">
                  <c:v>email</c:v>
                </c:pt>
              </c:strCache>
            </c:strRef>
          </c:tx>
          <c:spPr>
            <a:solidFill>
              <a:srgbClr val="332288"/>
            </a:solidFill>
            <a:ln>
              <a:noFill/>
            </a:ln>
            <a:effectLst/>
          </c:spPr>
          <c:invertIfNegative val="0"/>
          <c:cat>
            <c:strRef>
              <c:f>'4'!$AK$1:$AM$1</c:f>
              <c:strCache>
                <c:ptCount val="3"/>
                <c:pt idx="0">
                  <c:v>full-service</c:v>
                </c:pt>
                <c:pt idx="1">
                  <c:v>hybrid-service</c:v>
                </c:pt>
                <c:pt idx="2">
                  <c:v>self-service</c:v>
                </c:pt>
              </c:strCache>
            </c:strRef>
          </c:cat>
          <c:val>
            <c:numRef>
              <c:f>'4'!$AK$3:$AM$3</c:f>
              <c:numCache>
                <c:formatCode>General</c:formatCode>
                <c:ptCount val="3"/>
                <c:pt idx="0">
                  <c:v>48</c:v>
                </c:pt>
                <c:pt idx="1">
                  <c:v>115</c:v>
                </c:pt>
                <c:pt idx="2">
                  <c:v>8</c:v>
                </c:pt>
              </c:numCache>
            </c:numRef>
          </c:val>
          <c:extLst>
            <c:ext xmlns:c16="http://schemas.microsoft.com/office/drawing/2014/chart" uri="{C3380CC4-5D6E-409C-BE32-E72D297353CC}">
              <c16:uniqueId val="{00000001-666C-4FE5-8148-5122361494B4}"/>
            </c:ext>
          </c:extLst>
        </c:ser>
        <c:ser>
          <c:idx val="2"/>
          <c:order val="2"/>
          <c:tx>
            <c:strRef>
              <c:f>'4'!$AH$4</c:f>
              <c:strCache>
                <c:ptCount val="1"/>
                <c:pt idx="0">
                  <c:v>in writing</c:v>
                </c:pt>
              </c:strCache>
            </c:strRef>
          </c:tx>
          <c:spPr>
            <a:solidFill>
              <a:srgbClr val="DDCC77"/>
            </a:solidFill>
            <a:ln>
              <a:noFill/>
            </a:ln>
            <a:effectLst/>
          </c:spPr>
          <c:invertIfNegative val="0"/>
          <c:cat>
            <c:strRef>
              <c:f>'4'!$AK$1:$AM$1</c:f>
              <c:strCache>
                <c:ptCount val="3"/>
                <c:pt idx="0">
                  <c:v>full-service</c:v>
                </c:pt>
                <c:pt idx="1">
                  <c:v>hybrid-service</c:v>
                </c:pt>
                <c:pt idx="2">
                  <c:v>self-service</c:v>
                </c:pt>
              </c:strCache>
            </c:strRef>
          </c:cat>
          <c:val>
            <c:numRef>
              <c:f>'4'!$AK$4:$AM$4</c:f>
              <c:numCache>
                <c:formatCode>General</c:formatCode>
                <c:ptCount val="3"/>
                <c:pt idx="0">
                  <c:v>39</c:v>
                </c:pt>
                <c:pt idx="1">
                  <c:v>76</c:v>
                </c:pt>
                <c:pt idx="2">
                  <c:v>3</c:v>
                </c:pt>
              </c:numCache>
            </c:numRef>
          </c:val>
          <c:extLst>
            <c:ext xmlns:c16="http://schemas.microsoft.com/office/drawing/2014/chart" uri="{C3380CC4-5D6E-409C-BE32-E72D297353CC}">
              <c16:uniqueId val="{00000002-666C-4FE5-8148-5122361494B4}"/>
            </c:ext>
          </c:extLst>
        </c:ser>
        <c:ser>
          <c:idx val="3"/>
          <c:order val="3"/>
          <c:tx>
            <c:strRef>
              <c:f>'4'!$AH$5</c:f>
              <c:strCache>
                <c:ptCount val="1"/>
                <c:pt idx="0">
                  <c:v>phone</c:v>
                </c:pt>
              </c:strCache>
            </c:strRef>
          </c:tx>
          <c:spPr>
            <a:solidFill>
              <a:srgbClr val="117733"/>
            </a:solidFill>
            <a:ln>
              <a:noFill/>
            </a:ln>
            <a:effectLst/>
          </c:spPr>
          <c:invertIfNegative val="0"/>
          <c:cat>
            <c:strRef>
              <c:f>'4'!$AK$1:$AM$1</c:f>
              <c:strCache>
                <c:ptCount val="3"/>
                <c:pt idx="0">
                  <c:v>full-service</c:v>
                </c:pt>
                <c:pt idx="1">
                  <c:v>hybrid-service</c:v>
                </c:pt>
                <c:pt idx="2">
                  <c:v>self-service</c:v>
                </c:pt>
              </c:strCache>
            </c:strRef>
          </c:cat>
          <c:val>
            <c:numRef>
              <c:f>'4'!$AK$5:$AM$5</c:f>
              <c:numCache>
                <c:formatCode>General</c:formatCode>
                <c:ptCount val="3"/>
                <c:pt idx="0">
                  <c:v>31</c:v>
                </c:pt>
                <c:pt idx="1">
                  <c:v>65</c:v>
                </c:pt>
                <c:pt idx="2">
                  <c:v>0</c:v>
                </c:pt>
              </c:numCache>
            </c:numRef>
          </c:val>
          <c:extLst>
            <c:ext xmlns:c16="http://schemas.microsoft.com/office/drawing/2014/chart" uri="{C3380CC4-5D6E-409C-BE32-E72D297353CC}">
              <c16:uniqueId val="{00000003-666C-4FE5-8148-5122361494B4}"/>
            </c:ext>
          </c:extLst>
        </c:ser>
        <c:ser>
          <c:idx val="4"/>
          <c:order val="4"/>
          <c:tx>
            <c:strRef>
              <c:f>'4'!$AH$6</c:f>
              <c:strCache>
                <c:ptCount val="1"/>
                <c:pt idx="0">
                  <c:v>other</c:v>
                </c:pt>
              </c:strCache>
            </c:strRef>
          </c:tx>
          <c:spPr>
            <a:solidFill>
              <a:srgbClr val="88CCEE"/>
            </a:solidFill>
            <a:ln>
              <a:noFill/>
            </a:ln>
            <a:effectLst/>
          </c:spPr>
          <c:invertIfNegative val="0"/>
          <c:cat>
            <c:strRef>
              <c:f>'4'!$AK$1:$AM$1</c:f>
              <c:strCache>
                <c:ptCount val="3"/>
                <c:pt idx="0">
                  <c:v>full-service</c:v>
                </c:pt>
                <c:pt idx="1">
                  <c:v>hybrid-service</c:v>
                </c:pt>
                <c:pt idx="2">
                  <c:v>self-service</c:v>
                </c:pt>
              </c:strCache>
            </c:strRef>
          </c:cat>
          <c:val>
            <c:numRef>
              <c:f>'4'!$AK$6:$AM$6</c:f>
              <c:numCache>
                <c:formatCode>General</c:formatCode>
                <c:ptCount val="3"/>
                <c:pt idx="0">
                  <c:v>2</c:v>
                </c:pt>
                <c:pt idx="1">
                  <c:v>4</c:v>
                </c:pt>
                <c:pt idx="2">
                  <c:v>2</c:v>
                </c:pt>
              </c:numCache>
            </c:numRef>
          </c:val>
          <c:extLst>
            <c:ext xmlns:c16="http://schemas.microsoft.com/office/drawing/2014/chart" uri="{C3380CC4-5D6E-409C-BE32-E72D297353CC}">
              <c16:uniqueId val="{00000004-666C-4FE5-8148-5122361494B4}"/>
            </c:ext>
          </c:extLst>
        </c:ser>
        <c:dLbls>
          <c:showLegendKey val="0"/>
          <c:showVal val="0"/>
          <c:showCatName val="0"/>
          <c:showSerName val="0"/>
          <c:showPercent val="0"/>
          <c:showBubbleSize val="0"/>
        </c:dLbls>
        <c:gapWidth val="130"/>
        <c:overlap val="100"/>
        <c:axId val="617351672"/>
        <c:axId val="617353640"/>
      </c:barChart>
      <c:catAx>
        <c:axId val="617351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353640"/>
        <c:crosses val="autoZero"/>
        <c:auto val="1"/>
        <c:lblAlgn val="ctr"/>
        <c:lblOffset val="100"/>
        <c:noMultiLvlLbl val="0"/>
      </c:catAx>
      <c:valAx>
        <c:axId val="617353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351672"/>
        <c:crosses val="autoZero"/>
        <c:crossBetween val="between"/>
      </c:valAx>
      <c:spPr>
        <a:noFill/>
        <a:ln>
          <a:noFill/>
        </a:ln>
        <a:effectLst/>
      </c:spPr>
    </c:plotArea>
    <c:legend>
      <c:legendPos val="r"/>
      <c:layout>
        <c:manualLayout>
          <c:xMode val="edge"/>
          <c:yMode val="edge"/>
          <c:x val="0.76222984692472884"/>
          <c:y val="0.29697943854867626"/>
          <c:w val="0.22028763559275372"/>
          <c:h val="0.402684585389940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Involved in experimental design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'4'!$R$2</c:f>
              <c:strCache>
                <c:ptCount val="1"/>
                <c:pt idx="0">
                  <c:v>No</c:v>
                </c:pt>
              </c:strCache>
            </c:strRef>
          </c:tx>
          <c:spPr>
            <a:solidFill>
              <a:srgbClr val="FF0000"/>
            </a:solidFill>
            <a:ln>
              <a:noFill/>
            </a:ln>
            <a:effectLst/>
          </c:spPr>
          <c:invertIfNegative val="0"/>
          <c:cat>
            <c:strRef>
              <c:f>'4'!$U$1:$W$1</c:f>
              <c:strCache>
                <c:ptCount val="3"/>
                <c:pt idx="0">
                  <c:v>full-service</c:v>
                </c:pt>
                <c:pt idx="1">
                  <c:v>hybrid-service</c:v>
                </c:pt>
                <c:pt idx="2">
                  <c:v>self-service</c:v>
                </c:pt>
              </c:strCache>
            </c:strRef>
          </c:cat>
          <c:val>
            <c:numRef>
              <c:f>'4'!$U$2:$W$2</c:f>
              <c:numCache>
                <c:formatCode>General</c:formatCode>
                <c:ptCount val="3"/>
                <c:pt idx="0">
                  <c:v>1</c:v>
                </c:pt>
                <c:pt idx="1">
                  <c:v>2</c:v>
                </c:pt>
                <c:pt idx="2">
                  <c:v>1</c:v>
                </c:pt>
              </c:numCache>
            </c:numRef>
          </c:val>
          <c:extLst>
            <c:ext xmlns:c16="http://schemas.microsoft.com/office/drawing/2014/chart" uri="{C3380CC4-5D6E-409C-BE32-E72D297353CC}">
              <c16:uniqueId val="{00000000-2084-441D-902D-9FAFB31D6837}"/>
            </c:ext>
          </c:extLst>
        </c:ser>
        <c:ser>
          <c:idx val="1"/>
          <c:order val="1"/>
          <c:tx>
            <c:strRef>
              <c:f>'4'!$R$3</c:f>
              <c:strCache>
                <c:ptCount val="1"/>
                <c:pt idx="0">
                  <c:v>Yes, we provide information</c:v>
                </c:pt>
              </c:strCache>
            </c:strRef>
          </c:tx>
          <c:spPr>
            <a:solidFill>
              <a:schemeClr val="accent5">
                <a:lumMod val="60000"/>
                <a:lumOff val="40000"/>
              </a:schemeClr>
            </a:solidFill>
            <a:ln>
              <a:noFill/>
            </a:ln>
            <a:effectLst/>
          </c:spPr>
          <c:invertIfNegative val="0"/>
          <c:cat>
            <c:strRef>
              <c:f>'4'!$U$1:$W$1</c:f>
              <c:strCache>
                <c:ptCount val="3"/>
                <c:pt idx="0">
                  <c:v>full-service</c:v>
                </c:pt>
                <c:pt idx="1">
                  <c:v>hybrid-service</c:v>
                </c:pt>
                <c:pt idx="2">
                  <c:v>self-service</c:v>
                </c:pt>
              </c:strCache>
            </c:strRef>
          </c:cat>
          <c:val>
            <c:numRef>
              <c:f>'4'!$U$3:$W$3</c:f>
              <c:numCache>
                <c:formatCode>General</c:formatCode>
                <c:ptCount val="3"/>
                <c:pt idx="0">
                  <c:v>22</c:v>
                </c:pt>
                <c:pt idx="1">
                  <c:v>66</c:v>
                </c:pt>
                <c:pt idx="2">
                  <c:v>20</c:v>
                </c:pt>
              </c:numCache>
            </c:numRef>
          </c:val>
          <c:extLst>
            <c:ext xmlns:c16="http://schemas.microsoft.com/office/drawing/2014/chart" uri="{C3380CC4-5D6E-409C-BE32-E72D297353CC}">
              <c16:uniqueId val="{00000001-2084-441D-902D-9FAFB31D6837}"/>
            </c:ext>
          </c:extLst>
        </c:ser>
        <c:ser>
          <c:idx val="2"/>
          <c:order val="2"/>
          <c:tx>
            <c:strRef>
              <c:f>'4'!$R$4</c:f>
              <c:strCache>
                <c:ptCount val="1"/>
                <c:pt idx="0">
                  <c:v>Yes, we are actively involved</c:v>
                </c:pt>
              </c:strCache>
            </c:strRef>
          </c:tx>
          <c:spPr>
            <a:solidFill>
              <a:srgbClr val="0070C0"/>
            </a:solidFill>
            <a:ln>
              <a:noFill/>
            </a:ln>
            <a:effectLst/>
          </c:spPr>
          <c:invertIfNegative val="0"/>
          <c:cat>
            <c:strRef>
              <c:f>'4'!$U$1:$W$1</c:f>
              <c:strCache>
                <c:ptCount val="3"/>
                <c:pt idx="0">
                  <c:v>full-service</c:v>
                </c:pt>
                <c:pt idx="1">
                  <c:v>hybrid-service</c:v>
                </c:pt>
                <c:pt idx="2">
                  <c:v>self-service</c:v>
                </c:pt>
              </c:strCache>
            </c:strRef>
          </c:cat>
          <c:val>
            <c:numRef>
              <c:f>'4'!$U$4:$W$4</c:f>
              <c:numCache>
                <c:formatCode>General</c:formatCode>
                <c:ptCount val="3"/>
                <c:pt idx="0">
                  <c:v>50</c:v>
                </c:pt>
                <c:pt idx="1">
                  <c:v>107</c:v>
                </c:pt>
                <c:pt idx="2">
                  <c:v>7</c:v>
                </c:pt>
              </c:numCache>
            </c:numRef>
          </c:val>
          <c:extLst>
            <c:ext xmlns:c16="http://schemas.microsoft.com/office/drawing/2014/chart" uri="{C3380CC4-5D6E-409C-BE32-E72D297353CC}">
              <c16:uniqueId val="{00000002-2084-441D-902D-9FAFB31D6837}"/>
            </c:ext>
          </c:extLst>
        </c:ser>
        <c:dLbls>
          <c:showLegendKey val="0"/>
          <c:showVal val="0"/>
          <c:showCatName val="0"/>
          <c:showSerName val="0"/>
          <c:showPercent val="0"/>
          <c:showBubbleSize val="0"/>
        </c:dLbls>
        <c:gapWidth val="130"/>
        <c:overlap val="100"/>
        <c:axId val="458785704"/>
        <c:axId val="458786032"/>
      </c:barChart>
      <c:catAx>
        <c:axId val="458785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8786032"/>
        <c:crosses val="autoZero"/>
        <c:auto val="1"/>
        <c:lblAlgn val="ctr"/>
        <c:lblOffset val="100"/>
        <c:noMultiLvlLbl val="0"/>
      </c:catAx>
      <c:valAx>
        <c:axId val="458786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8785704"/>
        <c:crosses val="autoZero"/>
        <c:crossBetween val="between"/>
      </c:valAx>
      <c:spPr>
        <a:noFill/>
        <a:ln>
          <a:noFill/>
        </a:ln>
        <a:effectLst/>
      </c:spPr>
    </c:plotArea>
    <c:legend>
      <c:legendPos val="r"/>
      <c:layout>
        <c:manualLayout>
          <c:xMode val="edge"/>
          <c:yMode val="edge"/>
          <c:x val="0.62374821173104444"/>
          <c:y val="0.25994375177156154"/>
          <c:w val="0.34763948497854075"/>
          <c:h val="0.482735723771580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knows what controls are included</a:t>
            </a:r>
          </a:p>
          <a:p>
            <a:pPr>
              <a:defRPr/>
            </a:pPr>
            <a:r>
              <a:rPr lang="en-GB"/>
              <a:t>CF knows how samples are prepared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'5'!$Y$1</c:f>
              <c:strCache>
                <c:ptCount val="1"/>
                <c:pt idx="0">
                  <c:v>control</c:v>
                </c:pt>
              </c:strCache>
            </c:strRef>
          </c:tx>
          <c:spPr>
            <a:solidFill>
              <a:srgbClr val="228833"/>
            </a:solidFill>
            <a:ln>
              <a:noFill/>
            </a:ln>
            <a:effectLst/>
          </c:spPr>
          <c:invertIfNegative val="0"/>
          <c:cat>
            <c:strRef>
              <c:f>'5'!$X$2:$X$6</c:f>
              <c:strCache>
                <c:ptCount val="5"/>
                <c:pt idx="0">
                  <c:v>never</c:v>
                </c:pt>
                <c:pt idx="1">
                  <c:v>rarely</c:v>
                </c:pt>
                <c:pt idx="2">
                  <c:v>sometimes</c:v>
                </c:pt>
                <c:pt idx="3">
                  <c:v>often</c:v>
                </c:pt>
                <c:pt idx="4">
                  <c:v>always</c:v>
                </c:pt>
              </c:strCache>
            </c:strRef>
          </c:cat>
          <c:val>
            <c:numRef>
              <c:f>'5'!$Y$2:$Y$6</c:f>
              <c:numCache>
                <c:formatCode>General</c:formatCode>
                <c:ptCount val="5"/>
                <c:pt idx="0">
                  <c:v>3</c:v>
                </c:pt>
                <c:pt idx="1">
                  <c:v>15</c:v>
                </c:pt>
                <c:pt idx="2">
                  <c:v>88</c:v>
                </c:pt>
                <c:pt idx="3">
                  <c:v>94</c:v>
                </c:pt>
                <c:pt idx="4">
                  <c:v>75</c:v>
                </c:pt>
              </c:numCache>
            </c:numRef>
          </c:val>
          <c:extLst>
            <c:ext xmlns:c16="http://schemas.microsoft.com/office/drawing/2014/chart" uri="{C3380CC4-5D6E-409C-BE32-E72D297353CC}">
              <c16:uniqueId val="{00000000-1694-4A15-922D-C9F192DC6882}"/>
            </c:ext>
          </c:extLst>
        </c:ser>
        <c:ser>
          <c:idx val="1"/>
          <c:order val="1"/>
          <c:tx>
            <c:strRef>
              <c:f>'5'!$AN$1</c:f>
              <c:strCache>
                <c:ptCount val="1"/>
                <c:pt idx="0">
                  <c:v>sample</c:v>
                </c:pt>
              </c:strCache>
            </c:strRef>
          </c:tx>
          <c:spPr>
            <a:solidFill>
              <a:srgbClr val="EE6677"/>
            </a:solidFill>
            <a:ln>
              <a:noFill/>
            </a:ln>
            <a:effectLst/>
          </c:spPr>
          <c:invertIfNegative val="0"/>
          <c:cat>
            <c:strRef>
              <c:f>'5'!$X$2:$X$6</c:f>
              <c:strCache>
                <c:ptCount val="5"/>
                <c:pt idx="0">
                  <c:v>never</c:v>
                </c:pt>
                <c:pt idx="1">
                  <c:v>rarely</c:v>
                </c:pt>
                <c:pt idx="2">
                  <c:v>sometimes</c:v>
                </c:pt>
                <c:pt idx="3">
                  <c:v>often</c:v>
                </c:pt>
                <c:pt idx="4">
                  <c:v>always</c:v>
                </c:pt>
              </c:strCache>
            </c:strRef>
          </c:cat>
          <c:val>
            <c:numRef>
              <c:f>'5'!$AN$2:$AN$6</c:f>
              <c:numCache>
                <c:formatCode>General</c:formatCode>
                <c:ptCount val="5"/>
                <c:pt idx="0">
                  <c:v>3</c:v>
                </c:pt>
                <c:pt idx="1">
                  <c:v>15</c:v>
                </c:pt>
                <c:pt idx="2">
                  <c:v>83</c:v>
                </c:pt>
                <c:pt idx="3">
                  <c:v>113</c:v>
                </c:pt>
                <c:pt idx="4">
                  <c:v>61</c:v>
                </c:pt>
              </c:numCache>
            </c:numRef>
          </c:val>
          <c:extLst>
            <c:ext xmlns:c16="http://schemas.microsoft.com/office/drawing/2014/chart" uri="{C3380CC4-5D6E-409C-BE32-E72D297353CC}">
              <c16:uniqueId val="{00000001-1694-4A15-922D-C9F192DC6882}"/>
            </c:ext>
          </c:extLst>
        </c:ser>
        <c:dLbls>
          <c:showLegendKey val="0"/>
          <c:showVal val="0"/>
          <c:showCatName val="0"/>
          <c:showSerName val="0"/>
          <c:showPercent val="0"/>
          <c:showBubbleSize val="0"/>
        </c:dLbls>
        <c:gapWidth val="130"/>
        <c:overlap val="-27"/>
        <c:axId val="361167032"/>
        <c:axId val="361166376"/>
      </c:barChart>
      <c:catAx>
        <c:axId val="36116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1166376"/>
        <c:crosses val="autoZero"/>
        <c:auto val="1"/>
        <c:lblAlgn val="ctr"/>
        <c:lblOffset val="100"/>
        <c:noMultiLvlLbl val="0"/>
      </c:catAx>
      <c:valAx>
        <c:axId val="361166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1167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provides information</a:t>
            </a:r>
          </a:p>
          <a:p>
            <a:pPr>
              <a:defRPr/>
            </a:pPr>
            <a:r>
              <a:rPr lang="en-GB" baseline="0"/>
              <a:t> </a:t>
            </a:r>
            <a:r>
              <a:rPr lang="en-GB"/>
              <a:t>on sample preparation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694-45A5-AA3F-4104446C455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9694-45A5-AA3F-4104446C455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'5'!$H$2:$H$3</c:f>
              <c:strCache>
                <c:ptCount val="2"/>
                <c:pt idx="0">
                  <c:v>Yes</c:v>
                </c:pt>
                <c:pt idx="1">
                  <c:v>No</c:v>
                </c:pt>
              </c:strCache>
            </c:strRef>
          </c:cat>
          <c:val>
            <c:numRef>
              <c:f>'5'!$I$2:$I$3</c:f>
              <c:numCache>
                <c:formatCode>General</c:formatCode>
                <c:ptCount val="2"/>
                <c:pt idx="0">
                  <c:v>263</c:v>
                </c:pt>
                <c:pt idx="1">
                  <c:v>12</c:v>
                </c:pt>
              </c:numCache>
            </c:numRef>
          </c:val>
          <c:extLst>
            <c:ext xmlns:c16="http://schemas.microsoft.com/office/drawing/2014/chart" uri="{C3380CC4-5D6E-409C-BE32-E72D297353CC}">
              <c16:uniqueId val="{00000004-9694-45A5-AA3F-4104446C455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User can proceed with poor samples</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'5'!$BB$2:$BB$6</c:f>
              <c:strCache>
                <c:ptCount val="5"/>
                <c:pt idx="0">
                  <c:v>never</c:v>
                </c:pt>
                <c:pt idx="1">
                  <c:v>rarely</c:v>
                </c:pt>
                <c:pt idx="2">
                  <c:v>sometimes</c:v>
                </c:pt>
                <c:pt idx="3">
                  <c:v>often</c:v>
                </c:pt>
                <c:pt idx="4">
                  <c:v>always</c:v>
                </c:pt>
              </c:strCache>
            </c:strRef>
          </c:cat>
          <c:val>
            <c:numRef>
              <c:f>'5'!$BC$2:$BC$6</c:f>
              <c:numCache>
                <c:formatCode>General</c:formatCode>
                <c:ptCount val="5"/>
                <c:pt idx="0">
                  <c:v>25</c:v>
                </c:pt>
                <c:pt idx="1">
                  <c:v>81</c:v>
                </c:pt>
                <c:pt idx="2">
                  <c:v>74</c:v>
                </c:pt>
                <c:pt idx="3">
                  <c:v>19</c:v>
                </c:pt>
                <c:pt idx="4">
                  <c:v>16</c:v>
                </c:pt>
              </c:numCache>
            </c:numRef>
          </c:val>
          <c:extLst>
            <c:ext xmlns:c16="http://schemas.microsoft.com/office/drawing/2014/chart" uri="{C3380CC4-5D6E-409C-BE32-E72D297353CC}">
              <c16:uniqueId val="{00000000-A554-465D-BF37-B7A3CC3B5052}"/>
            </c:ext>
          </c:extLst>
        </c:ser>
        <c:dLbls>
          <c:showLegendKey val="0"/>
          <c:showVal val="0"/>
          <c:showCatName val="0"/>
          <c:showSerName val="0"/>
          <c:showPercent val="0"/>
          <c:showBubbleSize val="0"/>
        </c:dLbls>
        <c:gapWidth val="130"/>
        <c:overlap val="-27"/>
        <c:axId val="495422832"/>
        <c:axId val="495418240"/>
      </c:barChart>
      <c:catAx>
        <c:axId val="49542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5418240"/>
        <c:crosses val="autoZero"/>
        <c:auto val="1"/>
        <c:lblAlgn val="ctr"/>
        <c:lblOffset val="100"/>
        <c:noMultiLvlLbl val="0"/>
      </c:catAx>
      <c:valAx>
        <c:axId val="49541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5422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Data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'1'!$AA$2</c:f>
              <c:strCache>
                <c:ptCount val="1"/>
                <c:pt idx="0">
                  <c:v>&lt; 1MB</c:v>
                </c:pt>
              </c:strCache>
            </c:strRef>
          </c:tx>
          <c:spPr>
            <a:solidFill>
              <a:schemeClr val="accent4"/>
            </a:solidFill>
            <a:ln>
              <a:noFill/>
            </a:ln>
            <a:effectLst/>
          </c:spPr>
          <c:invertIfNegative val="0"/>
          <c:cat>
            <c:strRef>
              <c:f>'1'!$AC$1:$AJ$1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'1'!$AC$2:$AJ$2</c:f>
              <c:numCache>
                <c:formatCode>General</c:formatCode>
                <c:ptCount val="8"/>
                <c:pt idx="0">
                  <c:v>0</c:v>
                </c:pt>
                <c:pt idx="1">
                  <c:v>1</c:v>
                </c:pt>
                <c:pt idx="2">
                  <c:v>0</c:v>
                </c:pt>
                <c:pt idx="3">
                  <c:v>0</c:v>
                </c:pt>
                <c:pt idx="4">
                  <c:v>0</c:v>
                </c:pt>
                <c:pt idx="5">
                  <c:v>1</c:v>
                </c:pt>
                <c:pt idx="6">
                  <c:v>1</c:v>
                </c:pt>
                <c:pt idx="7">
                  <c:v>0</c:v>
                </c:pt>
              </c:numCache>
            </c:numRef>
          </c:val>
          <c:extLst>
            <c:ext xmlns:c16="http://schemas.microsoft.com/office/drawing/2014/chart" uri="{C3380CC4-5D6E-409C-BE32-E72D297353CC}">
              <c16:uniqueId val="{00000000-F2D8-4BE2-A92F-DBC960BA482B}"/>
            </c:ext>
          </c:extLst>
        </c:ser>
        <c:ser>
          <c:idx val="1"/>
          <c:order val="1"/>
          <c:tx>
            <c:strRef>
              <c:f>'1'!$AA$3</c:f>
              <c:strCache>
                <c:ptCount val="1"/>
                <c:pt idx="0">
                  <c:v>1-1000 MB</c:v>
                </c:pt>
              </c:strCache>
            </c:strRef>
          </c:tx>
          <c:spPr>
            <a:solidFill>
              <a:srgbClr val="FF9900"/>
            </a:solidFill>
            <a:ln>
              <a:noFill/>
            </a:ln>
            <a:effectLst/>
          </c:spPr>
          <c:invertIfNegative val="0"/>
          <c:cat>
            <c:strRef>
              <c:f>'1'!$AC$1:$AJ$1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'1'!$AC$3:$AJ$3</c:f>
              <c:numCache>
                <c:formatCode>General</c:formatCode>
                <c:ptCount val="8"/>
                <c:pt idx="0">
                  <c:v>8</c:v>
                </c:pt>
                <c:pt idx="1">
                  <c:v>5</c:v>
                </c:pt>
                <c:pt idx="2">
                  <c:v>1</c:v>
                </c:pt>
                <c:pt idx="3">
                  <c:v>2</c:v>
                </c:pt>
                <c:pt idx="4">
                  <c:v>3</c:v>
                </c:pt>
                <c:pt idx="5">
                  <c:v>2</c:v>
                </c:pt>
                <c:pt idx="6">
                  <c:v>3</c:v>
                </c:pt>
                <c:pt idx="7">
                  <c:v>1</c:v>
                </c:pt>
              </c:numCache>
            </c:numRef>
          </c:val>
          <c:extLst>
            <c:ext xmlns:c16="http://schemas.microsoft.com/office/drawing/2014/chart" uri="{C3380CC4-5D6E-409C-BE32-E72D297353CC}">
              <c16:uniqueId val="{00000001-F2D8-4BE2-A92F-DBC960BA482B}"/>
            </c:ext>
          </c:extLst>
        </c:ser>
        <c:ser>
          <c:idx val="2"/>
          <c:order val="2"/>
          <c:tx>
            <c:strRef>
              <c:f>'1'!$AA$4</c:f>
              <c:strCache>
                <c:ptCount val="1"/>
                <c:pt idx="0">
                  <c:v>1-1000 GB</c:v>
                </c:pt>
              </c:strCache>
            </c:strRef>
          </c:tx>
          <c:spPr>
            <a:solidFill>
              <a:srgbClr val="FF3300"/>
            </a:solidFill>
            <a:ln>
              <a:noFill/>
            </a:ln>
            <a:effectLst/>
          </c:spPr>
          <c:invertIfNegative val="0"/>
          <c:cat>
            <c:strRef>
              <c:f>'1'!$AC$1:$AJ$1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'1'!$AC$4:$AJ$4</c:f>
              <c:numCache>
                <c:formatCode>General</c:formatCode>
                <c:ptCount val="8"/>
                <c:pt idx="0">
                  <c:v>25</c:v>
                </c:pt>
                <c:pt idx="1">
                  <c:v>8</c:v>
                </c:pt>
                <c:pt idx="2">
                  <c:v>1</c:v>
                </c:pt>
                <c:pt idx="3">
                  <c:v>4</c:v>
                </c:pt>
                <c:pt idx="4">
                  <c:v>24</c:v>
                </c:pt>
                <c:pt idx="5">
                  <c:v>4</c:v>
                </c:pt>
                <c:pt idx="6">
                  <c:v>2</c:v>
                </c:pt>
                <c:pt idx="7">
                  <c:v>18</c:v>
                </c:pt>
              </c:numCache>
            </c:numRef>
          </c:val>
          <c:extLst>
            <c:ext xmlns:c16="http://schemas.microsoft.com/office/drawing/2014/chart" uri="{C3380CC4-5D6E-409C-BE32-E72D297353CC}">
              <c16:uniqueId val="{00000002-F2D8-4BE2-A92F-DBC960BA482B}"/>
            </c:ext>
          </c:extLst>
        </c:ser>
        <c:ser>
          <c:idx val="3"/>
          <c:order val="3"/>
          <c:tx>
            <c:strRef>
              <c:f>'1'!$AA$5</c:f>
              <c:strCache>
                <c:ptCount val="1"/>
                <c:pt idx="0">
                  <c:v>1-1000 TB</c:v>
                </c:pt>
              </c:strCache>
            </c:strRef>
          </c:tx>
          <c:spPr>
            <a:solidFill>
              <a:srgbClr val="C00000"/>
            </a:solidFill>
            <a:ln>
              <a:noFill/>
            </a:ln>
            <a:effectLst/>
          </c:spPr>
          <c:invertIfNegative val="0"/>
          <c:cat>
            <c:strRef>
              <c:f>'1'!$AC$1:$AJ$1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'1'!$AC$5:$AJ$5</c:f>
              <c:numCache>
                <c:formatCode>General</c:formatCode>
                <c:ptCount val="8"/>
                <c:pt idx="0">
                  <c:v>7</c:v>
                </c:pt>
                <c:pt idx="1">
                  <c:v>17</c:v>
                </c:pt>
                <c:pt idx="2">
                  <c:v>2</c:v>
                </c:pt>
                <c:pt idx="3">
                  <c:v>2</c:v>
                </c:pt>
                <c:pt idx="4">
                  <c:v>34</c:v>
                </c:pt>
                <c:pt idx="5">
                  <c:v>1</c:v>
                </c:pt>
                <c:pt idx="6">
                  <c:v>0</c:v>
                </c:pt>
                <c:pt idx="7">
                  <c:v>15</c:v>
                </c:pt>
              </c:numCache>
            </c:numRef>
          </c:val>
          <c:extLst>
            <c:ext xmlns:c16="http://schemas.microsoft.com/office/drawing/2014/chart" uri="{C3380CC4-5D6E-409C-BE32-E72D297353CC}">
              <c16:uniqueId val="{00000003-F2D8-4BE2-A92F-DBC960BA482B}"/>
            </c:ext>
          </c:extLst>
        </c:ser>
        <c:ser>
          <c:idx val="4"/>
          <c:order val="4"/>
          <c:tx>
            <c:strRef>
              <c:f>'1'!$AA$6</c:f>
              <c:strCache>
                <c:ptCount val="1"/>
                <c:pt idx="0">
                  <c:v>I don’t know</c:v>
                </c:pt>
              </c:strCache>
            </c:strRef>
          </c:tx>
          <c:spPr>
            <a:solidFill>
              <a:schemeClr val="bg1">
                <a:lumMod val="65000"/>
              </a:schemeClr>
            </a:solidFill>
            <a:ln>
              <a:noFill/>
            </a:ln>
            <a:effectLst/>
          </c:spPr>
          <c:invertIfNegative val="0"/>
          <c:cat>
            <c:strRef>
              <c:f>'1'!$AC$1:$AJ$1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'1'!$AC$6:$AJ$6</c:f>
              <c:numCache>
                <c:formatCode>General</c:formatCode>
                <c:ptCount val="8"/>
                <c:pt idx="0">
                  <c:v>10</c:v>
                </c:pt>
                <c:pt idx="1">
                  <c:v>2</c:v>
                </c:pt>
                <c:pt idx="2">
                  <c:v>7</c:v>
                </c:pt>
                <c:pt idx="3">
                  <c:v>0</c:v>
                </c:pt>
                <c:pt idx="4">
                  <c:v>2</c:v>
                </c:pt>
                <c:pt idx="5">
                  <c:v>8</c:v>
                </c:pt>
                <c:pt idx="6">
                  <c:v>2</c:v>
                </c:pt>
                <c:pt idx="7">
                  <c:v>1</c:v>
                </c:pt>
              </c:numCache>
            </c:numRef>
          </c:val>
          <c:extLst>
            <c:ext xmlns:c16="http://schemas.microsoft.com/office/drawing/2014/chart" uri="{C3380CC4-5D6E-409C-BE32-E72D297353CC}">
              <c16:uniqueId val="{00000004-F2D8-4BE2-A92F-DBC960BA482B}"/>
            </c:ext>
          </c:extLst>
        </c:ser>
        <c:dLbls>
          <c:showLegendKey val="0"/>
          <c:showVal val="0"/>
          <c:showCatName val="0"/>
          <c:showSerName val="0"/>
          <c:showPercent val="0"/>
          <c:showBubbleSize val="0"/>
        </c:dLbls>
        <c:gapWidth val="130"/>
        <c:overlap val="100"/>
        <c:axId val="452335744"/>
        <c:axId val="452335088"/>
      </c:barChart>
      <c:catAx>
        <c:axId val="45233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2335088"/>
        <c:crosses val="autoZero"/>
        <c:auto val="1"/>
        <c:lblAlgn val="ctr"/>
        <c:lblOffset val="100"/>
        <c:noMultiLvlLbl val="0"/>
      </c:catAx>
      <c:valAx>
        <c:axId val="45233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523357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knows what controls are included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22199486163972584"/>
          <c:y val="0.18993308745763229"/>
          <c:w val="0.4833346738920859"/>
          <c:h val="0.55316491452894834"/>
        </c:manualLayout>
      </c:layout>
      <c:barChart>
        <c:barDir val="col"/>
        <c:grouping val="percentStacked"/>
        <c:varyColors val="0"/>
        <c:ser>
          <c:idx val="4"/>
          <c:order val="0"/>
          <c:tx>
            <c:strRef>
              <c:f>'5'!$X$6</c:f>
              <c:strCache>
                <c:ptCount val="1"/>
                <c:pt idx="0">
                  <c:v>always</c:v>
                </c:pt>
              </c:strCache>
            </c:strRef>
          </c:tx>
          <c:spPr>
            <a:solidFill>
              <a:schemeClr val="accent1"/>
            </a:solidFill>
            <a:ln>
              <a:noFill/>
            </a:ln>
            <a:effectLst/>
          </c:spPr>
          <c:invertIfNegative val="0"/>
          <c:cat>
            <c:strRef>
              <c:f>'5'!$Z$1:$AB$1</c:f>
              <c:strCache>
                <c:ptCount val="3"/>
                <c:pt idx="0">
                  <c:v>full-service</c:v>
                </c:pt>
                <c:pt idx="1">
                  <c:v>hybrid-service</c:v>
                </c:pt>
                <c:pt idx="2">
                  <c:v>self-service</c:v>
                </c:pt>
              </c:strCache>
            </c:strRef>
          </c:cat>
          <c:val>
            <c:numRef>
              <c:f>'5'!$Z$6:$AB$6</c:f>
              <c:numCache>
                <c:formatCode>General</c:formatCode>
                <c:ptCount val="3"/>
                <c:pt idx="0">
                  <c:v>28</c:v>
                </c:pt>
                <c:pt idx="1">
                  <c:v>47</c:v>
                </c:pt>
                <c:pt idx="2">
                  <c:v>0</c:v>
                </c:pt>
              </c:numCache>
            </c:numRef>
          </c:val>
          <c:extLst>
            <c:ext xmlns:c16="http://schemas.microsoft.com/office/drawing/2014/chart" uri="{C3380CC4-5D6E-409C-BE32-E72D297353CC}">
              <c16:uniqueId val="{00000001-53C2-40E0-AC3D-6479A59D237B}"/>
            </c:ext>
          </c:extLst>
        </c:ser>
        <c:ser>
          <c:idx val="3"/>
          <c:order val="1"/>
          <c:tx>
            <c:strRef>
              <c:f>'5'!$X$5</c:f>
              <c:strCache>
                <c:ptCount val="1"/>
                <c:pt idx="0">
                  <c:v>often</c:v>
                </c:pt>
              </c:strCache>
            </c:strRef>
          </c:tx>
          <c:spPr>
            <a:solidFill>
              <a:schemeClr val="accent5">
                <a:lumMod val="40000"/>
                <a:lumOff val="60000"/>
              </a:schemeClr>
            </a:solidFill>
            <a:ln>
              <a:noFill/>
            </a:ln>
            <a:effectLst/>
          </c:spPr>
          <c:invertIfNegative val="0"/>
          <c:cat>
            <c:strRef>
              <c:f>'5'!$Z$1:$AB$1</c:f>
              <c:strCache>
                <c:ptCount val="3"/>
                <c:pt idx="0">
                  <c:v>full-service</c:v>
                </c:pt>
                <c:pt idx="1">
                  <c:v>hybrid-service</c:v>
                </c:pt>
                <c:pt idx="2">
                  <c:v>self-service</c:v>
                </c:pt>
              </c:strCache>
            </c:strRef>
          </c:cat>
          <c:val>
            <c:numRef>
              <c:f>'5'!$Z$5:$AB$5</c:f>
              <c:numCache>
                <c:formatCode>General</c:formatCode>
                <c:ptCount val="3"/>
                <c:pt idx="0">
                  <c:v>20</c:v>
                </c:pt>
                <c:pt idx="1">
                  <c:v>65</c:v>
                </c:pt>
                <c:pt idx="2">
                  <c:v>9</c:v>
                </c:pt>
              </c:numCache>
            </c:numRef>
          </c:val>
          <c:extLst>
            <c:ext xmlns:c16="http://schemas.microsoft.com/office/drawing/2014/chart" uri="{C3380CC4-5D6E-409C-BE32-E72D297353CC}">
              <c16:uniqueId val="{00000000-53C2-40E0-AC3D-6479A59D237B}"/>
            </c:ext>
          </c:extLst>
        </c:ser>
        <c:ser>
          <c:idx val="2"/>
          <c:order val="2"/>
          <c:tx>
            <c:strRef>
              <c:f>'5'!$X$4</c:f>
              <c:strCache>
                <c:ptCount val="1"/>
                <c:pt idx="0">
                  <c:v>sometimes</c:v>
                </c:pt>
              </c:strCache>
            </c:strRef>
          </c:tx>
          <c:spPr>
            <a:solidFill>
              <a:srgbClr val="FFC000"/>
            </a:solidFill>
            <a:ln>
              <a:noFill/>
            </a:ln>
            <a:effectLst/>
          </c:spPr>
          <c:invertIfNegative val="0"/>
          <c:cat>
            <c:strRef>
              <c:f>'5'!$Z$1:$AB$1</c:f>
              <c:strCache>
                <c:ptCount val="3"/>
                <c:pt idx="0">
                  <c:v>full-service</c:v>
                </c:pt>
                <c:pt idx="1">
                  <c:v>hybrid-service</c:v>
                </c:pt>
                <c:pt idx="2">
                  <c:v>self-service</c:v>
                </c:pt>
              </c:strCache>
            </c:strRef>
          </c:cat>
          <c:val>
            <c:numRef>
              <c:f>'5'!$Z$4:$AB$4</c:f>
              <c:numCache>
                <c:formatCode>General</c:formatCode>
                <c:ptCount val="3"/>
                <c:pt idx="0">
                  <c:v>17</c:v>
                </c:pt>
                <c:pt idx="1">
                  <c:v>56</c:v>
                </c:pt>
                <c:pt idx="2">
                  <c:v>15</c:v>
                </c:pt>
              </c:numCache>
            </c:numRef>
          </c:val>
          <c:extLst>
            <c:ext xmlns:c16="http://schemas.microsoft.com/office/drawing/2014/chart" uri="{C3380CC4-5D6E-409C-BE32-E72D297353CC}">
              <c16:uniqueId val="{00000002-61E5-4335-8CAD-B968D7A1BAE4}"/>
            </c:ext>
          </c:extLst>
        </c:ser>
        <c:ser>
          <c:idx val="1"/>
          <c:order val="3"/>
          <c:tx>
            <c:strRef>
              <c:f>'5'!$X$3</c:f>
              <c:strCache>
                <c:ptCount val="1"/>
                <c:pt idx="0">
                  <c:v>rarely</c:v>
                </c:pt>
              </c:strCache>
            </c:strRef>
          </c:tx>
          <c:spPr>
            <a:solidFill>
              <a:srgbClr val="FF9933"/>
            </a:solidFill>
            <a:ln>
              <a:noFill/>
            </a:ln>
            <a:effectLst/>
          </c:spPr>
          <c:invertIfNegative val="0"/>
          <c:cat>
            <c:strRef>
              <c:f>'5'!$Z$1:$AB$1</c:f>
              <c:strCache>
                <c:ptCount val="3"/>
                <c:pt idx="0">
                  <c:v>full-service</c:v>
                </c:pt>
                <c:pt idx="1">
                  <c:v>hybrid-service</c:v>
                </c:pt>
                <c:pt idx="2">
                  <c:v>self-service</c:v>
                </c:pt>
              </c:strCache>
            </c:strRef>
          </c:cat>
          <c:val>
            <c:numRef>
              <c:f>'5'!$Z$3:$AB$3</c:f>
              <c:numCache>
                <c:formatCode>General</c:formatCode>
                <c:ptCount val="3"/>
                <c:pt idx="0">
                  <c:v>6</c:v>
                </c:pt>
                <c:pt idx="1">
                  <c:v>6</c:v>
                </c:pt>
                <c:pt idx="2">
                  <c:v>3</c:v>
                </c:pt>
              </c:numCache>
            </c:numRef>
          </c:val>
          <c:extLst>
            <c:ext xmlns:c16="http://schemas.microsoft.com/office/drawing/2014/chart" uri="{C3380CC4-5D6E-409C-BE32-E72D297353CC}">
              <c16:uniqueId val="{00000001-61E5-4335-8CAD-B968D7A1BAE4}"/>
            </c:ext>
          </c:extLst>
        </c:ser>
        <c:ser>
          <c:idx val="0"/>
          <c:order val="4"/>
          <c:tx>
            <c:strRef>
              <c:f>'5'!$X$2</c:f>
              <c:strCache>
                <c:ptCount val="1"/>
                <c:pt idx="0">
                  <c:v>never</c:v>
                </c:pt>
              </c:strCache>
            </c:strRef>
          </c:tx>
          <c:spPr>
            <a:solidFill>
              <a:srgbClr val="FF0000"/>
            </a:solidFill>
            <a:ln>
              <a:noFill/>
            </a:ln>
            <a:effectLst/>
          </c:spPr>
          <c:invertIfNegative val="0"/>
          <c:cat>
            <c:strRef>
              <c:f>'5'!$Z$1:$AB$1</c:f>
              <c:strCache>
                <c:ptCount val="3"/>
                <c:pt idx="0">
                  <c:v>full-service</c:v>
                </c:pt>
                <c:pt idx="1">
                  <c:v>hybrid-service</c:v>
                </c:pt>
                <c:pt idx="2">
                  <c:v>self-service</c:v>
                </c:pt>
              </c:strCache>
            </c:strRef>
          </c:cat>
          <c:val>
            <c:numRef>
              <c:f>'5'!$Z$2:$AB$2</c:f>
              <c:numCache>
                <c:formatCode>General</c:formatCode>
                <c:ptCount val="3"/>
                <c:pt idx="0">
                  <c:v>1</c:v>
                </c:pt>
                <c:pt idx="1">
                  <c:v>1</c:v>
                </c:pt>
                <c:pt idx="2">
                  <c:v>1</c:v>
                </c:pt>
              </c:numCache>
            </c:numRef>
          </c:val>
          <c:extLst>
            <c:ext xmlns:c16="http://schemas.microsoft.com/office/drawing/2014/chart" uri="{C3380CC4-5D6E-409C-BE32-E72D297353CC}">
              <c16:uniqueId val="{00000000-61E5-4335-8CAD-B968D7A1BAE4}"/>
            </c:ext>
          </c:extLst>
        </c:ser>
        <c:dLbls>
          <c:showLegendKey val="0"/>
          <c:showVal val="0"/>
          <c:showCatName val="0"/>
          <c:showSerName val="0"/>
          <c:showPercent val="0"/>
          <c:showBubbleSize val="0"/>
        </c:dLbls>
        <c:gapWidth val="130"/>
        <c:overlap val="100"/>
        <c:axId val="572000248"/>
        <c:axId val="460664320"/>
      </c:barChart>
      <c:catAx>
        <c:axId val="572000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0664320"/>
        <c:crosses val="autoZero"/>
        <c:auto val="1"/>
        <c:lblAlgn val="ctr"/>
        <c:lblOffset val="100"/>
        <c:noMultiLvlLbl val="0"/>
      </c:catAx>
      <c:valAx>
        <c:axId val="460664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2000248"/>
        <c:crosses val="autoZero"/>
        <c:crossBetween val="between"/>
      </c:valAx>
      <c:spPr>
        <a:noFill/>
        <a:ln>
          <a:noFill/>
        </a:ln>
        <a:effectLst/>
      </c:spPr>
    </c:plotArea>
    <c:legend>
      <c:legendPos val="r"/>
      <c:layout>
        <c:manualLayout>
          <c:xMode val="edge"/>
          <c:yMode val="edge"/>
          <c:x val="0.69652161564397441"/>
          <c:y val="0.29535720393405374"/>
          <c:w val="0.27415285987363852"/>
          <c:h val="0.381701803368015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knows how samples are prepared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20936630675656562"/>
          <c:y val="0.20328091787100583"/>
          <c:w val="0.48906058283526432"/>
          <c:h val="0.56396074376620919"/>
        </c:manualLayout>
      </c:layout>
      <c:barChart>
        <c:barDir val="col"/>
        <c:grouping val="percentStacked"/>
        <c:varyColors val="0"/>
        <c:ser>
          <c:idx val="4"/>
          <c:order val="0"/>
          <c:tx>
            <c:strRef>
              <c:f>'5'!$X$6</c:f>
              <c:strCache>
                <c:ptCount val="1"/>
                <c:pt idx="0">
                  <c:v>always</c:v>
                </c:pt>
              </c:strCache>
            </c:strRef>
          </c:tx>
          <c:spPr>
            <a:solidFill>
              <a:schemeClr val="accent1"/>
            </a:solidFill>
            <a:ln>
              <a:noFill/>
            </a:ln>
            <a:effectLst/>
          </c:spPr>
          <c:invertIfNegative val="0"/>
          <c:cat>
            <c:strRef>
              <c:f>'5'!$AO$1:$AQ$1</c:f>
              <c:strCache>
                <c:ptCount val="3"/>
                <c:pt idx="0">
                  <c:v>full-service</c:v>
                </c:pt>
                <c:pt idx="1">
                  <c:v>hybrid-service</c:v>
                </c:pt>
                <c:pt idx="2">
                  <c:v>self-service</c:v>
                </c:pt>
              </c:strCache>
            </c:strRef>
          </c:cat>
          <c:val>
            <c:numRef>
              <c:f>'5'!$AO$6:$AQ$6</c:f>
              <c:numCache>
                <c:formatCode>General</c:formatCode>
                <c:ptCount val="3"/>
                <c:pt idx="0">
                  <c:v>22</c:v>
                </c:pt>
                <c:pt idx="1">
                  <c:v>38</c:v>
                </c:pt>
                <c:pt idx="2">
                  <c:v>1</c:v>
                </c:pt>
              </c:numCache>
            </c:numRef>
          </c:val>
          <c:extLst>
            <c:ext xmlns:c16="http://schemas.microsoft.com/office/drawing/2014/chart" uri="{C3380CC4-5D6E-409C-BE32-E72D297353CC}">
              <c16:uniqueId val="{00000001-7E71-4200-BCF7-775B36CF7BBE}"/>
            </c:ext>
          </c:extLst>
        </c:ser>
        <c:ser>
          <c:idx val="3"/>
          <c:order val="1"/>
          <c:tx>
            <c:strRef>
              <c:f>'5'!$X$5</c:f>
              <c:strCache>
                <c:ptCount val="1"/>
                <c:pt idx="0">
                  <c:v>often</c:v>
                </c:pt>
              </c:strCache>
            </c:strRef>
          </c:tx>
          <c:spPr>
            <a:solidFill>
              <a:schemeClr val="accent5">
                <a:lumMod val="40000"/>
                <a:lumOff val="60000"/>
              </a:schemeClr>
            </a:solidFill>
            <a:ln>
              <a:noFill/>
            </a:ln>
            <a:effectLst/>
          </c:spPr>
          <c:invertIfNegative val="0"/>
          <c:cat>
            <c:strRef>
              <c:f>'5'!$AO$1:$AQ$1</c:f>
              <c:strCache>
                <c:ptCount val="3"/>
                <c:pt idx="0">
                  <c:v>full-service</c:v>
                </c:pt>
                <c:pt idx="1">
                  <c:v>hybrid-service</c:v>
                </c:pt>
                <c:pt idx="2">
                  <c:v>self-service</c:v>
                </c:pt>
              </c:strCache>
            </c:strRef>
          </c:cat>
          <c:val>
            <c:numRef>
              <c:f>'5'!$AO$5:$AQ$5</c:f>
              <c:numCache>
                <c:formatCode>General</c:formatCode>
                <c:ptCount val="3"/>
                <c:pt idx="0">
                  <c:v>33</c:v>
                </c:pt>
                <c:pt idx="1">
                  <c:v>70</c:v>
                </c:pt>
                <c:pt idx="2">
                  <c:v>10</c:v>
                </c:pt>
              </c:numCache>
            </c:numRef>
          </c:val>
          <c:extLst>
            <c:ext xmlns:c16="http://schemas.microsoft.com/office/drawing/2014/chart" uri="{C3380CC4-5D6E-409C-BE32-E72D297353CC}">
              <c16:uniqueId val="{00000000-7E71-4200-BCF7-775B36CF7BBE}"/>
            </c:ext>
          </c:extLst>
        </c:ser>
        <c:ser>
          <c:idx val="2"/>
          <c:order val="2"/>
          <c:tx>
            <c:strRef>
              <c:f>'5'!$X$4</c:f>
              <c:strCache>
                <c:ptCount val="1"/>
                <c:pt idx="0">
                  <c:v>sometimes</c:v>
                </c:pt>
              </c:strCache>
            </c:strRef>
          </c:tx>
          <c:spPr>
            <a:solidFill>
              <a:srgbClr val="FFC000"/>
            </a:solidFill>
            <a:ln>
              <a:noFill/>
            </a:ln>
            <a:effectLst/>
          </c:spPr>
          <c:invertIfNegative val="0"/>
          <c:cat>
            <c:strRef>
              <c:f>'5'!$AO$1:$AQ$1</c:f>
              <c:strCache>
                <c:ptCount val="3"/>
                <c:pt idx="0">
                  <c:v>full-service</c:v>
                </c:pt>
                <c:pt idx="1">
                  <c:v>hybrid-service</c:v>
                </c:pt>
                <c:pt idx="2">
                  <c:v>self-service</c:v>
                </c:pt>
              </c:strCache>
            </c:strRef>
          </c:cat>
          <c:val>
            <c:numRef>
              <c:f>'5'!$AO$4:$AQ$4</c:f>
              <c:numCache>
                <c:formatCode>General</c:formatCode>
                <c:ptCount val="3"/>
                <c:pt idx="0">
                  <c:v>14</c:v>
                </c:pt>
                <c:pt idx="1">
                  <c:v>55</c:v>
                </c:pt>
                <c:pt idx="2">
                  <c:v>14</c:v>
                </c:pt>
              </c:numCache>
            </c:numRef>
          </c:val>
          <c:extLst>
            <c:ext xmlns:c16="http://schemas.microsoft.com/office/drawing/2014/chart" uri="{C3380CC4-5D6E-409C-BE32-E72D297353CC}">
              <c16:uniqueId val="{00000002-F84E-44CB-ABE4-6C307555812B}"/>
            </c:ext>
          </c:extLst>
        </c:ser>
        <c:ser>
          <c:idx val="1"/>
          <c:order val="3"/>
          <c:tx>
            <c:strRef>
              <c:f>'5'!$X$3</c:f>
              <c:strCache>
                <c:ptCount val="1"/>
                <c:pt idx="0">
                  <c:v>rarely</c:v>
                </c:pt>
              </c:strCache>
            </c:strRef>
          </c:tx>
          <c:spPr>
            <a:solidFill>
              <a:srgbClr val="FF9933"/>
            </a:solidFill>
            <a:ln>
              <a:noFill/>
            </a:ln>
            <a:effectLst/>
          </c:spPr>
          <c:invertIfNegative val="0"/>
          <c:cat>
            <c:strRef>
              <c:f>'5'!$AO$1:$AQ$1</c:f>
              <c:strCache>
                <c:ptCount val="3"/>
                <c:pt idx="0">
                  <c:v>full-service</c:v>
                </c:pt>
                <c:pt idx="1">
                  <c:v>hybrid-service</c:v>
                </c:pt>
                <c:pt idx="2">
                  <c:v>self-service</c:v>
                </c:pt>
              </c:strCache>
            </c:strRef>
          </c:cat>
          <c:val>
            <c:numRef>
              <c:f>'5'!$AO$3:$AQ$3</c:f>
              <c:numCache>
                <c:formatCode>General</c:formatCode>
                <c:ptCount val="3"/>
                <c:pt idx="0">
                  <c:v>1</c:v>
                </c:pt>
                <c:pt idx="1">
                  <c:v>11</c:v>
                </c:pt>
                <c:pt idx="2">
                  <c:v>3</c:v>
                </c:pt>
              </c:numCache>
            </c:numRef>
          </c:val>
          <c:extLst>
            <c:ext xmlns:c16="http://schemas.microsoft.com/office/drawing/2014/chart" uri="{C3380CC4-5D6E-409C-BE32-E72D297353CC}">
              <c16:uniqueId val="{00000001-F84E-44CB-ABE4-6C307555812B}"/>
            </c:ext>
          </c:extLst>
        </c:ser>
        <c:ser>
          <c:idx val="0"/>
          <c:order val="4"/>
          <c:tx>
            <c:strRef>
              <c:f>'5'!$X$2</c:f>
              <c:strCache>
                <c:ptCount val="1"/>
                <c:pt idx="0">
                  <c:v>never</c:v>
                </c:pt>
              </c:strCache>
            </c:strRef>
          </c:tx>
          <c:spPr>
            <a:solidFill>
              <a:srgbClr val="FF0000"/>
            </a:solidFill>
            <a:ln>
              <a:noFill/>
            </a:ln>
            <a:effectLst/>
          </c:spPr>
          <c:invertIfNegative val="0"/>
          <c:cat>
            <c:strRef>
              <c:f>'5'!$AO$1:$AQ$1</c:f>
              <c:strCache>
                <c:ptCount val="3"/>
                <c:pt idx="0">
                  <c:v>full-service</c:v>
                </c:pt>
                <c:pt idx="1">
                  <c:v>hybrid-service</c:v>
                </c:pt>
                <c:pt idx="2">
                  <c:v>self-service</c:v>
                </c:pt>
              </c:strCache>
            </c:strRef>
          </c:cat>
          <c:val>
            <c:numRef>
              <c:f>'5'!$AO$2:$AQ$2</c:f>
              <c:numCache>
                <c:formatCode>General</c:formatCode>
                <c:ptCount val="3"/>
                <c:pt idx="0">
                  <c:v>2</c:v>
                </c:pt>
                <c:pt idx="1">
                  <c:v>1</c:v>
                </c:pt>
                <c:pt idx="2">
                  <c:v>0</c:v>
                </c:pt>
              </c:numCache>
            </c:numRef>
          </c:val>
          <c:extLst>
            <c:ext xmlns:c16="http://schemas.microsoft.com/office/drawing/2014/chart" uri="{C3380CC4-5D6E-409C-BE32-E72D297353CC}">
              <c16:uniqueId val="{00000000-F84E-44CB-ABE4-6C307555812B}"/>
            </c:ext>
          </c:extLst>
        </c:ser>
        <c:dLbls>
          <c:showLegendKey val="0"/>
          <c:showVal val="0"/>
          <c:showCatName val="0"/>
          <c:showSerName val="0"/>
          <c:showPercent val="0"/>
          <c:showBubbleSize val="0"/>
        </c:dLbls>
        <c:gapWidth val="130"/>
        <c:overlap val="100"/>
        <c:axId val="572000248"/>
        <c:axId val="460664320"/>
      </c:barChart>
      <c:catAx>
        <c:axId val="572000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0664320"/>
        <c:crosses val="autoZero"/>
        <c:auto val="1"/>
        <c:lblAlgn val="ctr"/>
        <c:lblOffset val="100"/>
        <c:noMultiLvlLbl val="0"/>
      </c:catAx>
      <c:valAx>
        <c:axId val="460664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2000248"/>
        <c:crosses val="autoZero"/>
        <c:crossBetween val="between"/>
      </c:valAx>
      <c:spPr>
        <a:noFill/>
        <a:ln>
          <a:noFill/>
        </a:ln>
        <a:effectLst/>
      </c:spPr>
    </c:plotArea>
    <c:legend>
      <c:legendPos val="r"/>
      <c:layout>
        <c:manualLayout>
          <c:xMode val="edge"/>
          <c:yMode val="edge"/>
          <c:x val="0.7289758282832447"/>
          <c:y val="0.32886125419705775"/>
          <c:w val="0.24472798230064174"/>
          <c:h val="0.334226938210263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User can proceed with poor samples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5390429408903"/>
          <c:y val="0.19105845191289428"/>
          <c:w val="0.5349357312178401"/>
          <c:h val="0.58976726352050435"/>
        </c:manualLayout>
      </c:layout>
      <c:barChart>
        <c:barDir val="col"/>
        <c:grouping val="percentStacked"/>
        <c:varyColors val="0"/>
        <c:ser>
          <c:idx val="0"/>
          <c:order val="0"/>
          <c:tx>
            <c:strRef>
              <c:f>'5'!$BB$2</c:f>
              <c:strCache>
                <c:ptCount val="1"/>
                <c:pt idx="0">
                  <c:v>never</c:v>
                </c:pt>
              </c:strCache>
            </c:strRef>
          </c:tx>
          <c:spPr>
            <a:solidFill>
              <a:schemeClr val="accent1"/>
            </a:solidFill>
            <a:ln>
              <a:noFill/>
            </a:ln>
            <a:effectLst/>
          </c:spPr>
          <c:invertIfNegative val="0"/>
          <c:cat>
            <c:strRef>
              <c:f>'5'!$BD$1:$BF$1</c:f>
              <c:strCache>
                <c:ptCount val="3"/>
                <c:pt idx="0">
                  <c:v>full-service</c:v>
                </c:pt>
                <c:pt idx="1">
                  <c:v>hybrid-service</c:v>
                </c:pt>
                <c:pt idx="2">
                  <c:v>self-service</c:v>
                </c:pt>
              </c:strCache>
            </c:strRef>
          </c:cat>
          <c:val>
            <c:numRef>
              <c:f>'5'!$BD$2:$BF$2</c:f>
              <c:numCache>
                <c:formatCode>General</c:formatCode>
                <c:ptCount val="3"/>
                <c:pt idx="0">
                  <c:v>9</c:v>
                </c:pt>
                <c:pt idx="1">
                  <c:v>15</c:v>
                </c:pt>
                <c:pt idx="2">
                  <c:v>1</c:v>
                </c:pt>
              </c:numCache>
            </c:numRef>
          </c:val>
          <c:extLst>
            <c:ext xmlns:c16="http://schemas.microsoft.com/office/drawing/2014/chart" uri="{C3380CC4-5D6E-409C-BE32-E72D297353CC}">
              <c16:uniqueId val="{00000000-7386-4A93-92F7-A61147D35DDC}"/>
            </c:ext>
          </c:extLst>
        </c:ser>
        <c:ser>
          <c:idx val="1"/>
          <c:order val="1"/>
          <c:tx>
            <c:strRef>
              <c:f>'5'!$BB$3</c:f>
              <c:strCache>
                <c:ptCount val="1"/>
                <c:pt idx="0">
                  <c:v>rarely</c:v>
                </c:pt>
              </c:strCache>
            </c:strRef>
          </c:tx>
          <c:spPr>
            <a:solidFill>
              <a:schemeClr val="accent5">
                <a:lumMod val="40000"/>
                <a:lumOff val="60000"/>
              </a:schemeClr>
            </a:solidFill>
            <a:ln>
              <a:noFill/>
            </a:ln>
            <a:effectLst/>
          </c:spPr>
          <c:invertIfNegative val="0"/>
          <c:cat>
            <c:strRef>
              <c:f>'5'!$BD$1:$BF$1</c:f>
              <c:strCache>
                <c:ptCount val="3"/>
                <c:pt idx="0">
                  <c:v>full-service</c:v>
                </c:pt>
                <c:pt idx="1">
                  <c:v>hybrid-service</c:v>
                </c:pt>
                <c:pt idx="2">
                  <c:v>self-service</c:v>
                </c:pt>
              </c:strCache>
            </c:strRef>
          </c:cat>
          <c:val>
            <c:numRef>
              <c:f>'5'!$BD$3:$BF$3</c:f>
              <c:numCache>
                <c:formatCode>General</c:formatCode>
                <c:ptCount val="3"/>
                <c:pt idx="0">
                  <c:v>34</c:v>
                </c:pt>
                <c:pt idx="1">
                  <c:v>46</c:v>
                </c:pt>
                <c:pt idx="2">
                  <c:v>1</c:v>
                </c:pt>
              </c:numCache>
            </c:numRef>
          </c:val>
          <c:extLst>
            <c:ext xmlns:c16="http://schemas.microsoft.com/office/drawing/2014/chart" uri="{C3380CC4-5D6E-409C-BE32-E72D297353CC}">
              <c16:uniqueId val="{00000001-7386-4A93-92F7-A61147D35DDC}"/>
            </c:ext>
          </c:extLst>
        </c:ser>
        <c:ser>
          <c:idx val="2"/>
          <c:order val="2"/>
          <c:tx>
            <c:strRef>
              <c:f>'5'!$BB$4</c:f>
              <c:strCache>
                <c:ptCount val="1"/>
                <c:pt idx="0">
                  <c:v>sometimes</c:v>
                </c:pt>
              </c:strCache>
            </c:strRef>
          </c:tx>
          <c:spPr>
            <a:solidFill>
              <a:srgbClr val="FFC000"/>
            </a:solidFill>
            <a:ln>
              <a:noFill/>
            </a:ln>
            <a:effectLst/>
          </c:spPr>
          <c:invertIfNegative val="0"/>
          <c:cat>
            <c:strRef>
              <c:f>'5'!$BD$1:$BF$1</c:f>
              <c:strCache>
                <c:ptCount val="3"/>
                <c:pt idx="0">
                  <c:v>full-service</c:v>
                </c:pt>
                <c:pt idx="1">
                  <c:v>hybrid-service</c:v>
                </c:pt>
                <c:pt idx="2">
                  <c:v>self-service</c:v>
                </c:pt>
              </c:strCache>
            </c:strRef>
          </c:cat>
          <c:val>
            <c:numRef>
              <c:f>'5'!$BD$4:$BF$4</c:f>
              <c:numCache>
                <c:formatCode>General</c:formatCode>
                <c:ptCount val="3"/>
                <c:pt idx="0">
                  <c:v>8</c:v>
                </c:pt>
                <c:pt idx="1">
                  <c:v>63</c:v>
                </c:pt>
                <c:pt idx="2">
                  <c:v>3</c:v>
                </c:pt>
              </c:numCache>
            </c:numRef>
          </c:val>
          <c:extLst>
            <c:ext xmlns:c16="http://schemas.microsoft.com/office/drawing/2014/chart" uri="{C3380CC4-5D6E-409C-BE32-E72D297353CC}">
              <c16:uniqueId val="{00000002-7386-4A93-92F7-A61147D35DDC}"/>
            </c:ext>
          </c:extLst>
        </c:ser>
        <c:ser>
          <c:idx val="3"/>
          <c:order val="3"/>
          <c:tx>
            <c:strRef>
              <c:f>'5'!$BB$5</c:f>
              <c:strCache>
                <c:ptCount val="1"/>
                <c:pt idx="0">
                  <c:v>often</c:v>
                </c:pt>
              </c:strCache>
            </c:strRef>
          </c:tx>
          <c:spPr>
            <a:solidFill>
              <a:srgbClr val="FF9933"/>
            </a:solidFill>
            <a:ln>
              <a:noFill/>
            </a:ln>
            <a:effectLst/>
          </c:spPr>
          <c:invertIfNegative val="0"/>
          <c:cat>
            <c:strRef>
              <c:f>'5'!$BD$1:$BF$1</c:f>
              <c:strCache>
                <c:ptCount val="3"/>
                <c:pt idx="0">
                  <c:v>full-service</c:v>
                </c:pt>
                <c:pt idx="1">
                  <c:v>hybrid-service</c:v>
                </c:pt>
                <c:pt idx="2">
                  <c:v>self-service</c:v>
                </c:pt>
              </c:strCache>
            </c:strRef>
          </c:cat>
          <c:val>
            <c:numRef>
              <c:f>'5'!$BD$5:$BF$5</c:f>
              <c:numCache>
                <c:formatCode>General</c:formatCode>
                <c:ptCount val="3"/>
                <c:pt idx="0">
                  <c:v>5</c:v>
                </c:pt>
                <c:pt idx="1">
                  <c:v>10</c:v>
                </c:pt>
                <c:pt idx="2">
                  <c:v>4</c:v>
                </c:pt>
              </c:numCache>
            </c:numRef>
          </c:val>
          <c:extLst>
            <c:ext xmlns:c16="http://schemas.microsoft.com/office/drawing/2014/chart" uri="{C3380CC4-5D6E-409C-BE32-E72D297353CC}">
              <c16:uniqueId val="{00000000-1E2A-43FA-9B2F-6E67575317B3}"/>
            </c:ext>
          </c:extLst>
        </c:ser>
        <c:ser>
          <c:idx val="4"/>
          <c:order val="4"/>
          <c:tx>
            <c:strRef>
              <c:f>'5'!$BB$6</c:f>
              <c:strCache>
                <c:ptCount val="1"/>
                <c:pt idx="0">
                  <c:v>always</c:v>
                </c:pt>
              </c:strCache>
            </c:strRef>
          </c:tx>
          <c:spPr>
            <a:solidFill>
              <a:srgbClr val="FF0000"/>
            </a:solidFill>
            <a:ln>
              <a:noFill/>
            </a:ln>
            <a:effectLst/>
          </c:spPr>
          <c:invertIfNegative val="0"/>
          <c:cat>
            <c:strRef>
              <c:f>'5'!$BD$1:$BF$1</c:f>
              <c:strCache>
                <c:ptCount val="3"/>
                <c:pt idx="0">
                  <c:v>full-service</c:v>
                </c:pt>
                <c:pt idx="1">
                  <c:v>hybrid-service</c:v>
                </c:pt>
                <c:pt idx="2">
                  <c:v>self-service</c:v>
                </c:pt>
              </c:strCache>
            </c:strRef>
          </c:cat>
          <c:val>
            <c:numRef>
              <c:f>'5'!$BD$6:$BF$6</c:f>
              <c:numCache>
                <c:formatCode>General</c:formatCode>
                <c:ptCount val="3"/>
                <c:pt idx="0">
                  <c:v>3</c:v>
                </c:pt>
                <c:pt idx="1">
                  <c:v>12</c:v>
                </c:pt>
                <c:pt idx="2">
                  <c:v>1</c:v>
                </c:pt>
              </c:numCache>
            </c:numRef>
          </c:val>
          <c:extLst>
            <c:ext xmlns:c16="http://schemas.microsoft.com/office/drawing/2014/chart" uri="{C3380CC4-5D6E-409C-BE32-E72D297353CC}">
              <c16:uniqueId val="{00000001-1E2A-43FA-9B2F-6E67575317B3}"/>
            </c:ext>
          </c:extLst>
        </c:ser>
        <c:dLbls>
          <c:showLegendKey val="0"/>
          <c:showVal val="0"/>
          <c:showCatName val="0"/>
          <c:showSerName val="0"/>
          <c:showPercent val="0"/>
          <c:showBubbleSize val="0"/>
        </c:dLbls>
        <c:gapWidth val="130"/>
        <c:overlap val="100"/>
        <c:axId val="578386872"/>
        <c:axId val="544714144"/>
      </c:barChart>
      <c:catAx>
        <c:axId val="578386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4714144"/>
        <c:crosses val="autoZero"/>
        <c:auto val="1"/>
        <c:lblAlgn val="ctr"/>
        <c:lblOffset val="100"/>
        <c:noMultiLvlLbl val="0"/>
      </c:catAx>
      <c:valAx>
        <c:axId val="54471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8386872"/>
        <c:crosses val="autoZero"/>
        <c:crossBetween val="between"/>
      </c:valAx>
      <c:spPr>
        <a:noFill/>
        <a:ln>
          <a:noFill/>
        </a:ln>
        <a:effectLst/>
      </c:spPr>
    </c:plotArea>
    <c:legend>
      <c:legendPos val="r"/>
      <c:layout>
        <c:manualLayout>
          <c:xMode val="edge"/>
          <c:yMode val="edge"/>
          <c:x val="0.7275485958921738"/>
          <c:y val="0.33003454105437435"/>
          <c:w val="0.24612405846052746"/>
          <c:h val="0.362343589922512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CF knows what controls are included</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4"/>
          <c:order val="0"/>
          <c:tx>
            <c:strRef>
              <c:f>'5'!$X$6</c:f>
              <c:strCache>
                <c:ptCount val="1"/>
                <c:pt idx="0">
                  <c:v>always</c:v>
                </c:pt>
              </c:strCache>
            </c:strRef>
          </c:tx>
          <c:spPr>
            <a:solidFill>
              <a:schemeClr val="accent1"/>
            </a:solidFill>
            <a:ln>
              <a:noFill/>
            </a:ln>
            <a:effectLst/>
          </c:spPr>
          <c:invertIfNegative val="0"/>
          <c:cat>
            <c:strRef>
              <c:f>'5'!$AD$1:$AK$1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'5'!$AD$6:$AK$6</c:f>
              <c:numCache>
                <c:formatCode>General</c:formatCode>
                <c:ptCount val="8"/>
                <c:pt idx="0">
                  <c:v>6</c:v>
                </c:pt>
                <c:pt idx="1">
                  <c:v>10</c:v>
                </c:pt>
                <c:pt idx="2">
                  <c:v>3</c:v>
                </c:pt>
                <c:pt idx="3">
                  <c:v>3</c:v>
                </c:pt>
                <c:pt idx="4">
                  <c:v>9</c:v>
                </c:pt>
                <c:pt idx="5">
                  <c:v>5</c:v>
                </c:pt>
                <c:pt idx="6">
                  <c:v>2</c:v>
                </c:pt>
                <c:pt idx="7">
                  <c:v>18</c:v>
                </c:pt>
              </c:numCache>
            </c:numRef>
          </c:val>
          <c:extLst>
            <c:ext xmlns:c16="http://schemas.microsoft.com/office/drawing/2014/chart" uri="{C3380CC4-5D6E-409C-BE32-E72D297353CC}">
              <c16:uniqueId val="{00000004-77C3-463C-B117-CFD6148182F4}"/>
            </c:ext>
          </c:extLst>
        </c:ser>
        <c:ser>
          <c:idx val="3"/>
          <c:order val="1"/>
          <c:tx>
            <c:strRef>
              <c:f>'5'!$X$5</c:f>
              <c:strCache>
                <c:ptCount val="1"/>
                <c:pt idx="0">
                  <c:v>often</c:v>
                </c:pt>
              </c:strCache>
            </c:strRef>
          </c:tx>
          <c:spPr>
            <a:solidFill>
              <a:schemeClr val="accent5">
                <a:lumMod val="40000"/>
                <a:lumOff val="60000"/>
              </a:schemeClr>
            </a:solidFill>
            <a:ln>
              <a:noFill/>
            </a:ln>
            <a:effectLst/>
          </c:spPr>
          <c:invertIfNegative val="0"/>
          <c:cat>
            <c:strRef>
              <c:f>'5'!$AD$1:$AK$1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'5'!$AD$5:$AK$5</c:f>
              <c:numCache>
                <c:formatCode>General</c:formatCode>
                <c:ptCount val="8"/>
                <c:pt idx="0">
                  <c:v>21</c:v>
                </c:pt>
                <c:pt idx="1">
                  <c:v>8</c:v>
                </c:pt>
                <c:pt idx="2">
                  <c:v>2</c:v>
                </c:pt>
                <c:pt idx="3">
                  <c:v>3</c:v>
                </c:pt>
                <c:pt idx="4">
                  <c:v>26</c:v>
                </c:pt>
                <c:pt idx="5">
                  <c:v>5</c:v>
                </c:pt>
                <c:pt idx="6">
                  <c:v>1</c:v>
                </c:pt>
                <c:pt idx="7">
                  <c:v>13</c:v>
                </c:pt>
              </c:numCache>
            </c:numRef>
          </c:val>
          <c:extLst>
            <c:ext xmlns:c16="http://schemas.microsoft.com/office/drawing/2014/chart" uri="{C3380CC4-5D6E-409C-BE32-E72D297353CC}">
              <c16:uniqueId val="{00000003-77C3-463C-B117-CFD6148182F4}"/>
            </c:ext>
          </c:extLst>
        </c:ser>
        <c:ser>
          <c:idx val="2"/>
          <c:order val="2"/>
          <c:tx>
            <c:strRef>
              <c:f>'5'!$X$4</c:f>
              <c:strCache>
                <c:ptCount val="1"/>
                <c:pt idx="0">
                  <c:v>sometimes</c:v>
                </c:pt>
              </c:strCache>
            </c:strRef>
          </c:tx>
          <c:spPr>
            <a:solidFill>
              <a:srgbClr val="FFC000"/>
            </a:solidFill>
            <a:ln>
              <a:noFill/>
            </a:ln>
            <a:effectLst/>
          </c:spPr>
          <c:invertIfNegative val="0"/>
          <c:cat>
            <c:strRef>
              <c:f>'5'!$AD$1:$AK$1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'5'!$AD$4:$AK$4</c:f>
              <c:numCache>
                <c:formatCode>General</c:formatCode>
                <c:ptCount val="8"/>
                <c:pt idx="0">
                  <c:v>22</c:v>
                </c:pt>
                <c:pt idx="1">
                  <c:v>14</c:v>
                </c:pt>
                <c:pt idx="2">
                  <c:v>6</c:v>
                </c:pt>
                <c:pt idx="3">
                  <c:v>2</c:v>
                </c:pt>
                <c:pt idx="4">
                  <c:v>22</c:v>
                </c:pt>
                <c:pt idx="5">
                  <c:v>3</c:v>
                </c:pt>
                <c:pt idx="6">
                  <c:v>4</c:v>
                </c:pt>
                <c:pt idx="7">
                  <c:v>3</c:v>
                </c:pt>
              </c:numCache>
            </c:numRef>
          </c:val>
          <c:extLst>
            <c:ext xmlns:c16="http://schemas.microsoft.com/office/drawing/2014/chart" uri="{C3380CC4-5D6E-409C-BE32-E72D297353CC}">
              <c16:uniqueId val="{00000002-77C3-463C-B117-CFD6148182F4}"/>
            </c:ext>
          </c:extLst>
        </c:ser>
        <c:ser>
          <c:idx val="1"/>
          <c:order val="3"/>
          <c:tx>
            <c:strRef>
              <c:f>'5'!$X$3</c:f>
              <c:strCache>
                <c:ptCount val="1"/>
                <c:pt idx="0">
                  <c:v>rarely</c:v>
                </c:pt>
              </c:strCache>
            </c:strRef>
          </c:tx>
          <c:spPr>
            <a:solidFill>
              <a:srgbClr val="FF9933"/>
            </a:solidFill>
            <a:ln>
              <a:noFill/>
            </a:ln>
            <a:effectLst/>
          </c:spPr>
          <c:invertIfNegative val="0"/>
          <c:cat>
            <c:strRef>
              <c:f>'5'!$AD$1:$AK$1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'5'!$AD$3:$AK$3</c:f>
              <c:numCache>
                <c:formatCode>General</c:formatCode>
                <c:ptCount val="8"/>
                <c:pt idx="0">
                  <c:v>1</c:v>
                </c:pt>
                <c:pt idx="1">
                  <c:v>1</c:v>
                </c:pt>
                <c:pt idx="2">
                  <c:v>0</c:v>
                </c:pt>
                <c:pt idx="3">
                  <c:v>0</c:v>
                </c:pt>
                <c:pt idx="4">
                  <c:v>5</c:v>
                </c:pt>
                <c:pt idx="5">
                  <c:v>3</c:v>
                </c:pt>
                <c:pt idx="6">
                  <c:v>1</c:v>
                </c:pt>
                <c:pt idx="7">
                  <c:v>1</c:v>
                </c:pt>
              </c:numCache>
            </c:numRef>
          </c:val>
          <c:extLst>
            <c:ext xmlns:c16="http://schemas.microsoft.com/office/drawing/2014/chart" uri="{C3380CC4-5D6E-409C-BE32-E72D297353CC}">
              <c16:uniqueId val="{00000001-77C3-463C-B117-CFD6148182F4}"/>
            </c:ext>
          </c:extLst>
        </c:ser>
        <c:ser>
          <c:idx val="0"/>
          <c:order val="4"/>
          <c:tx>
            <c:strRef>
              <c:f>'5'!$X$2</c:f>
              <c:strCache>
                <c:ptCount val="1"/>
                <c:pt idx="0">
                  <c:v>never</c:v>
                </c:pt>
              </c:strCache>
            </c:strRef>
          </c:tx>
          <c:spPr>
            <a:solidFill>
              <a:srgbClr val="FF0000"/>
            </a:solidFill>
            <a:ln>
              <a:noFill/>
            </a:ln>
            <a:effectLst/>
          </c:spPr>
          <c:invertIfNegative val="0"/>
          <c:cat>
            <c:strRef>
              <c:f>'5'!$AD$1:$AK$1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'5'!$AD$2:$AK$2</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77C3-463C-B117-CFD6148182F4}"/>
            </c:ext>
          </c:extLst>
        </c:ser>
        <c:dLbls>
          <c:showLegendKey val="0"/>
          <c:showVal val="0"/>
          <c:showCatName val="0"/>
          <c:showSerName val="0"/>
          <c:showPercent val="0"/>
          <c:showBubbleSize val="0"/>
        </c:dLbls>
        <c:gapWidth val="130"/>
        <c:overlap val="100"/>
        <c:axId val="433391712"/>
        <c:axId val="433388760"/>
      </c:barChart>
      <c:catAx>
        <c:axId val="43339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3388760"/>
        <c:crosses val="autoZero"/>
        <c:auto val="1"/>
        <c:lblAlgn val="ctr"/>
        <c:lblOffset val="100"/>
        <c:noMultiLvlLbl val="0"/>
      </c:catAx>
      <c:valAx>
        <c:axId val="433388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3391712"/>
        <c:crosses val="autoZero"/>
        <c:crossBetween val="between"/>
      </c:valAx>
      <c:spPr>
        <a:noFill/>
        <a:ln>
          <a:noFill/>
        </a:ln>
        <a:effectLst/>
      </c:spPr>
    </c:plotArea>
    <c:legend>
      <c:legendPos val="r"/>
      <c:layout>
        <c:manualLayout>
          <c:xMode val="edge"/>
          <c:yMode val="edge"/>
          <c:x val="0.84188533576939151"/>
          <c:y val="0.28197136702598014"/>
          <c:w val="0.14283583154946614"/>
          <c:h val="0.375054108021670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CF knows how samples are prepared</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4"/>
          <c:order val="0"/>
          <c:tx>
            <c:strRef>
              <c:f>'5'!$AM$6</c:f>
              <c:strCache>
                <c:ptCount val="1"/>
                <c:pt idx="0">
                  <c:v>always</c:v>
                </c:pt>
              </c:strCache>
            </c:strRef>
          </c:tx>
          <c:spPr>
            <a:solidFill>
              <a:schemeClr val="accent1"/>
            </a:solidFill>
            <a:ln>
              <a:noFill/>
            </a:ln>
            <a:effectLst/>
          </c:spPr>
          <c:invertIfNegative val="0"/>
          <c:cat>
            <c:strRef>
              <c:f>'5'!$AS$1:$AZ$1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'5'!$AS$6:$AZ$6</c:f>
              <c:numCache>
                <c:formatCode>General</c:formatCode>
                <c:ptCount val="8"/>
                <c:pt idx="0">
                  <c:v>1</c:v>
                </c:pt>
                <c:pt idx="1">
                  <c:v>6</c:v>
                </c:pt>
                <c:pt idx="2">
                  <c:v>2</c:v>
                </c:pt>
                <c:pt idx="3">
                  <c:v>3</c:v>
                </c:pt>
                <c:pt idx="4">
                  <c:v>10</c:v>
                </c:pt>
                <c:pt idx="5">
                  <c:v>6</c:v>
                </c:pt>
                <c:pt idx="6">
                  <c:v>1</c:v>
                </c:pt>
                <c:pt idx="7">
                  <c:v>16</c:v>
                </c:pt>
              </c:numCache>
            </c:numRef>
          </c:val>
          <c:extLst>
            <c:ext xmlns:c16="http://schemas.microsoft.com/office/drawing/2014/chart" uri="{C3380CC4-5D6E-409C-BE32-E72D297353CC}">
              <c16:uniqueId val="{00000004-BEDF-4EC6-842A-0861B578E15B}"/>
            </c:ext>
          </c:extLst>
        </c:ser>
        <c:ser>
          <c:idx val="3"/>
          <c:order val="1"/>
          <c:tx>
            <c:strRef>
              <c:f>'5'!$AM$5</c:f>
              <c:strCache>
                <c:ptCount val="1"/>
                <c:pt idx="0">
                  <c:v>often</c:v>
                </c:pt>
              </c:strCache>
            </c:strRef>
          </c:tx>
          <c:spPr>
            <a:solidFill>
              <a:schemeClr val="accent5">
                <a:lumMod val="40000"/>
                <a:lumOff val="60000"/>
              </a:schemeClr>
            </a:solidFill>
            <a:ln>
              <a:noFill/>
            </a:ln>
            <a:effectLst/>
          </c:spPr>
          <c:invertIfNegative val="0"/>
          <c:cat>
            <c:strRef>
              <c:f>'5'!$AS$1:$AZ$1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'5'!$AS$5:$AZ$5</c:f>
              <c:numCache>
                <c:formatCode>General</c:formatCode>
                <c:ptCount val="8"/>
                <c:pt idx="0">
                  <c:v>19</c:v>
                </c:pt>
                <c:pt idx="1">
                  <c:v>17</c:v>
                </c:pt>
                <c:pt idx="2">
                  <c:v>6</c:v>
                </c:pt>
                <c:pt idx="3">
                  <c:v>5</c:v>
                </c:pt>
                <c:pt idx="4">
                  <c:v>26</c:v>
                </c:pt>
                <c:pt idx="5">
                  <c:v>3</c:v>
                </c:pt>
                <c:pt idx="6">
                  <c:v>2</c:v>
                </c:pt>
                <c:pt idx="7">
                  <c:v>15</c:v>
                </c:pt>
              </c:numCache>
            </c:numRef>
          </c:val>
          <c:extLst>
            <c:ext xmlns:c16="http://schemas.microsoft.com/office/drawing/2014/chart" uri="{C3380CC4-5D6E-409C-BE32-E72D297353CC}">
              <c16:uniqueId val="{00000003-BEDF-4EC6-842A-0861B578E15B}"/>
            </c:ext>
          </c:extLst>
        </c:ser>
        <c:ser>
          <c:idx val="2"/>
          <c:order val="2"/>
          <c:tx>
            <c:strRef>
              <c:f>'5'!$AM$4</c:f>
              <c:strCache>
                <c:ptCount val="1"/>
                <c:pt idx="0">
                  <c:v>sometimes</c:v>
                </c:pt>
              </c:strCache>
            </c:strRef>
          </c:tx>
          <c:spPr>
            <a:solidFill>
              <a:srgbClr val="FFC000"/>
            </a:solidFill>
            <a:ln>
              <a:noFill/>
            </a:ln>
            <a:effectLst/>
          </c:spPr>
          <c:invertIfNegative val="0"/>
          <c:cat>
            <c:strRef>
              <c:f>'5'!$AS$1:$AZ$1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'5'!$AS$4:$AZ$4</c:f>
              <c:numCache>
                <c:formatCode>General</c:formatCode>
                <c:ptCount val="8"/>
                <c:pt idx="0">
                  <c:v>25</c:v>
                </c:pt>
                <c:pt idx="1">
                  <c:v>10</c:v>
                </c:pt>
                <c:pt idx="2">
                  <c:v>3</c:v>
                </c:pt>
                <c:pt idx="3">
                  <c:v>0</c:v>
                </c:pt>
                <c:pt idx="4">
                  <c:v>20</c:v>
                </c:pt>
                <c:pt idx="5">
                  <c:v>6</c:v>
                </c:pt>
                <c:pt idx="6">
                  <c:v>5</c:v>
                </c:pt>
                <c:pt idx="7">
                  <c:v>3</c:v>
                </c:pt>
              </c:numCache>
            </c:numRef>
          </c:val>
          <c:extLst>
            <c:ext xmlns:c16="http://schemas.microsoft.com/office/drawing/2014/chart" uri="{C3380CC4-5D6E-409C-BE32-E72D297353CC}">
              <c16:uniqueId val="{00000002-BEDF-4EC6-842A-0861B578E15B}"/>
            </c:ext>
          </c:extLst>
        </c:ser>
        <c:ser>
          <c:idx val="1"/>
          <c:order val="3"/>
          <c:tx>
            <c:strRef>
              <c:f>'5'!$AM$3</c:f>
              <c:strCache>
                <c:ptCount val="1"/>
                <c:pt idx="0">
                  <c:v>rarely</c:v>
                </c:pt>
              </c:strCache>
            </c:strRef>
          </c:tx>
          <c:spPr>
            <a:solidFill>
              <a:srgbClr val="FF9933"/>
            </a:solidFill>
            <a:ln>
              <a:noFill/>
            </a:ln>
            <a:effectLst/>
          </c:spPr>
          <c:invertIfNegative val="0"/>
          <c:cat>
            <c:strRef>
              <c:f>'5'!$AS$1:$AZ$1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'5'!$AS$3:$AZ$3</c:f>
              <c:numCache>
                <c:formatCode>General</c:formatCode>
                <c:ptCount val="8"/>
                <c:pt idx="0">
                  <c:v>5</c:v>
                </c:pt>
                <c:pt idx="1">
                  <c:v>0</c:v>
                </c:pt>
                <c:pt idx="2">
                  <c:v>0</c:v>
                </c:pt>
                <c:pt idx="3">
                  <c:v>0</c:v>
                </c:pt>
                <c:pt idx="4">
                  <c:v>6</c:v>
                </c:pt>
                <c:pt idx="5">
                  <c:v>1</c:v>
                </c:pt>
                <c:pt idx="6">
                  <c:v>0</c:v>
                </c:pt>
                <c:pt idx="7">
                  <c:v>1</c:v>
                </c:pt>
              </c:numCache>
            </c:numRef>
          </c:val>
          <c:extLst>
            <c:ext xmlns:c16="http://schemas.microsoft.com/office/drawing/2014/chart" uri="{C3380CC4-5D6E-409C-BE32-E72D297353CC}">
              <c16:uniqueId val="{00000001-BEDF-4EC6-842A-0861B578E15B}"/>
            </c:ext>
          </c:extLst>
        </c:ser>
        <c:ser>
          <c:idx val="0"/>
          <c:order val="4"/>
          <c:tx>
            <c:strRef>
              <c:f>'5'!$AM$2</c:f>
              <c:strCache>
                <c:ptCount val="1"/>
                <c:pt idx="0">
                  <c:v>never</c:v>
                </c:pt>
              </c:strCache>
            </c:strRef>
          </c:tx>
          <c:spPr>
            <a:solidFill>
              <a:srgbClr val="FF0000"/>
            </a:solidFill>
            <a:ln>
              <a:noFill/>
            </a:ln>
            <a:effectLst/>
          </c:spPr>
          <c:invertIfNegative val="0"/>
          <c:cat>
            <c:strRef>
              <c:f>'5'!$AS$1:$AZ$1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'5'!$AS$2:$AZ$2</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BEDF-4EC6-842A-0861B578E15B}"/>
            </c:ext>
          </c:extLst>
        </c:ser>
        <c:dLbls>
          <c:showLegendKey val="0"/>
          <c:showVal val="0"/>
          <c:showCatName val="0"/>
          <c:showSerName val="0"/>
          <c:showPercent val="0"/>
          <c:showBubbleSize val="0"/>
        </c:dLbls>
        <c:gapWidth val="130"/>
        <c:overlap val="100"/>
        <c:axId val="541558504"/>
        <c:axId val="541566048"/>
      </c:barChart>
      <c:catAx>
        <c:axId val="54155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1566048"/>
        <c:crosses val="autoZero"/>
        <c:auto val="1"/>
        <c:lblAlgn val="ctr"/>
        <c:lblOffset val="100"/>
        <c:noMultiLvlLbl val="0"/>
      </c:catAx>
      <c:valAx>
        <c:axId val="541566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1558504"/>
        <c:crosses val="autoZero"/>
        <c:crossBetween val="between"/>
      </c:valAx>
      <c:spPr>
        <a:noFill/>
        <a:ln>
          <a:noFill/>
        </a:ln>
        <a:effectLst/>
      </c:spPr>
    </c:plotArea>
    <c:legend>
      <c:legendPos val="r"/>
      <c:layout>
        <c:manualLayout>
          <c:xMode val="edge"/>
          <c:yMode val="edge"/>
          <c:x val="0.84204616244388941"/>
          <c:y val="0.29210869461229616"/>
          <c:w val="0.14269054577284937"/>
          <c:h val="0.360456874203666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User can proceed with poor samples</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'5'!$BB$2</c:f>
              <c:strCache>
                <c:ptCount val="1"/>
                <c:pt idx="0">
                  <c:v>never</c:v>
                </c:pt>
              </c:strCache>
            </c:strRef>
          </c:tx>
          <c:spPr>
            <a:solidFill>
              <a:schemeClr val="accent1"/>
            </a:solidFill>
            <a:ln>
              <a:noFill/>
            </a:ln>
            <a:effectLst/>
          </c:spPr>
          <c:invertIfNegative val="0"/>
          <c:cat>
            <c:strRef>
              <c:f>'5'!$BH$1:$BO$1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'5'!$BH$2:$BO$2</c:f>
              <c:numCache>
                <c:formatCode>General</c:formatCode>
                <c:ptCount val="8"/>
                <c:pt idx="0">
                  <c:v>2</c:v>
                </c:pt>
                <c:pt idx="1">
                  <c:v>3</c:v>
                </c:pt>
                <c:pt idx="2">
                  <c:v>0</c:v>
                </c:pt>
                <c:pt idx="3">
                  <c:v>1</c:v>
                </c:pt>
                <c:pt idx="4">
                  <c:v>5</c:v>
                </c:pt>
                <c:pt idx="5">
                  <c:v>3</c:v>
                </c:pt>
                <c:pt idx="6">
                  <c:v>2</c:v>
                </c:pt>
                <c:pt idx="7">
                  <c:v>2</c:v>
                </c:pt>
              </c:numCache>
            </c:numRef>
          </c:val>
          <c:extLst>
            <c:ext xmlns:c16="http://schemas.microsoft.com/office/drawing/2014/chart" uri="{C3380CC4-5D6E-409C-BE32-E72D297353CC}">
              <c16:uniqueId val="{00000000-5ACA-43E2-BB9C-BC3B5D164329}"/>
            </c:ext>
          </c:extLst>
        </c:ser>
        <c:ser>
          <c:idx val="1"/>
          <c:order val="1"/>
          <c:tx>
            <c:strRef>
              <c:f>'5'!$BB$3</c:f>
              <c:strCache>
                <c:ptCount val="1"/>
                <c:pt idx="0">
                  <c:v>rarely</c:v>
                </c:pt>
              </c:strCache>
            </c:strRef>
          </c:tx>
          <c:spPr>
            <a:solidFill>
              <a:schemeClr val="accent5">
                <a:lumMod val="40000"/>
                <a:lumOff val="60000"/>
              </a:schemeClr>
            </a:solidFill>
            <a:ln>
              <a:noFill/>
            </a:ln>
            <a:effectLst/>
          </c:spPr>
          <c:invertIfNegative val="0"/>
          <c:cat>
            <c:strRef>
              <c:f>'5'!$BH$1:$BO$1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'5'!$BH$3:$BO$3</c:f>
              <c:numCache>
                <c:formatCode>General</c:formatCode>
                <c:ptCount val="8"/>
                <c:pt idx="0">
                  <c:v>13</c:v>
                </c:pt>
                <c:pt idx="1">
                  <c:v>11</c:v>
                </c:pt>
                <c:pt idx="2">
                  <c:v>2</c:v>
                </c:pt>
                <c:pt idx="3">
                  <c:v>3</c:v>
                </c:pt>
                <c:pt idx="4">
                  <c:v>17</c:v>
                </c:pt>
                <c:pt idx="5">
                  <c:v>2</c:v>
                </c:pt>
                <c:pt idx="6">
                  <c:v>1</c:v>
                </c:pt>
                <c:pt idx="7">
                  <c:v>19</c:v>
                </c:pt>
              </c:numCache>
            </c:numRef>
          </c:val>
          <c:extLst>
            <c:ext xmlns:c16="http://schemas.microsoft.com/office/drawing/2014/chart" uri="{C3380CC4-5D6E-409C-BE32-E72D297353CC}">
              <c16:uniqueId val="{00000001-5ACA-43E2-BB9C-BC3B5D164329}"/>
            </c:ext>
          </c:extLst>
        </c:ser>
        <c:ser>
          <c:idx val="2"/>
          <c:order val="2"/>
          <c:tx>
            <c:strRef>
              <c:f>'5'!$BB$4</c:f>
              <c:strCache>
                <c:ptCount val="1"/>
                <c:pt idx="0">
                  <c:v>sometimes</c:v>
                </c:pt>
              </c:strCache>
            </c:strRef>
          </c:tx>
          <c:spPr>
            <a:solidFill>
              <a:srgbClr val="FFC000"/>
            </a:solidFill>
            <a:ln>
              <a:noFill/>
            </a:ln>
            <a:effectLst/>
          </c:spPr>
          <c:invertIfNegative val="0"/>
          <c:cat>
            <c:strRef>
              <c:f>'5'!$BH$1:$BO$1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'5'!$BH$4:$BO$4</c:f>
              <c:numCache>
                <c:formatCode>General</c:formatCode>
                <c:ptCount val="8"/>
                <c:pt idx="0">
                  <c:v>16</c:v>
                </c:pt>
                <c:pt idx="1">
                  <c:v>7</c:v>
                </c:pt>
                <c:pt idx="2">
                  <c:v>4</c:v>
                </c:pt>
                <c:pt idx="3">
                  <c:v>1</c:v>
                </c:pt>
                <c:pt idx="4">
                  <c:v>22</c:v>
                </c:pt>
                <c:pt idx="5">
                  <c:v>4</c:v>
                </c:pt>
                <c:pt idx="6">
                  <c:v>4</c:v>
                </c:pt>
                <c:pt idx="7">
                  <c:v>5</c:v>
                </c:pt>
              </c:numCache>
            </c:numRef>
          </c:val>
          <c:extLst>
            <c:ext xmlns:c16="http://schemas.microsoft.com/office/drawing/2014/chart" uri="{C3380CC4-5D6E-409C-BE32-E72D297353CC}">
              <c16:uniqueId val="{00000002-5ACA-43E2-BB9C-BC3B5D164329}"/>
            </c:ext>
          </c:extLst>
        </c:ser>
        <c:ser>
          <c:idx val="3"/>
          <c:order val="3"/>
          <c:tx>
            <c:strRef>
              <c:f>'5'!$BB$5</c:f>
              <c:strCache>
                <c:ptCount val="1"/>
                <c:pt idx="0">
                  <c:v>often</c:v>
                </c:pt>
              </c:strCache>
            </c:strRef>
          </c:tx>
          <c:spPr>
            <a:solidFill>
              <a:srgbClr val="FF9933"/>
            </a:solidFill>
            <a:ln>
              <a:noFill/>
            </a:ln>
            <a:effectLst/>
          </c:spPr>
          <c:invertIfNegative val="0"/>
          <c:cat>
            <c:strRef>
              <c:f>'5'!$BH$1:$BO$1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'5'!$BH$5:$BO$5</c:f>
              <c:numCache>
                <c:formatCode>General</c:formatCode>
                <c:ptCount val="8"/>
                <c:pt idx="0">
                  <c:v>8</c:v>
                </c:pt>
                <c:pt idx="1">
                  <c:v>4</c:v>
                </c:pt>
                <c:pt idx="2">
                  <c:v>1</c:v>
                </c:pt>
                <c:pt idx="3">
                  <c:v>0</c:v>
                </c:pt>
                <c:pt idx="4">
                  <c:v>4</c:v>
                </c:pt>
                <c:pt idx="5">
                  <c:v>0</c:v>
                </c:pt>
                <c:pt idx="6">
                  <c:v>0</c:v>
                </c:pt>
                <c:pt idx="7">
                  <c:v>1</c:v>
                </c:pt>
              </c:numCache>
            </c:numRef>
          </c:val>
          <c:extLst>
            <c:ext xmlns:c16="http://schemas.microsoft.com/office/drawing/2014/chart" uri="{C3380CC4-5D6E-409C-BE32-E72D297353CC}">
              <c16:uniqueId val="{00000003-5ACA-43E2-BB9C-BC3B5D164329}"/>
            </c:ext>
          </c:extLst>
        </c:ser>
        <c:ser>
          <c:idx val="4"/>
          <c:order val="4"/>
          <c:tx>
            <c:strRef>
              <c:f>'5'!$BB$6</c:f>
              <c:strCache>
                <c:ptCount val="1"/>
                <c:pt idx="0">
                  <c:v>always</c:v>
                </c:pt>
              </c:strCache>
            </c:strRef>
          </c:tx>
          <c:spPr>
            <a:solidFill>
              <a:srgbClr val="FF0000"/>
            </a:solidFill>
            <a:ln>
              <a:noFill/>
            </a:ln>
            <a:effectLst/>
          </c:spPr>
          <c:invertIfNegative val="0"/>
          <c:cat>
            <c:strRef>
              <c:f>'5'!$BH$1:$BO$1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'5'!$BH$6:$BO$6</c:f>
              <c:numCache>
                <c:formatCode>General</c:formatCode>
                <c:ptCount val="8"/>
                <c:pt idx="0">
                  <c:v>4</c:v>
                </c:pt>
                <c:pt idx="1">
                  <c:v>2</c:v>
                </c:pt>
                <c:pt idx="2">
                  <c:v>0</c:v>
                </c:pt>
                <c:pt idx="3">
                  <c:v>0</c:v>
                </c:pt>
                <c:pt idx="4">
                  <c:v>4</c:v>
                </c:pt>
                <c:pt idx="5">
                  <c:v>1</c:v>
                </c:pt>
                <c:pt idx="6">
                  <c:v>0</c:v>
                </c:pt>
                <c:pt idx="7">
                  <c:v>0</c:v>
                </c:pt>
              </c:numCache>
            </c:numRef>
          </c:val>
          <c:extLst>
            <c:ext xmlns:c16="http://schemas.microsoft.com/office/drawing/2014/chart" uri="{C3380CC4-5D6E-409C-BE32-E72D297353CC}">
              <c16:uniqueId val="{00000004-5ACA-43E2-BB9C-BC3B5D164329}"/>
            </c:ext>
          </c:extLst>
        </c:ser>
        <c:dLbls>
          <c:showLegendKey val="0"/>
          <c:showVal val="0"/>
          <c:showCatName val="0"/>
          <c:showSerName val="0"/>
          <c:showPercent val="0"/>
          <c:showBubbleSize val="0"/>
        </c:dLbls>
        <c:gapWidth val="130"/>
        <c:overlap val="100"/>
        <c:axId val="541552928"/>
        <c:axId val="541555224"/>
      </c:barChart>
      <c:catAx>
        <c:axId val="54155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1555224"/>
        <c:crosses val="autoZero"/>
        <c:auto val="1"/>
        <c:lblAlgn val="ctr"/>
        <c:lblOffset val="100"/>
        <c:noMultiLvlLbl val="0"/>
      </c:catAx>
      <c:valAx>
        <c:axId val="541555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1552928"/>
        <c:crosses val="autoZero"/>
        <c:crossBetween val="between"/>
      </c:valAx>
      <c:spPr>
        <a:noFill/>
        <a:ln>
          <a:noFill/>
        </a:ln>
        <a:effectLst/>
      </c:spPr>
    </c:plotArea>
    <c:legend>
      <c:legendPos val="r"/>
      <c:layout>
        <c:manualLayout>
          <c:xMode val="edge"/>
          <c:yMode val="edge"/>
          <c:x val="0.84152206854694478"/>
          <c:y val="0.32062428590206371"/>
          <c:w val="0.1431639957715852"/>
          <c:h val="0.362663800163800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CF provides information</a:t>
            </a:r>
            <a:endParaRPr lang="en-GB" sz="1400">
              <a:effectLst/>
            </a:endParaRPr>
          </a:p>
          <a:p>
            <a:pPr>
              <a:defRPr/>
            </a:pPr>
            <a:r>
              <a:rPr lang="en-GB" sz="1400" b="0" i="0" baseline="0">
                <a:effectLst/>
              </a:rPr>
              <a:t> on sample preparation</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'5'!$H$2</c:f>
              <c:strCache>
                <c:ptCount val="1"/>
                <c:pt idx="0">
                  <c:v>Yes</c:v>
                </c:pt>
              </c:strCache>
            </c:strRef>
          </c:tx>
          <c:spPr>
            <a:solidFill>
              <a:schemeClr val="accent1"/>
            </a:solidFill>
            <a:ln>
              <a:noFill/>
            </a:ln>
            <a:effectLst/>
          </c:spPr>
          <c:invertIfNegative val="0"/>
          <c:cat>
            <c:strRef>
              <c:f>'5'!$K$1:$M$1</c:f>
              <c:strCache>
                <c:ptCount val="3"/>
                <c:pt idx="0">
                  <c:v>full-service</c:v>
                </c:pt>
                <c:pt idx="1">
                  <c:v>hybrid-service</c:v>
                </c:pt>
                <c:pt idx="2">
                  <c:v>self-service</c:v>
                </c:pt>
              </c:strCache>
            </c:strRef>
          </c:cat>
          <c:val>
            <c:numRef>
              <c:f>'5'!$K$2:$M$2</c:f>
              <c:numCache>
                <c:formatCode>General</c:formatCode>
                <c:ptCount val="3"/>
                <c:pt idx="0">
                  <c:v>71</c:v>
                </c:pt>
                <c:pt idx="1">
                  <c:v>166</c:v>
                </c:pt>
                <c:pt idx="2">
                  <c:v>26</c:v>
                </c:pt>
              </c:numCache>
            </c:numRef>
          </c:val>
          <c:extLst>
            <c:ext xmlns:c16="http://schemas.microsoft.com/office/drawing/2014/chart" uri="{C3380CC4-5D6E-409C-BE32-E72D297353CC}">
              <c16:uniqueId val="{00000000-AEE7-434D-A981-02B4AFC46D4E}"/>
            </c:ext>
          </c:extLst>
        </c:ser>
        <c:ser>
          <c:idx val="1"/>
          <c:order val="1"/>
          <c:tx>
            <c:strRef>
              <c:f>'5'!$H$3</c:f>
              <c:strCache>
                <c:ptCount val="1"/>
                <c:pt idx="0">
                  <c:v>No</c:v>
                </c:pt>
              </c:strCache>
            </c:strRef>
          </c:tx>
          <c:spPr>
            <a:solidFill>
              <a:srgbClr val="FF0000"/>
            </a:solidFill>
            <a:ln>
              <a:noFill/>
            </a:ln>
            <a:effectLst/>
          </c:spPr>
          <c:invertIfNegative val="0"/>
          <c:cat>
            <c:strRef>
              <c:f>'5'!$K$1:$M$1</c:f>
              <c:strCache>
                <c:ptCount val="3"/>
                <c:pt idx="0">
                  <c:v>full-service</c:v>
                </c:pt>
                <c:pt idx="1">
                  <c:v>hybrid-service</c:v>
                </c:pt>
                <c:pt idx="2">
                  <c:v>self-service</c:v>
                </c:pt>
              </c:strCache>
            </c:strRef>
          </c:cat>
          <c:val>
            <c:numRef>
              <c:f>'5'!$K$3:$M$3</c:f>
              <c:numCache>
                <c:formatCode>General</c:formatCode>
                <c:ptCount val="3"/>
                <c:pt idx="0">
                  <c:v>0</c:v>
                </c:pt>
                <c:pt idx="1">
                  <c:v>9</c:v>
                </c:pt>
                <c:pt idx="2">
                  <c:v>2</c:v>
                </c:pt>
              </c:numCache>
            </c:numRef>
          </c:val>
          <c:extLst>
            <c:ext xmlns:c16="http://schemas.microsoft.com/office/drawing/2014/chart" uri="{C3380CC4-5D6E-409C-BE32-E72D297353CC}">
              <c16:uniqueId val="{00000001-AEE7-434D-A981-02B4AFC46D4E}"/>
            </c:ext>
          </c:extLst>
        </c:ser>
        <c:dLbls>
          <c:showLegendKey val="0"/>
          <c:showVal val="0"/>
          <c:showCatName val="0"/>
          <c:showSerName val="0"/>
          <c:showPercent val="0"/>
          <c:showBubbleSize val="0"/>
        </c:dLbls>
        <c:gapWidth val="130"/>
        <c:overlap val="100"/>
        <c:axId val="441249640"/>
        <c:axId val="441255872"/>
      </c:barChart>
      <c:catAx>
        <c:axId val="44124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1255872"/>
        <c:crosses val="autoZero"/>
        <c:auto val="1"/>
        <c:lblAlgn val="ctr"/>
        <c:lblOffset val="100"/>
        <c:noMultiLvlLbl val="0"/>
      </c:catAx>
      <c:valAx>
        <c:axId val="4412558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1249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CF provides information</a:t>
            </a:r>
            <a:endParaRPr lang="en-GB" sz="1400">
              <a:effectLst/>
            </a:endParaRPr>
          </a:p>
          <a:p>
            <a:pPr>
              <a:defRPr/>
            </a:pPr>
            <a:r>
              <a:rPr lang="en-GB" sz="1400" b="0" i="0" baseline="0">
                <a:effectLst/>
              </a:rPr>
              <a:t> on sample preparation</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'5'!$H$2</c:f>
              <c:strCache>
                <c:ptCount val="1"/>
                <c:pt idx="0">
                  <c:v>Yes</c:v>
                </c:pt>
              </c:strCache>
            </c:strRef>
          </c:tx>
          <c:spPr>
            <a:solidFill>
              <a:schemeClr val="accent1"/>
            </a:solidFill>
            <a:ln>
              <a:noFill/>
            </a:ln>
            <a:effectLst/>
          </c:spPr>
          <c:invertIfNegative val="0"/>
          <c:cat>
            <c:strRef>
              <c:f>'5'!$O$1:$V$1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'5'!$O$2:$V$2</c:f>
              <c:numCache>
                <c:formatCode>General</c:formatCode>
                <c:ptCount val="8"/>
                <c:pt idx="0">
                  <c:v>48</c:v>
                </c:pt>
                <c:pt idx="1">
                  <c:v>32</c:v>
                </c:pt>
                <c:pt idx="2">
                  <c:v>11</c:v>
                </c:pt>
                <c:pt idx="3">
                  <c:v>8</c:v>
                </c:pt>
                <c:pt idx="4">
                  <c:v>62</c:v>
                </c:pt>
                <c:pt idx="5">
                  <c:v>15</c:v>
                </c:pt>
                <c:pt idx="6">
                  <c:v>8</c:v>
                </c:pt>
                <c:pt idx="7">
                  <c:v>35</c:v>
                </c:pt>
              </c:numCache>
            </c:numRef>
          </c:val>
          <c:extLst>
            <c:ext xmlns:c16="http://schemas.microsoft.com/office/drawing/2014/chart" uri="{C3380CC4-5D6E-409C-BE32-E72D297353CC}">
              <c16:uniqueId val="{00000000-5240-41CE-AFDA-384BD6BF0568}"/>
            </c:ext>
          </c:extLst>
        </c:ser>
        <c:ser>
          <c:idx val="1"/>
          <c:order val="1"/>
          <c:tx>
            <c:strRef>
              <c:f>'5'!$H$3</c:f>
              <c:strCache>
                <c:ptCount val="1"/>
                <c:pt idx="0">
                  <c:v>No</c:v>
                </c:pt>
              </c:strCache>
            </c:strRef>
          </c:tx>
          <c:spPr>
            <a:solidFill>
              <a:srgbClr val="FF0000"/>
            </a:solidFill>
            <a:ln>
              <a:noFill/>
            </a:ln>
            <a:effectLst/>
          </c:spPr>
          <c:invertIfNegative val="0"/>
          <c:cat>
            <c:strRef>
              <c:f>'5'!$O$1:$V$1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'5'!$O$3:$V$3</c:f>
              <c:numCache>
                <c:formatCode>General</c:formatCode>
                <c:ptCount val="8"/>
                <c:pt idx="0">
                  <c:v>2</c:v>
                </c:pt>
                <c:pt idx="1">
                  <c:v>1</c:v>
                </c:pt>
                <c:pt idx="2">
                  <c:v>0</c:v>
                </c:pt>
                <c:pt idx="3">
                  <c:v>0</c:v>
                </c:pt>
                <c:pt idx="4">
                  <c:v>0</c:v>
                </c:pt>
                <c:pt idx="5">
                  <c:v>1</c:v>
                </c:pt>
                <c:pt idx="6">
                  <c:v>0</c:v>
                </c:pt>
                <c:pt idx="7">
                  <c:v>0</c:v>
                </c:pt>
              </c:numCache>
            </c:numRef>
          </c:val>
          <c:extLst>
            <c:ext xmlns:c16="http://schemas.microsoft.com/office/drawing/2014/chart" uri="{C3380CC4-5D6E-409C-BE32-E72D297353CC}">
              <c16:uniqueId val="{00000001-5240-41CE-AFDA-384BD6BF0568}"/>
            </c:ext>
          </c:extLst>
        </c:ser>
        <c:dLbls>
          <c:showLegendKey val="0"/>
          <c:showVal val="0"/>
          <c:showCatName val="0"/>
          <c:showSerName val="0"/>
          <c:showPercent val="0"/>
          <c:showBubbleSize val="0"/>
        </c:dLbls>
        <c:gapWidth val="130"/>
        <c:overlap val="100"/>
        <c:axId val="470926104"/>
        <c:axId val="470922496"/>
      </c:barChart>
      <c:catAx>
        <c:axId val="47092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922496"/>
        <c:crosses val="autoZero"/>
        <c:auto val="1"/>
        <c:lblAlgn val="ctr"/>
        <c:lblOffset val="100"/>
        <c:noMultiLvlLbl val="0"/>
      </c:catAx>
      <c:valAx>
        <c:axId val="4709224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9261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are randomized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'6'!$BB$1</c:f>
              <c:strCache>
                <c:ptCount val="1"/>
                <c:pt idx="0">
                  <c:v>currently</c:v>
                </c:pt>
              </c:strCache>
            </c:strRef>
          </c:tx>
          <c:spPr>
            <a:solidFill>
              <a:srgbClr val="88CCEE"/>
            </a:solidFill>
            <a:ln>
              <a:noFill/>
            </a:ln>
            <a:effectLst/>
          </c:spPr>
          <c:invertIfNegative val="0"/>
          <c:cat>
            <c:strRef>
              <c:f>'6'!$BA$2:$BA$6</c:f>
              <c:strCache>
                <c:ptCount val="5"/>
                <c:pt idx="0">
                  <c:v>strongly disagree</c:v>
                </c:pt>
                <c:pt idx="1">
                  <c:v>somewhat disagree</c:v>
                </c:pt>
                <c:pt idx="2">
                  <c:v>neither</c:v>
                </c:pt>
                <c:pt idx="3">
                  <c:v>somewhat agree</c:v>
                </c:pt>
                <c:pt idx="4">
                  <c:v>strongly agree</c:v>
                </c:pt>
              </c:strCache>
            </c:strRef>
          </c:cat>
          <c:val>
            <c:numRef>
              <c:f>'6'!$BB$2:$BB$6</c:f>
              <c:numCache>
                <c:formatCode>General</c:formatCode>
                <c:ptCount val="5"/>
                <c:pt idx="0">
                  <c:v>46</c:v>
                </c:pt>
                <c:pt idx="1">
                  <c:v>36</c:v>
                </c:pt>
                <c:pt idx="2">
                  <c:v>115</c:v>
                </c:pt>
                <c:pt idx="3">
                  <c:v>36</c:v>
                </c:pt>
                <c:pt idx="4">
                  <c:v>38</c:v>
                </c:pt>
              </c:numCache>
            </c:numRef>
          </c:val>
          <c:extLst>
            <c:ext xmlns:c16="http://schemas.microsoft.com/office/drawing/2014/chart" uri="{C3380CC4-5D6E-409C-BE32-E72D297353CC}">
              <c16:uniqueId val="{00000000-5027-41C8-B3EE-44D755A0FA30}"/>
            </c:ext>
          </c:extLst>
        </c:ser>
        <c:ser>
          <c:idx val="1"/>
          <c:order val="1"/>
          <c:tx>
            <c:strRef>
              <c:f>'6'!$BC$1</c:f>
              <c:strCache>
                <c:ptCount val="1"/>
                <c:pt idx="0">
                  <c:v>importance</c:v>
                </c:pt>
              </c:strCache>
            </c:strRef>
          </c:tx>
          <c:spPr>
            <a:solidFill>
              <a:srgbClr val="CC6677"/>
            </a:solidFill>
            <a:ln>
              <a:noFill/>
            </a:ln>
            <a:effectLst/>
          </c:spPr>
          <c:invertIfNegative val="0"/>
          <c:cat>
            <c:strRef>
              <c:f>'6'!$BA$2:$BA$6</c:f>
              <c:strCache>
                <c:ptCount val="5"/>
                <c:pt idx="0">
                  <c:v>strongly disagree</c:v>
                </c:pt>
                <c:pt idx="1">
                  <c:v>somewhat disagree</c:v>
                </c:pt>
                <c:pt idx="2">
                  <c:v>neither</c:v>
                </c:pt>
                <c:pt idx="3">
                  <c:v>somewhat agree</c:v>
                </c:pt>
                <c:pt idx="4">
                  <c:v>strongly agree</c:v>
                </c:pt>
              </c:strCache>
            </c:strRef>
          </c:cat>
          <c:val>
            <c:numRef>
              <c:f>'6'!$BC$2:$BC$6</c:f>
              <c:numCache>
                <c:formatCode>General</c:formatCode>
                <c:ptCount val="5"/>
                <c:pt idx="0">
                  <c:v>46</c:v>
                </c:pt>
                <c:pt idx="1">
                  <c:v>26</c:v>
                </c:pt>
                <c:pt idx="2">
                  <c:v>82</c:v>
                </c:pt>
                <c:pt idx="3">
                  <c:v>44</c:v>
                </c:pt>
                <c:pt idx="4">
                  <c:v>73</c:v>
                </c:pt>
              </c:numCache>
            </c:numRef>
          </c:val>
          <c:extLst>
            <c:ext xmlns:c16="http://schemas.microsoft.com/office/drawing/2014/chart" uri="{C3380CC4-5D6E-409C-BE32-E72D297353CC}">
              <c16:uniqueId val="{00000001-5027-41C8-B3EE-44D755A0FA30}"/>
            </c:ext>
          </c:extLst>
        </c:ser>
        <c:dLbls>
          <c:showLegendKey val="0"/>
          <c:showVal val="0"/>
          <c:showCatName val="0"/>
          <c:showSerName val="0"/>
          <c:showPercent val="0"/>
          <c:showBubbleSize val="0"/>
        </c:dLbls>
        <c:gapWidth val="130"/>
        <c:overlap val="-27"/>
        <c:axId val="276746336"/>
        <c:axId val="276746664"/>
      </c:barChart>
      <c:catAx>
        <c:axId val="27674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664"/>
        <c:crosses val="autoZero"/>
        <c:auto val="1"/>
        <c:lblAlgn val="ctr"/>
        <c:lblOffset val="100"/>
        <c:noMultiLvlLbl val="0"/>
      </c:catAx>
      <c:valAx>
        <c:axId val="276746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3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 experiments</a:t>
            </a:r>
            <a:r>
              <a:rPr lang="en-GB" baseline="0"/>
              <a:t> are replicated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'6'!$BF$1</c:f>
              <c:strCache>
                <c:ptCount val="1"/>
                <c:pt idx="0">
                  <c:v>currently</c:v>
                </c:pt>
              </c:strCache>
            </c:strRef>
          </c:tx>
          <c:spPr>
            <a:solidFill>
              <a:srgbClr val="88CCEE"/>
            </a:solidFill>
            <a:ln>
              <a:noFill/>
            </a:ln>
            <a:effectLst/>
          </c:spPr>
          <c:invertIfNegative val="0"/>
          <c:cat>
            <c:strRef>
              <c:f>'6'!$BE$2:$BE$6</c:f>
              <c:strCache>
                <c:ptCount val="5"/>
                <c:pt idx="0">
                  <c:v>strongly disagree</c:v>
                </c:pt>
                <c:pt idx="1">
                  <c:v>somewhat disagree</c:v>
                </c:pt>
                <c:pt idx="2">
                  <c:v>neither</c:v>
                </c:pt>
                <c:pt idx="3">
                  <c:v>somewhat agree</c:v>
                </c:pt>
                <c:pt idx="4">
                  <c:v>strongly agree</c:v>
                </c:pt>
              </c:strCache>
            </c:strRef>
          </c:cat>
          <c:val>
            <c:numRef>
              <c:f>'6'!$BF$2:$BF$6</c:f>
              <c:numCache>
                <c:formatCode>General</c:formatCode>
                <c:ptCount val="5"/>
                <c:pt idx="0">
                  <c:v>20</c:v>
                </c:pt>
                <c:pt idx="1">
                  <c:v>26</c:v>
                </c:pt>
                <c:pt idx="2">
                  <c:v>64</c:v>
                </c:pt>
                <c:pt idx="3">
                  <c:v>71</c:v>
                </c:pt>
                <c:pt idx="4">
                  <c:v>90</c:v>
                </c:pt>
              </c:numCache>
            </c:numRef>
          </c:val>
          <c:extLst>
            <c:ext xmlns:c16="http://schemas.microsoft.com/office/drawing/2014/chart" uri="{C3380CC4-5D6E-409C-BE32-E72D297353CC}">
              <c16:uniqueId val="{00000000-9091-41FD-8325-F82FE20C71DE}"/>
            </c:ext>
          </c:extLst>
        </c:ser>
        <c:ser>
          <c:idx val="1"/>
          <c:order val="1"/>
          <c:tx>
            <c:strRef>
              <c:f>'6'!$BG$1</c:f>
              <c:strCache>
                <c:ptCount val="1"/>
                <c:pt idx="0">
                  <c:v>importance</c:v>
                </c:pt>
              </c:strCache>
            </c:strRef>
          </c:tx>
          <c:spPr>
            <a:solidFill>
              <a:srgbClr val="CC6677"/>
            </a:solidFill>
            <a:ln>
              <a:noFill/>
            </a:ln>
            <a:effectLst/>
          </c:spPr>
          <c:invertIfNegative val="0"/>
          <c:cat>
            <c:strRef>
              <c:f>'6'!$BE$2:$BE$6</c:f>
              <c:strCache>
                <c:ptCount val="5"/>
                <c:pt idx="0">
                  <c:v>strongly disagree</c:v>
                </c:pt>
                <c:pt idx="1">
                  <c:v>somewhat disagree</c:v>
                </c:pt>
                <c:pt idx="2">
                  <c:v>neither</c:v>
                </c:pt>
                <c:pt idx="3">
                  <c:v>somewhat agree</c:v>
                </c:pt>
                <c:pt idx="4">
                  <c:v>strongly agree</c:v>
                </c:pt>
              </c:strCache>
            </c:strRef>
          </c:cat>
          <c:val>
            <c:numRef>
              <c:f>'6'!$BG$2:$BG$6</c:f>
              <c:numCache>
                <c:formatCode>General</c:formatCode>
                <c:ptCount val="5"/>
                <c:pt idx="0">
                  <c:v>43</c:v>
                </c:pt>
                <c:pt idx="1">
                  <c:v>11</c:v>
                </c:pt>
                <c:pt idx="2">
                  <c:v>28</c:v>
                </c:pt>
                <c:pt idx="3">
                  <c:v>25</c:v>
                </c:pt>
                <c:pt idx="4">
                  <c:v>164</c:v>
                </c:pt>
              </c:numCache>
            </c:numRef>
          </c:val>
          <c:extLst>
            <c:ext xmlns:c16="http://schemas.microsoft.com/office/drawing/2014/chart" uri="{C3380CC4-5D6E-409C-BE32-E72D297353CC}">
              <c16:uniqueId val="{00000001-9091-41FD-8325-F82FE20C71DE}"/>
            </c:ext>
          </c:extLst>
        </c:ser>
        <c:dLbls>
          <c:showLegendKey val="0"/>
          <c:showVal val="0"/>
          <c:showCatName val="0"/>
          <c:showSerName val="0"/>
          <c:showPercent val="0"/>
          <c:showBubbleSize val="0"/>
        </c:dLbls>
        <c:gapWidth val="130"/>
        <c:overlap val="-27"/>
        <c:axId val="361311872"/>
        <c:axId val="361313184"/>
      </c:barChart>
      <c:catAx>
        <c:axId val="36131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1313184"/>
        <c:crosses val="autoZero"/>
        <c:auto val="1"/>
        <c:lblAlgn val="ctr"/>
        <c:lblOffset val="100"/>
        <c:noMultiLvlLbl val="0"/>
      </c:catAx>
      <c:valAx>
        <c:axId val="361313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13118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employees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'1'!$AL$2</c:f>
              <c:strCache>
                <c:ptCount val="1"/>
                <c:pt idx="0">
                  <c:v>1-4</c:v>
                </c:pt>
              </c:strCache>
            </c:strRef>
          </c:tx>
          <c:spPr>
            <a:solidFill>
              <a:srgbClr val="FFC000"/>
            </a:solidFill>
            <a:ln>
              <a:noFill/>
            </a:ln>
            <a:effectLst/>
          </c:spPr>
          <c:invertIfNegative val="0"/>
          <c:cat>
            <c:strRef>
              <c:f>'1'!$AN$1:$AU$1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'1'!$AN$2:$AU$2</c:f>
              <c:numCache>
                <c:formatCode>General</c:formatCode>
                <c:ptCount val="8"/>
                <c:pt idx="0">
                  <c:v>41</c:v>
                </c:pt>
                <c:pt idx="1">
                  <c:v>13</c:v>
                </c:pt>
                <c:pt idx="2">
                  <c:v>8</c:v>
                </c:pt>
                <c:pt idx="3">
                  <c:v>5</c:v>
                </c:pt>
                <c:pt idx="4">
                  <c:v>48</c:v>
                </c:pt>
                <c:pt idx="5">
                  <c:v>11</c:v>
                </c:pt>
                <c:pt idx="6">
                  <c:v>6</c:v>
                </c:pt>
                <c:pt idx="7">
                  <c:v>20</c:v>
                </c:pt>
              </c:numCache>
            </c:numRef>
          </c:val>
          <c:extLst>
            <c:ext xmlns:c16="http://schemas.microsoft.com/office/drawing/2014/chart" uri="{C3380CC4-5D6E-409C-BE32-E72D297353CC}">
              <c16:uniqueId val="{00000000-2EB7-4265-A7AC-D27B0FD390F2}"/>
            </c:ext>
          </c:extLst>
        </c:ser>
        <c:ser>
          <c:idx val="1"/>
          <c:order val="1"/>
          <c:tx>
            <c:strRef>
              <c:f>'1'!$AL$3</c:f>
              <c:strCache>
                <c:ptCount val="1"/>
                <c:pt idx="0">
                  <c:v>5-8</c:v>
                </c:pt>
              </c:strCache>
            </c:strRef>
          </c:tx>
          <c:spPr>
            <a:solidFill>
              <a:srgbClr val="FF9900"/>
            </a:solidFill>
            <a:ln>
              <a:noFill/>
            </a:ln>
            <a:effectLst/>
          </c:spPr>
          <c:invertIfNegative val="0"/>
          <c:cat>
            <c:strRef>
              <c:f>'1'!$AN$1:$AU$1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'1'!$AN$3:$AU$3</c:f>
              <c:numCache>
                <c:formatCode>General</c:formatCode>
                <c:ptCount val="8"/>
                <c:pt idx="0">
                  <c:v>6</c:v>
                </c:pt>
                <c:pt idx="1">
                  <c:v>12</c:v>
                </c:pt>
                <c:pt idx="2">
                  <c:v>1</c:v>
                </c:pt>
                <c:pt idx="3">
                  <c:v>3</c:v>
                </c:pt>
                <c:pt idx="4">
                  <c:v>10</c:v>
                </c:pt>
                <c:pt idx="5">
                  <c:v>3</c:v>
                </c:pt>
                <c:pt idx="6">
                  <c:v>2</c:v>
                </c:pt>
                <c:pt idx="7">
                  <c:v>9</c:v>
                </c:pt>
              </c:numCache>
            </c:numRef>
          </c:val>
          <c:extLst>
            <c:ext xmlns:c16="http://schemas.microsoft.com/office/drawing/2014/chart" uri="{C3380CC4-5D6E-409C-BE32-E72D297353CC}">
              <c16:uniqueId val="{00000001-2EB7-4265-A7AC-D27B0FD390F2}"/>
            </c:ext>
          </c:extLst>
        </c:ser>
        <c:ser>
          <c:idx val="2"/>
          <c:order val="2"/>
          <c:tx>
            <c:strRef>
              <c:f>'1'!$AL$4</c:f>
              <c:strCache>
                <c:ptCount val="1"/>
                <c:pt idx="0">
                  <c:v>9-12</c:v>
                </c:pt>
              </c:strCache>
            </c:strRef>
          </c:tx>
          <c:spPr>
            <a:solidFill>
              <a:srgbClr val="FF3300"/>
            </a:solidFill>
            <a:ln>
              <a:noFill/>
            </a:ln>
            <a:effectLst/>
          </c:spPr>
          <c:invertIfNegative val="0"/>
          <c:cat>
            <c:strRef>
              <c:f>'1'!$AN$1:$AU$1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'1'!$AN$4:$AU$4</c:f>
              <c:numCache>
                <c:formatCode>General</c:formatCode>
                <c:ptCount val="8"/>
                <c:pt idx="0">
                  <c:v>2</c:v>
                </c:pt>
                <c:pt idx="1">
                  <c:v>3</c:v>
                </c:pt>
                <c:pt idx="2">
                  <c:v>2</c:v>
                </c:pt>
                <c:pt idx="3">
                  <c:v>0</c:v>
                </c:pt>
                <c:pt idx="4">
                  <c:v>1</c:v>
                </c:pt>
                <c:pt idx="5">
                  <c:v>0</c:v>
                </c:pt>
                <c:pt idx="6">
                  <c:v>0</c:v>
                </c:pt>
                <c:pt idx="7">
                  <c:v>4</c:v>
                </c:pt>
              </c:numCache>
            </c:numRef>
          </c:val>
          <c:extLst>
            <c:ext xmlns:c16="http://schemas.microsoft.com/office/drawing/2014/chart" uri="{C3380CC4-5D6E-409C-BE32-E72D297353CC}">
              <c16:uniqueId val="{00000002-2EB7-4265-A7AC-D27B0FD390F2}"/>
            </c:ext>
          </c:extLst>
        </c:ser>
        <c:ser>
          <c:idx val="3"/>
          <c:order val="3"/>
          <c:tx>
            <c:strRef>
              <c:f>'1'!$AL$5</c:f>
              <c:strCache>
                <c:ptCount val="1"/>
                <c:pt idx="0">
                  <c:v>13-16</c:v>
                </c:pt>
              </c:strCache>
            </c:strRef>
          </c:tx>
          <c:spPr>
            <a:solidFill>
              <a:srgbClr val="C00000"/>
            </a:solidFill>
            <a:ln>
              <a:noFill/>
            </a:ln>
            <a:effectLst/>
          </c:spPr>
          <c:invertIfNegative val="0"/>
          <c:cat>
            <c:strRef>
              <c:f>'1'!$AN$1:$AU$1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'1'!$AN$5:$AU$5</c:f>
              <c:numCache>
                <c:formatCode>General</c:formatCode>
                <c:ptCount val="8"/>
                <c:pt idx="0">
                  <c:v>1</c:v>
                </c:pt>
                <c:pt idx="1">
                  <c:v>2</c:v>
                </c:pt>
                <c:pt idx="2">
                  <c:v>0</c:v>
                </c:pt>
                <c:pt idx="3">
                  <c:v>0</c:v>
                </c:pt>
                <c:pt idx="4">
                  <c:v>2</c:v>
                </c:pt>
                <c:pt idx="5">
                  <c:v>0</c:v>
                </c:pt>
                <c:pt idx="6">
                  <c:v>0</c:v>
                </c:pt>
                <c:pt idx="7">
                  <c:v>1</c:v>
                </c:pt>
              </c:numCache>
            </c:numRef>
          </c:val>
          <c:extLst>
            <c:ext xmlns:c16="http://schemas.microsoft.com/office/drawing/2014/chart" uri="{C3380CC4-5D6E-409C-BE32-E72D297353CC}">
              <c16:uniqueId val="{00000003-2EB7-4265-A7AC-D27B0FD390F2}"/>
            </c:ext>
          </c:extLst>
        </c:ser>
        <c:ser>
          <c:idx val="4"/>
          <c:order val="4"/>
          <c:tx>
            <c:strRef>
              <c:f>'1'!$AL$6</c:f>
              <c:strCache>
                <c:ptCount val="1"/>
                <c:pt idx="0">
                  <c:v>&gt;16</c:v>
                </c:pt>
              </c:strCache>
            </c:strRef>
          </c:tx>
          <c:spPr>
            <a:solidFill>
              <a:schemeClr val="tx1"/>
            </a:solidFill>
            <a:ln>
              <a:noFill/>
            </a:ln>
            <a:effectLst/>
          </c:spPr>
          <c:invertIfNegative val="0"/>
          <c:cat>
            <c:strRef>
              <c:f>'1'!$AN$1:$AU$1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'1'!$AN$6:$AU$6</c:f>
              <c:numCache>
                <c:formatCode>General</c:formatCode>
                <c:ptCount val="8"/>
                <c:pt idx="0">
                  <c:v>0</c:v>
                </c:pt>
                <c:pt idx="1">
                  <c:v>3</c:v>
                </c:pt>
                <c:pt idx="2">
                  <c:v>0</c:v>
                </c:pt>
                <c:pt idx="3">
                  <c:v>0</c:v>
                </c:pt>
                <c:pt idx="4">
                  <c:v>2</c:v>
                </c:pt>
                <c:pt idx="5">
                  <c:v>2</c:v>
                </c:pt>
                <c:pt idx="6">
                  <c:v>0</c:v>
                </c:pt>
                <c:pt idx="7">
                  <c:v>1</c:v>
                </c:pt>
              </c:numCache>
            </c:numRef>
          </c:val>
          <c:extLst>
            <c:ext xmlns:c16="http://schemas.microsoft.com/office/drawing/2014/chart" uri="{C3380CC4-5D6E-409C-BE32-E72D297353CC}">
              <c16:uniqueId val="{00000004-2EB7-4265-A7AC-D27B0FD390F2}"/>
            </c:ext>
          </c:extLst>
        </c:ser>
        <c:dLbls>
          <c:showLegendKey val="0"/>
          <c:showVal val="0"/>
          <c:showCatName val="0"/>
          <c:showSerName val="0"/>
          <c:showPercent val="0"/>
          <c:showBubbleSize val="0"/>
        </c:dLbls>
        <c:gapWidth val="150"/>
        <c:overlap val="100"/>
        <c:axId val="537163384"/>
        <c:axId val="537157808"/>
      </c:barChart>
      <c:catAx>
        <c:axId val="53716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7157808"/>
        <c:crosses val="autoZero"/>
        <c:auto val="1"/>
        <c:lblAlgn val="ctr"/>
        <c:lblOffset val="100"/>
        <c:noMultiLvlLbl val="0"/>
      </c:catAx>
      <c:valAx>
        <c:axId val="53715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7163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Experiments</a:t>
            </a:r>
            <a:r>
              <a:rPr lang="en-GB" baseline="0"/>
              <a:t> are performed blinded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'6'!$BJ$1</c:f>
              <c:strCache>
                <c:ptCount val="1"/>
                <c:pt idx="0">
                  <c:v>currently</c:v>
                </c:pt>
              </c:strCache>
            </c:strRef>
          </c:tx>
          <c:spPr>
            <a:solidFill>
              <a:srgbClr val="88CCEE"/>
            </a:solidFill>
            <a:ln>
              <a:noFill/>
            </a:ln>
            <a:effectLst/>
          </c:spPr>
          <c:invertIfNegative val="0"/>
          <c:cat>
            <c:strRef>
              <c:f>'6'!$BI$2:$BI$6</c:f>
              <c:strCache>
                <c:ptCount val="5"/>
                <c:pt idx="0">
                  <c:v>strongly disagree</c:v>
                </c:pt>
                <c:pt idx="1">
                  <c:v>somewhat disagree</c:v>
                </c:pt>
                <c:pt idx="2">
                  <c:v>neither</c:v>
                </c:pt>
                <c:pt idx="3">
                  <c:v>somewhat agree</c:v>
                </c:pt>
                <c:pt idx="4">
                  <c:v>strongly agree</c:v>
                </c:pt>
              </c:strCache>
            </c:strRef>
          </c:cat>
          <c:val>
            <c:numRef>
              <c:f>'6'!$BJ$2:$BJ$6</c:f>
              <c:numCache>
                <c:formatCode>General</c:formatCode>
                <c:ptCount val="5"/>
                <c:pt idx="0">
                  <c:v>64</c:v>
                </c:pt>
                <c:pt idx="1">
                  <c:v>42</c:v>
                </c:pt>
                <c:pt idx="2">
                  <c:v>102</c:v>
                </c:pt>
                <c:pt idx="3">
                  <c:v>40</c:v>
                </c:pt>
                <c:pt idx="4">
                  <c:v>23</c:v>
                </c:pt>
              </c:numCache>
            </c:numRef>
          </c:val>
          <c:extLst>
            <c:ext xmlns:c16="http://schemas.microsoft.com/office/drawing/2014/chart" uri="{C3380CC4-5D6E-409C-BE32-E72D297353CC}">
              <c16:uniqueId val="{00000000-D454-458B-B1E3-DA443F8A1128}"/>
            </c:ext>
          </c:extLst>
        </c:ser>
        <c:ser>
          <c:idx val="1"/>
          <c:order val="1"/>
          <c:tx>
            <c:strRef>
              <c:f>'6'!$BK$1</c:f>
              <c:strCache>
                <c:ptCount val="1"/>
                <c:pt idx="0">
                  <c:v>importance</c:v>
                </c:pt>
              </c:strCache>
            </c:strRef>
          </c:tx>
          <c:spPr>
            <a:solidFill>
              <a:srgbClr val="CC6677"/>
            </a:solidFill>
            <a:ln>
              <a:noFill/>
            </a:ln>
            <a:effectLst/>
          </c:spPr>
          <c:invertIfNegative val="0"/>
          <c:cat>
            <c:strRef>
              <c:f>'6'!$BI$2:$BI$6</c:f>
              <c:strCache>
                <c:ptCount val="5"/>
                <c:pt idx="0">
                  <c:v>strongly disagree</c:v>
                </c:pt>
                <c:pt idx="1">
                  <c:v>somewhat disagree</c:v>
                </c:pt>
                <c:pt idx="2">
                  <c:v>neither</c:v>
                </c:pt>
                <c:pt idx="3">
                  <c:v>somewhat agree</c:v>
                </c:pt>
                <c:pt idx="4">
                  <c:v>strongly agree</c:v>
                </c:pt>
              </c:strCache>
            </c:strRef>
          </c:cat>
          <c:val>
            <c:numRef>
              <c:f>'6'!$BK$2:$BK$6</c:f>
              <c:numCache>
                <c:formatCode>General</c:formatCode>
                <c:ptCount val="5"/>
                <c:pt idx="0">
                  <c:v>48</c:v>
                </c:pt>
                <c:pt idx="1">
                  <c:v>20</c:v>
                </c:pt>
                <c:pt idx="2">
                  <c:v>93</c:v>
                </c:pt>
                <c:pt idx="3">
                  <c:v>52</c:v>
                </c:pt>
                <c:pt idx="4">
                  <c:v>58</c:v>
                </c:pt>
              </c:numCache>
            </c:numRef>
          </c:val>
          <c:extLst>
            <c:ext xmlns:c16="http://schemas.microsoft.com/office/drawing/2014/chart" uri="{C3380CC4-5D6E-409C-BE32-E72D297353CC}">
              <c16:uniqueId val="{00000001-D454-458B-B1E3-DA443F8A1128}"/>
            </c:ext>
          </c:extLst>
        </c:ser>
        <c:dLbls>
          <c:showLegendKey val="0"/>
          <c:showVal val="0"/>
          <c:showCatName val="0"/>
          <c:showSerName val="0"/>
          <c:showPercent val="0"/>
          <c:showBubbleSize val="0"/>
        </c:dLbls>
        <c:gapWidth val="130"/>
        <c:overlap val="-27"/>
        <c:axId val="617016496"/>
        <c:axId val="607061688"/>
      </c:barChart>
      <c:catAx>
        <c:axId val="61701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07061688"/>
        <c:crosses val="autoZero"/>
        <c:auto val="1"/>
        <c:lblAlgn val="ctr"/>
        <c:lblOffset val="100"/>
        <c:noMultiLvlLbl val="0"/>
      </c:catAx>
      <c:valAx>
        <c:axId val="607061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0164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provides experimental protocols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C75-47B8-8FD6-C1A3108731FF}"/>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0C75-47B8-8FD6-C1A3108731F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C75-47B8-8FD6-C1A3108731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'6'!$P$2:$P$4</c:f>
              <c:strCache>
                <c:ptCount val="3"/>
                <c:pt idx="0">
                  <c:v>Yes</c:v>
                </c:pt>
                <c:pt idx="1">
                  <c:v>No</c:v>
                </c:pt>
                <c:pt idx="2">
                  <c:v>NA</c:v>
                </c:pt>
              </c:strCache>
            </c:strRef>
          </c:cat>
          <c:val>
            <c:numRef>
              <c:f>'6'!$Q$2:$Q$4</c:f>
              <c:numCache>
                <c:formatCode>General</c:formatCode>
                <c:ptCount val="3"/>
                <c:pt idx="0">
                  <c:v>188</c:v>
                </c:pt>
                <c:pt idx="1">
                  <c:v>67</c:v>
                </c:pt>
                <c:pt idx="2">
                  <c:v>16</c:v>
                </c:pt>
              </c:numCache>
            </c:numRef>
          </c:val>
          <c:extLst>
            <c:ext xmlns:c16="http://schemas.microsoft.com/office/drawing/2014/chart" uri="{C3380CC4-5D6E-409C-BE32-E72D297353CC}">
              <c16:uniqueId val="{00000006-0C75-47B8-8FD6-C1A3108731F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gives guidance to increase data quality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9DC-4322-BF23-B079A7ACDE35}"/>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89DC-4322-BF23-B079A7ACDE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'6'!$AE$2:$AE$3</c:f>
              <c:strCache>
                <c:ptCount val="2"/>
                <c:pt idx="0">
                  <c:v>Yes</c:v>
                </c:pt>
                <c:pt idx="1">
                  <c:v>No</c:v>
                </c:pt>
              </c:strCache>
            </c:strRef>
          </c:cat>
          <c:val>
            <c:numRef>
              <c:f>'6'!$AF$2:$AF$3</c:f>
              <c:numCache>
                <c:formatCode>General</c:formatCode>
                <c:ptCount val="2"/>
                <c:pt idx="0">
                  <c:v>231</c:v>
                </c:pt>
                <c:pt idx="1">
                  <c:v>40</c:v>
                </c:pt>
              </c:numCache>
            </c:numRef>
          </c:val>
          <c:extLst>
            <c:ext xmlns:c16="http://schemas.microsoft.com/office/drawing/2014/chart" uri="{C3380CC4-5D6E-409C-BE32-E72D297353CC}">
              <c16:uniqueId val="{00000004-89DC-4322-BF23-B079A7ACDE3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helps troubleshoot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E79-4BB7-9978-DE47DD062B27}"/>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EE79-4BB7-9978-DE47DD062B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'6'!$AW$2:$AW$3</c:f>
              <c:strCache>
                <c:ptCount val="2"/>
                <c:pt idx="0">
                  <c:v>Yes</c:v>
                </c:pt>
                <c:pt idx="1">
                  <c:v>No</c:v>
                </c:pt>
              </c:strCache>
            </c:strRef>
          </c:cat>
          <c:val>
            <c:numRef>
              <c:f>'6'!$AX$2:$AX$3</c:f>
              <c:numCache>
                <c:formatCode>General</c:formatCode>
                <c:ptCount val="2"/>
                <c:pt idx="0">
                  <c:v>268</c:v>
                </c:pt>
                <c:pt idx="1">
                  <c:v>3</c:v>
                </c:pt>
              </c:numCache>
            </c:numRef>
          </c:val>
          <c:extLst>
            <c:ext xmlns:c16="http://schemas.microsoft.com/office/drawing/2014/chart" uri="{C3380CC4-5D6E-409C-BE32-E72D297353CC}">
              <c16:uniqueId val="{00000004-EE79-4BB7-9978-DE47DD062B2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how guidance is best provided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cat>
            <c:strRef>
              <c:f>'6'!$AT$2:$AT$8</c:f>
              <c:strCache>
                <c:ptCount val="7"/>
                <c:pt idx="0">
                  <c:v>discussion</c:v>
                </c:pt>
                <c:pt idx="1">
                  <c:v>in writing</c:v>
                </c:pt>
                <c:pt idx="2">
                  <c:v>training</c:v>
                </c:pt>
                <c:pt idx="3">
                  <c:v>literature</c:v>
                </c:pt>
                <c:pt idx="4">
                  <c:v>seminars, courses</c:v>
                </c:pt>
                <c:pt idx="5">
                  <c:v>email</c:v>
                </c:pt>
                <c:pt idx="6">
                  <c:v>supervision</c:v>
                </c:pt>
              </c:strCache>
            </c:strRef>
          </c:cat>
          <c:val>
            <c:numRef>
              <c:f>'6'!$AU$2:$AU$8</c:f>
              <c:numCache>
                <c:formatCode>General</c:formatCode>
                <c:ptCount val="7"/>
                <c:pt idx="0">
                  <c:v>69</c:v>
                </c:pt>
                <c:pt idx="1">
                  <c:v>43</c:v>
                </c:pt>
                <c:pt idx="2">
                  <c:v>12</c:v>
                </c:pt>
                <c:pt idx="3">
                  <c:v>10</c:v>
                </c:pt>
                <c:pt idx="4">
                  <c:v>8</c:v>
                </c:pt>
                <c:pt idx="5">
                  <c:v>5</c:v>
                </c:pt>
                <c:pt idx="6">
                  <c:v>3</c:v>
                </c:pt>
              </c:numCache>
            </c:numRef>
          </c:val>
          <c:extLst>
            <c:ext xmlns:c16="http://schemas.microsoft.com/office/drawing/2014/chart" uri="{C3380CC4-5D6E-409C-BE32-E72D297353CC}">
              <c16:uniqueId val="{00000000-68D5-4DAC-8B99-89D9BF9B2F01}"/>
            </c:ext>
          </c:extLst>
        </c:ser>
        <c:dLbls>
          <c:showLegendKey val="0"/>
          <c:showVal val="0"/>
          <c:showCatName val="0"/>
          <c:showSerName val="0"/>
          <c:showPercent val="0"/>
          <c:showBubbleSize val="0"/>
        </c:dLbls>
        <c:gapWidth val="130"/>
        <c:axId val="559868864"/>
        <c:axId val="559870176"/>
      </c:barChart>
      <c:catAx>
        <c:axId val="559868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9870176"/>
        <c:crosses val="autoZero"/>
        <c:auto val="1"/>
        <c:lblAlgn val="ctr"/>
        <c:lblOffset val="100"/>
        <c:noMultiLvlLbl val="0"/>
      </c:catAx>
      <c:valAx>
        <c:axId val="559870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9868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de-DE"/>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at which steps guidance is best provided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cat>
            <c:strRef>
              <c:f>'6'!$AT$11:$AT$21</c:f>
              <c:strCache>
                <c:ptCount val="11"/>
                <c:pt idx="0">
                  <c:v>sample preparation</c:v>
                </c:pt>
                <c:pt idx="1">
                  <c:v>SOP, protocols</c:v>
                </c:pt>
                <c:pt idx="2">
                  <c:v>experimental design</c:v>
                </c:pt>
                <c:pt idx="3">
                  <c:v>data acquisition, results</c:v>
                </c:pt>
                <c:pt idx="4">
                  <c:v>controls, standards</c:v>
                </c:pt>
                <c:pt idx="5">
                  <c:v>data analysis</c:v>
                </c:pt>
                <c:pt idx="6">
                  <c:v>quality control</c:v>
                </c:pt>
                <c:pt idx="7">
                  <c:v>troubleshooting</c:v>
                </c:pt>
                <c:pt idx="8">
                  <c:v>give examples</c:v>
                </c:pt>
                <c:pt idx="9">
                  <c:v>limitations</c:v>
                </c:pt>
                <c:pt idx="10">
                  <c:v>final check</c:v>
                </c:pt>
              </c:strCache>
            </c:strRef>
          </c:cat>
          <c:val>
            <c:numRef>
              <c:f>'6'!$AU$11:$AU$21</c:f>
              <c:numCache>
                <c:formatCode>General</c:formatCode>
                <c:ptCount val="11"/>
                <c:pt idx="0">
                  <c:v>34</c:v>
                </c:pt>
                <c:pt idx="1">
                  <c:v>29</c:v>
                </c:pt>
                <c:pt idx="2">
                  <c:v>26</c:v>
                </c:pt>
                <c:pt idx="3">
                  <c:v>20</c:v>
                </c:pt>
                <c:pt idx="4">
                  <c:v>17</c:v>
                </c:pt>
                <c:pt idx="5">
                  <c:v>9</c:v>
                </c:pt>
                <c:pt idx="6">
                  <c:v>9</c:v>
                </c:pt>
                <c:pt idx="7">
                  <c:v>6</c:v>
                </c:pt>
                <c:pt idx="8">
                  <c:v>3</c:v>
                </c:pt>
                <c:pt idx="9">
                  <c:v>3</c:v>
                </c:pt>
                <c:pt idx="10">
                  <c:v>1</c:v>
                </c:pt>
              </c:numCache>
            </c:numRef>
          </c:val>
          <c:extLst>
            <c:ext xmlns:c16="http://schemas.microsoft.com/office/drawing/2014/chart" uri="{C3380CC4-5D6E-409C-BE32-E72D297353CC}">
              <c16:uniqueId val="{00000000-EA67-4373-A56D-68FCCCAA2BF7}"/>
            </c:ext>
          </c:extLst>
        </c:ser>
        <c:dLbls>
          <c:showLegendKey val="0"/>
          <c:showVal val="0"/>
          <c:showCatName val="0"/>
          <c:showSerName val="0"/>
          <c:showPercent val="0"/>
          <c:showBubbleSize val="0"/>
        </c:dLbls>
        <c:gapWidth val="130"/>
        <c:axId val="622008304"/>
        <c:axId val="622008960"/>
      </c:barChart>
      <c:catAx>
        <c:axId val="622008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2008960"/>
        <c:crosses val="autoZero"/>
        <c:auto val="1"/>
        <c:lblAlgn val="ctr"/>
        <c:lblOffset val="100"/>
        <c:noMultiLvlLbl val="0"/>
      </c:catAx>
      <c:valAx>
        <c:axId val="622008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2008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de-DE"/>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CF provides experimental protocols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'6'!$P$2</c:f>
              <c:strCache>
                <c:ptCount val="1"/>
                <c:pt idx="0">
                  <c:v>Yes</c:v>
                </c:pt>
              </c:strCache>
            </c:strRef>
          </c:tx>
          <c:spPr>
            <a:solidFill>
              <a:schemeClr val="accent1"/>
            </a:solidFill>
            <a:ln>
              <a:noFill/>
            </a:ln>
            <a:effectLst/>
          </c:spPr>
          <c:invertIfNegative val="0"/>
          <c:cat>
            <c:strRef>
              <c:f>'6'!$R$1:$T$1</c:f>
              <c:strCache>
                <c:ptCount val="3"/>
                <c:pt idx="0">
                  <c:v>full-service</c:v>
                </c:pt>
                <c:pt idx="1">
                  <c:v>hybrid-service</c:v>
                </c:pt>
                <c:pt idx="2">
                  <c:v>self-service</c:v>
                </c:pt>
              </c:strCache>
            </c:strRef>
          </c:cat>
          <c:val>
            <c:numRef>
              <c:f>'6'!$R$2:$T$2</c:f>
              <c:numCache>
                <c:formatCode>General</c:formatCode>
                <c:ptCount val="3"/>
                <c:pt idx="0">
                  <c:v>50</c:v>
                </c:pt>
                <c:pt idx="1">
                  <c:v>123</c:v>
                </c:pt>
                <c:pt idx="2">
                  <c:v>15</c:v>
                </c:pt>
              </c:numCache>
            </c:numRef>
          </c:val>
          <c:extLst>
            <c:ext xmlns:c16="http://schemas.microsoft.com/office/drawing/2014/chart" uri="{C3380CC4-5D6E-409C-BE32-E72D297353CC}">
              <c16:uniqueId val="{00000000-482C-43B9-86DF-BE679CEF2883}"/>
            </c:ext>
          </c:extLst>
        </c:ser>
        <c:ser>
          <c:idx val="1"/>
          <c:order val="1"/>
          <c:tx>
            <c:strRef>
              <c:f>'6'!$P$3</c:f>
              <c:strCache>
                <c:ptCount val="1"/>
                <c:pt idx="0">
                  <c:v>No</c:v>
                </c:pt>
              </c:strCache>
            </c:strRef>
          </c:tx>
          <c:spPr>
            <a:solidFill>
              <a:srgbClr val="FF0000"/>
            </a:solidFill>
            <a:ln>
              <a:noFill/>
            </a:ln>
            <a:effectLst/>
          </c:spPr>
          <c:invertIfNegative val="0"/>
          <c:cat>
            <c:strRef>
              <c:f>'6'!$R$1:$T$1</c:f>
              <c:strCache>
                <c:ptCount val="3"/>
                <c:pt idx="0">
                  <c:v>full-service</c:v>
                </c:pt>
                <c:pt idx="1">
                  <c:v>hybrid-service</c:v>
                </c:pt>
                <c:pt idx="2">
                  <c:v>self-service</c:v>
                </c:pt>
              </c:strCache>
            </c:strRef>
          </c:cat>
          <c:val>
            <c:numRef>
              <c:f>'6'!$R$3:$T$3</c:f>
              <c:numCache>
                <c:formatCode>General</c:formatCode>
                <c:ptCount val="3"/>
                <c:pt idx="0">
                  <c:v>17</c:v>
                </c:pt>
                <c:pt idx="1">
                  <c:v>38</c:v>
                </c:pt>
                <c:pt idx="2">
                  <c:v>12</c:v>
                </c:pt>
              </c:numCache>
            </c:numRef>
          </c:val>
          <c:extLst>
            <c:ext xmlns:c16="http://schemas.microsoft.com/office/drawing/2014/chart" uri="{C3380CC4-5D6E-409C-BE32-E72D297353CC}">
              <c16:uniqueId val="{00000001-482C-43B9-86DF-BE679CEF2883}"/>
            </c:ext>
          </c:extLst>
        </c:ser>
        <c:ser>
          <c:idx val="2"/>
          <c:order val="2"/>
          <c:tx>
            <c:strRef>
              <c:f>'6'!$P$4</c:f>
              <c:strCache>
                <c:ptCount val="1"/>
                <c:pt idx="0">
                  <c:v>NA</c:v>
                </c:pt>
              </c:strCache>
            </c:strRef>
          </c:tx>
          <c:spPr>
            <a:solidFill>
              <a:schemeClr val="accent3"/>
            </a:solidFill>
            <a:ln>
              <a:noFill/>
            </a:ln>
            <a:effectLst/>
          </c:spPr>
          <c:invertIfNegative val="0"/>
          <c:cat>
            <c:strRef>
              <c:f>'6'!$R$1:$T$1</c:f>
              <c:strCache>
                <c:ptCount val="3"/>
                <c:pt idx="0">
                  <c:v>full-service</c:v>
                </c:pt>
                <c:pt idx="1">
                  <c:v>hybrid-service</c:v>
                </c:pt>
                <c:pt idx="2">
                  <c:v>self-service</c:v>
                </c:pt>
              </c:strCache>
            </c:strRef>
          </c:cat>
          <c:val>
            <c:numRef>
              <c:f>'6'!$R$4:$T$4</c:f>
              <c:numCache>
                <c:formatCode>General</c:formatCode>
                <c:ptCount val="3"/>
                <c:pt idx="0">
                  <c:v>3</c:v>
                </c:pt>
                <c:pt idx="1">
                  <c:v>12</c:v>
                </c:pt>
                <c:pt idx="2">
                  <c:v>1</c:v>
                </c:pt>
              </c:numCache>
            </c:numRef>
          </c:val>
          <c:extLst>
            <c:ext xmlns:c16="http://schemas.microsoft.com/office/drawing/2014/chart" uri="{C3380CC4-5D6E-409C-BE32-E72D297353CC}">
              <c16:uniqueId val="{00000002-482C-43B9-86DF-BE679CEF2883}"/>
            </c:ext>
          </c:extLst>
        </c:ser>
        <c:dLbls>
          <c:showLegendKey val="0"/>
          <c:showVal val="0"/>
          <c:showCatName val="0"/>
          <c:showSerName val="0"/>
          <c:showPercent val="0"/>
          <c:showBubbleSize val="0"/>
        </c:dLbls>
        <c:gapWidth val="130"/>
        <c:overlap val="100"/>
        <c:axId val="468382848"/>
        <c:axId val="468406136"/>
      </c:barChart>
      <c:catAx>
        <c:axId val="46838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8406136"/>
        <c:crosses val="autoZero"/>
        <c:auto val="1"/>
        <c:lblAlgn val="ctr"/>
        <c:lblOffset val="100"/>
        <c:noMultiLvlLbl val="0"/>
      </c:catAx>
      <c:valAx>
        <c:axId val="468406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83828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CF gives guidance to increase data quality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'6'!$AE$2</c:f>
              <c:strCache>
                <c:ptCount val="1"/>
                <c:pt idx="0">
                  <c:v>Yes</c:v>
                </c:pt>
              </c:strCache>
            </c:strRef>
          </c:tx>
          <c:spPr>
            <a:solidFill>
              <a:schemeClr val="accent1"/>
            </a:solidFill>
            <a:ln>
              <a:noFill/>
            </a:ln>
            <a:effectLst/>
          </c:spPr>
          <c:invertIfNegative val="0"/>
          <c:cat>
            <c:strRef>
              <c:f>'6'!$AG$1:$AI$1</c:f>
              <c:strCache>
                <c:ptCount val="3"/>
                <c:pt idx="0">
                  <c:v>full-service</c:v>
                </c:pt>
                <c:pt idx="1">
                  <c:v>hybrid-service</c:v>
                </c:pt>
                <c:pt idx="2">
                  <c:v>self-service</c:v>
                </c:pt>
              </c:strCache>
            </c:strRef>
          </c:cat>
          <c:val>
            <c:numRef>
              <c:f>'6'!$AG$2:$AI$2</c:f>
              <c:numCache>
                <c:formatCode>General</c:formatCode>
                <c:ptCount val="3"/>
                <c:pt idx="0">
                  <c:v>60</c:v>
                </c:pt>
                <c:pt idx="1">
                  <c:v>146</c:v>
                </c:pt>
                <c:pt idx="2">
                  <c:v>25</c:v>
                </c:pt>
              </c:numCache>
            </c:numRef>
          </c:val>
          <c:extLst>
            <c:ext xmlns:c16="http://schemas.microsoft.com/office/drawing/2014/chart" uri="{C3380CC4-5D6E-409C-BE32-E72D297353CC}">
              <c16:uniqueId val="{00000000-39CE-4E4E-B6E6-2FF1A418BD08}"/>
            </c:ext>
          </c:extLst>
        </c:ser>
        <c:ser>
          <c:idx val="1"/>
          <c:order val="1"/>
          <c:tx>
            <c:strRef>
              <c:f>'6'!$AE$3</c:f>
              <c:strCache>
                <c:ptCount val="1"/>
                <c:pt idx="0">
                  <c:v>No</c:v>
                </c:pt>
              </c:strCache>
            </c:strRef>
          </c:tx>
          <c:spPr>
            <a:solidFill>
              <a:srgbClr val="FF0000"/>
            </a:solidFill>
            <a:ln>
              <a:noFill/>
            </a:ln>
            <a:effectLst/>
          </c:spPr>
          <c:invertIfNegative val="0"/>
          <c:cat>
            <c:strRef>
              <c:f>'6'!$AG$1:$AI$1</c:f>
              <c:strCache>
                <c:ptCount val="3"/>
                <c:pt idx="0">
                  <c:v>full-service</c:v>
                </c:pt>
                <c:pt idx="1">
                  <c:v>hybrid-service</c:v>
                </c:pt>
                <c:pt idx="2">
                  <c:v>self-service</c:v>
                </c:pt>
              </c:strCache>
            </c:strRef>
          </c:cat>
          <c:val>
            <c:numRef>
              <c:f>'6'!$AG$3:$AI$3</c:f>
              <c:numCache>
                <c:formatCode>General</c:formatCode>
                <c:ptCount val="3"/>
                <c:pt idx="0">
                  <c:v>10</c:v>
                </c:pt>
                <c:pt idx="1">
                  <c:v>27</c:v>
                </c:pt>
                <c:pt idx="2">
                  <c:v>3</c:v>
                </c:pt>
              </c:numCache>
            </c:numRef>
          </c:val>
          <c:extLst>
            <c:ext xmlns:c16="http://schemas.microsoft.com/office/drawing/2014/chart" uri="{C3380CC4-5D6E-409C-BE32-E72D297353CC}">
              <c16:uniqueId val="{00000001-39CE-4E4E-B6E6-2FF1A418BD08}"/>
            </c:ext>
          </c:extLst>
        </c:ser>
        <c:dLbls>
          <c:showLegendKey val="0"/>
          <c:showVal val="0"/>
          <c:showCatName val="0"/>
          <c:showSerName val="0"/>
          <c:showPercent val="0"/>
          <c:showBubbleSize val="0"/>
        </c:dLbls>
        <c:gapWidth val="130"/>
        <c:overlap val="100"/>
        <c:axId val="538785976"/>
        <c:axId val="538785648"/>
      </c:barChart>
      <c:catAx>
        <c:axId val="53878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8785648"/>
        <c:crosses val="autoZero"/>
        <c:auto val="1"/>
        <c:lblAlgn val="ctr"/>
        <c:lblOffset val="100"/>
        <c:noMultiLvlLbl val="0"/>
      </c:catAx>
      <c:valAx>
        <c:axId val="538785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8785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CF provides experimental protocols</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'6'!$P$2</c:f>
              <c:strCache>
                <c:ptCount val="1"/>
                <c:pt idx="0">
                  <c:v>Yes</c:v>
                </c:pt>
              </c:strCache>
            </c:strRef>
          </c:tx>
          <c:spPr>
            <a:solidFill>
              <a:schemeClr val="accent1"/>
            </a:solidFill>
            <a:ln>
              <a:noFill/>
            </a:ln>
            <a:effectLst/>
          </c:spPr>
          <c:invertIfNegative val="0"/>
          <c:cat>
            <c:strRef>
              <c:f>'6'!$V$1:$AC$1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'6'!$V$2:$AC$2</c:f>
              <c:numCache>
                <c:formatCode>General</c:formatCode>
                <c:ptCount val="8"/>
                <c:pt idx="0">
                  <c:v>29</c:v>
                </c:pt>
                <c:pt idx="1">
                  <c:v>18</c:v>
                </c:pt>
                <c:pt idx="2">
                  <c:v>9</c:v>
                </c:pt>
                <c:pt idx="3">
                  <c:v>6</c:v>
                </c:pt>
                <c:pt idx="4">
                  <c:v>41</c:v>
                </c:pt>
                <c:pt idx="5">
                  <c:v>14</c:v>
                </c:pt>
                <c:pt idx="6">
                  <c:v>7</c:v>
                </c:pt>
                <c:pt idx="7">
                  <c:v>28</c:v>
                </c:pt>
              </c:numCache>
            </c:numRef>
          </c:val>
          <c:extLst>
            <c:ext xmlns:c16="http://schemas.microsoft.com/office/drawing/2014/chart" uri="{C3380CC4-5D6E-409C-BE32-E72D297353CC}">
              <c16:uniqueId val="{00000000-A4C0-407A-A43D-105EAB9FBA50}"/>
            </c:ext>
          </c:extLst>
        </c:ser>
        <c:ser>
          <c:idx val="1"/>
          <c:order val="1"/>
          <c:tx>
            <c:strRef>
              <c:f>'6'!$P$3</c:f>
              <c:strCache>
                <c:ptCount val="1"/>
                <c:pt idx="0">
                  <c:v>No</c:v>
                </c:pt>
              </c:strCache>
            </c:strRef>
          </c:tx>
          <c:spPr>
            <a:solidFill>
              <a:srgbClr val="FF0000"/>
            </a:solidFill>
            <a:ln>
              <a:noFill/>
            </a:ln>
            <a:effectLst/>
          </c:spPr>
          <c:invertIfNegative val="0"/>
          <c:cat>
            <c:strRef>
              <c:f>'6'!$V$1:$AC$1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'6'!$V$3:$AC$3</c:f>
              <c:numCache>
                <c:formatCode>General</c:formatCode>
                <c:ptCount val="8"/>
                <c:pt idx="0">
                  <c:v>18</c:v>
                </c:pt>
                <c:pt idx="1">
                  <c:v>12</c:v>
                </c:pt>
                <c:pt idx="2">
                  <c:v>1</c:v>
                </c:pt>
                <c:pt idx="3">
                  <c:v>2</c:v>
                </c:pt>
                <c:pt idx="4">
                  <c:v>17</c:v>
                </c:pt>
                <c:pt idx="5">
                  <c:v>1</c:v>
                </c:pt>
                <c:pt idx="6">
                  <c:v>1</c:v>
                </c:pt>
                <c:pt idx="7">
                  <c:v>5</c:v>
                </c:pt>
              </c:numCache>
            </c:numRef>
          </c:val>
          <c:extLst>
            <c:ext xmlns:c16="http://schemas.microsoft.com/office/drawing/2014/chart" uri="{C3380CC4-5D6E-409C-BE32-E72D297353CC}">
              <c16:uniqueId val="{00000001-A4C0-407A-A43D-105EAB9FBA50}"/>
            </c:ext>
          </c:extLst>
        </c:ser>
        <c:ser>
          <c:idx val="2"/>
          <c:order val="2"/>
          <c:tx>
            <c:strRef>
              <c:f>'6'!$P$4</c:f>
              <c:strCache>
                <c:ptCount val="1"/>
                <c:pt idx="0">
                  <c:v>NA</c:v>
                </c:pt>
              </c:strCache>
            </c:strRef>
          </c:tx>
          <c:spPr>
            <a:solidFill>
              <a:schemeClr val="accent3"/>
            </a:solidFill>
            <a:ln>
              <a:noFill/>
            </a:ln>
            <a:effectLst/>
          </c:spPr>
          <c:invertIfNegative val="0"/>
          <c:cat>
            <c:strRef>
              <c:f>'6'!$V$1:$AC$1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'6'!$V$4:$AC$4</c:f>
              <c:numCache>
                <c:formatCode>General</c:formatCode>
                <c:ptCount val="8"/>
                <c:pt idx="0">
                  <c:v>3</c:v>
                </c:pt>
                <c:pt idx="1">
                  <c:v>2</c:v>
                </c:pt>
                <c:pt idx="2">
                  <c:v>1</c:v>
                </c:pt>
                <c:pt idx="3">
                  <c:v>0</c:v>
                </c:pt>
                <c:pt idx="4">
                  <c:v>2</c:v>
                </c:pt>
                <c:pt idx="5">
                  <c:v>1</c:v>
                </c:pt>
                <c:pt idx="6">
                  <c:v>0</c:v>
                </c:pt>
                <c:pt idx="7">
                  <c:v>2</c:v>
                </c:pt>
              </c:numCache>
            </c:numRef>
          </c:val>
          <c:extLst>
            <c:ext xmlns:c16="http://schemas.microsoft.com/office/drawing/2014/chart" uri="{C3380CC4-5D6E-409C-BE32-E72D297353CC}">
              <c16:uniqueId val="{00000002-A4C0-407A-A43D-105EAB9FBA50}"/>
            </c:ext>
          </c:extLst>
        </c:ser>
        <c:dLbls>
          <c:showLegendKey val="0"/>
          <c:showVal val="0"/>
          <c:showCatName val="0"/>
          <c:showSerName val="0"/>
          <c:showPercent val="0"/>
          <c:showBubbleSize val="0"/>
        </c:dLbls>
        <c:gapWidth val="130"/>
        <c:overlap val="100"/>
        <c:axId val="541539480"/>
        <c:axId val="541544072"/>
      </c:barChart>
      <c:catAx>
        <c:axId val="54153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1544072"/>
        <c:crosses val="autoZero"/>
        <c:auto val="1"/>
        <c:lblAlgn val="ctr"/>
        <c:lblOffset val="100"/>
        <c:noMultiLvlLbl val="0"/>
      </c:catAx>
      <c:valAx>
        <c:axId val="541544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153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CF gives guidance to increase data quality</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'6'!$AE$2</c:f>
              <c:strCache>
                <c:ptCount val="1"/>
                <c:pt idx="0">
                  <c:v>Yes</c:v>
                </c:pt>
              </c:strCache>
            </c:strRef>
          </c:tx>
          <c:spPr>
            <a:solidFill>
              <a:schemeClr val="accent1"/>
            </a:solidFill>
            <a:ln>
              <a:noFill/>
            </a:ln>
            <a:effectLst/>
          </c:spPr>
          <c:invertIfNegative val="0"/>
          <c:cat>
            <c:strRef>
              <c:f>'6'!$AK$1:$AR$1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'6'!$AK$2:$AR$2</c:f>
              <c:numCache>
                <c:formatCode>General</c:formatCode>
                <c:ptCount val="8"/>
                <c:pt idx="0">
                  <c:v>45</c:v>
                </c:pt>
                <c:pt idx="1">
                  <c:v>30</c:v>
                </c:pt>
                <c:pt idx="2">
                  <c:v>9</c:v>
                </c:pt>
                <c:pt idx="3">
                  <c:v>8</c:v>
                </c:pt>
                <c:pt idx="4">
                  <c:v>51</c:v>
                </c:pt>
                <c:pt idx="5">
                  <c:v>13</c:v>
                </c:pt>
                <c:pt idx="6">
                  <c:v>6</c:v>
                </c:pt>
                <c:pt idx="7">
                  <c:v>32</c:v>
                </c:pt>
              </c:numCache>
            </c:numRef>
          </c:val>
          <c:extLst>
            <c:ext xmlns:c16="http://schemas.microsoft.com/office/drawing/2014/chart" uri="{C3380CC4-5D6E-409C-BE32-E72D297353CC}">
              <c16:uniqueId val="{00000000-E06F-4C44-ABF6-7C6D6D81F199}"/>
            </c:ext>
          </c:extLst>
        </c:ser>
        <c:ser>
          <c:idx val="1"/>
          <c:order val="1"/>
          <c:tx>
            <c:strRef>
              <c:f>'6'!$AE$3</c:f>
              <c:strCache>
                <c:ptCount val="1"/>
                <c:pt idx="0">
                  <c:v>No</c:v>
                </c:pt>
              </c:strCache>
            </c:strRef>
          </c:tx>
          <c:spPr>
            <a:solidFill>
              <a:srgbClr val="FF0000"/>
            </a:solidFill>
            <a:ln>
              <a:noFill/>
            </a:ln>
            <a:effectLst/>
          </c:spPr>
          <c:invertIfNegative val="0"/>
          <c:cat>
            <c:strRef>
              <c:f>'6'!$AK$1:$AR$1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'6'!$AK$3:$AR$3</c:f>
              <c:numCache>
                <c:formatCode>General</c:formatCode>
                <c:ptCount val="8"/>
                <c:pt idx="0">
                  <c:v>5</c:v>
                </c:pt>
                <c:pt idx="1">
                  <c:v>2</c:v>
                </c:pt>
                <c:pt idx="2">
                  <c:v>2</c:v>
                </c:pt>
                <c:pt idx="3">
                  <c:v>0</c:v>
                </c:pt>
                <c:pt idx="4">
                  <c:v>9</c:v>
                </c:pt>
                <c:pt idx="5">
                  <c:v>3</c:v>
                </c:pt>
                <c:pt idx="6">
                  <c:v>2</c:v>
                </c:pt>
                <c:pt idx="7">
                  <c:v>3</c:v>
                </c:pt>
              </c:numCache>
            </c:numRef>
          </c:val>
          <c:extLst>
            <c:ext xmlns:c16="http://schemas.microsoft.com/office/drawing/2014/chart" uri="{C3380CC4-5D6E-409C-BE32-E72D297353CC}">
              <c16:uniqueId val="{00000001-E06F-4C44-ABF6-7C6D6D81F199}"/>
            </c:ext>
          </c:extLst>
        </c:ser>
        <c:dLbls>
          <c:showLegendKey val="0"/>
          <c:showVal val="0"/>
          <c:showCatName val="0"/>
          <c:showSerName val="0"/>
          <c:showPercent val="0"/>
          <c:showBubbleSize val="0"/>
        </c:dLbls>
        <c:gapWidth val="130"/>
        <c:overlap val="100"/>
        <c:axId val="372677736"/>
        <c:axId val="372678392"/>
      </c:barChart>
      <c:catAx>
        <c:axId val="372677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2678392"/>
        <c:crosses val="autoZero"/>
        <c:auto val="1"/>
        <c:lblAlgn val="ctr"/>
        <c:lblOffset val="100"/>
        <c:noMultiLvlLbl val="0"/>
      </c:catAx>
      <c:valAx>
        <c:axId val="372678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2677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Users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'1'!$AW$2</c:f>
              <c:strCache>
                <c:ptCount val="1"/>
                <c:pt idx="0">
                  <c:v>1-20</c:v>
                </c:pt>
              </c:strCache>
            </c:strRef>
          </c:tx>
          <c:spPr>
            <a:solidFill>
              <a:schemeClr val="accent4"/>
            </a:solidFill>
            <a:ln>
              <a:noFill/>
            </a:ln>
            <a:effectLst/>
          </c:spPr>
          <c:invertIfNegative val="0"/>
          <c:cat>
            <c:strRef>
              <c:f>'1'!$AY$1:$BF$1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'1'!$AY$2:$BF$2</c:f>
              <c:numCache>
                <c:formatCode>General</c:formatCode>
                <c:ptCount val="8"/>
                <c:pt idx="0">
                  <c:v>9</c:v>
                </c:pt>
                <c:pt idx="1">
                  <c:v>16</c:v>
                </c:pt>
                <c:pt idx="2">
                  <c:v>5</c:v>
                </c:pt>
                <c:pt idx="3">
                  <c:v>6</c:v>
                </c:pt>
                <c:pt idx="4">
                  <c:v>21</c:v>
                </c:pt>
                <c:pt idx="5">
                  <c:v>10</c:v>
                </c:pt>
                <c:pt idx="6">
                  <c:v>6</c:v>
                </c:pt>
                <c:pt idx="7">
                  <c:v>23</c:v>
                </c:pt>
              </c:numCache>
            </c:numRef>
          </c:val>
          <c:extLst>
            <c:ext xmlns:c16="http://schemas.microsoft.com/office/drawing/2014/chart" uri="{C3380CC4-5D6E-409C-BE32-E72D297353CC}">
              <c16:uniqueId val="{00000000-D611-4AD9-9944-0025FF1CE470}"/>
            </c:ext>
          </c:extLst>
        </c:ser>
        <c:ser>
          <c:idx val="1"/>
          <c:order val="1"/>
          <c:tx>
            <c:strRef>
              <c:f>'1'!$AW$3</c:f>
              <c:strCache>
                <c:ptCount val="1"/>
                <c:pt idx="0">
                  <c:v>21-40</c:v>
                </c:pt>
              </c:strCache>
            </c:strRef>
          </c:tx>
          <c:spPr>
            <a:solidFill>
              <a:srgbClr val="FF9900"/>
            </a:solidFill>
            <a:ln>
              <a:noFill/>
            </a:ln>
            <a:effectLst/>
          </c:spPr>
          <c:invertIfNegative val="0"/>
          <c:cat>
            <c:strRef>
              <c:f>'1'!$AY$1:$BF$1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'1'!$AY$3:$BF$3</c:f>
              <c:numCache>
                <c:formatCode>General</c:formatCode>
                <c:ptCount val="8"/>
                <c:pt idx="0">
                  <c:v>12</c:v>
                </c:pt>
                <c:pt idx="1">
                  <c:v>9</c:v>
                </c:pt>
                <c:pt idx="2">
                  <c:v>2</c:v>
                </c:pt>
                <c:pt idx="3">
                  <c:v>1</c:v>
                </c:pt>
                <c:pt idx="4">
                  <c:v>11</c:v>
                </c:pt>
                <c:pt idx="5">
                  <c:v>6</c:v>
                </c:pt>
                <c:pt idx="6">
                  <c:v>1</c:v>
                </c:pt>
                <c:pt idx="7">
                  <c:v>9</c:v>
                </c:pt>
              </c:numCache>
            </c:numRef>
          </c:val>
          <c:extLst>
            <c:ext xmlns:c16="http://schemas.microsoft.com/office/drawing/2014/chart" uri="{C3380CC4-5D6E-409C-BE32-E72D297353CC}">
              <c16:uniqueId val="{00000001-D611-4AD9-9944-0025FF1CE470}"/>
            </c:ext>
          </c:extLst>
        </c:ser>
        <c:ser>
          <c:idx val="2"/>
          <c:order val="2"/>
          <c:tx>
            <c:strRef>
              <c:f>'1'!$AW$4</c:f>
              <c:strCache>
                <c:ptCount val="1"/>
                <c:pt idx="0">
                  <c:v>41-60</c:v>
                </c:pt>
              </c:strCache>
            </c:strRef>
          </c:tx>
          <c:spPr>
            <a:solidFill>
              <a:srgbClr val="FF6600"/>
            </a:solidFill>
            <a:ln>
              <a:noFill/>
            </a:ln>
            <a:effectLst/>
          </c:spPr>
          <c:invertIfNegative val="0"/>
          <c:cat>
            <c:strRef>
              <c:f>'1'!$AY$1:$BF$1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'1'!$AY$4:$BF$4</c:f>
              <c:numCache>
                <c:formatCode>General</c:formatCode>
                <c:ptCount val="8"/>
                <c:pt idx="0">
                  <c:v>14</c:v>
                </c:pt>
                <c:pt idx="1">
                  <c:v>2</c:v>
                </c:pt>
                <c:pt idx="2">
                  <c:v>2</c:v>
                </c:pt>
                <c:pt idx="3">
                  <c:v>0</c:v>
                </c:pt>
                <c:pt idx="4">
                  <c:v>13</c:v>
                </c:pt>
                <c:pt idx="5">
                  <c:v>0</c:v>
                </c:pt>
                <c:pt idx="6">
                  <c:v>1</c:v>
                </c:pt>
                <c:pt idx="7">
                  <c:v>2</c:v>
                </c:pt>
              </c:numCache>
            </c:numRef>
          </c:val>
          <c:extLst>
            <c:ext xmlns:c16="http://schemas.microsoft.com/office/drawing/2014/chart" uri="{C3380CC4-5D6E-409C-BE32-E72D297353CC}">
              <c16:uniqueId val="{00000002-D611-4AD9-9944-0025FF1CE470}"/>
            </c:ext>
          </c:extLst>
        </c:ser>
        <c:ser>
          <c:idx val="3"/>
          <c:order val="3"/>
          <c:tx>
            <c:strRef>
              <c:f>'1'!$AW$5</c:f>
              <c:strCache>
                <c:ptCount val="1"/>
                <c:pt idx="0">
                  <c:v>61-80</c:v>
                </c:pt>
              </c:strCache>
            </c:strRef>
          </c:tx>
          <c:spPr>
            <a:solidFill>
              <a:srgbClr val="FF0000"/>
            </a:solidFill>
            <a:ln>
              <a:noFill/>
            </a:ln>
            <a:effectLst/>
          </c:spPr>
          <c:invertIfNegative val="0"/>
          <c:cat>
            <c:strRef>
              <c:f>'1'!$AY$1:$BF$1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'1'!$AY$5:$BF$5</c:f>
              <c:numCache>
                <c:formatCode>General</c:formatCode>
                <c:ptCount val="8"/>
                <c:pt idx="0">
                  <c:v>5</c:v>
                </c:pt>
                <c:pt idx="1">
                  <c:v>0</c:v>
                </c:pt>
                <c:pt idx="2">
                  <c:v>0</c:v>
                </c:pt>
                <c:pt idx="3">
                  <c:v>1</c:v>
                </c:pt>
                <c:pt idx="4">
                  <c:v>5</c:v>
                </c:pt>
                <c:pt idx="5">
                  <c:v>0</c:v>
                </c:pt>
                <c:pt idx="6">
                  <c:v>0</c:v>
                </c:pt>
                <c:pt idx="7">
                  <c:v>0</c:v>
                </c:pt>
              </c:numCache>
            </c:numRef>
          </c:val>
          <c:extLst>
            <c:ext xmlns:c16="http://schemas.microsoft.com/office/drawing/2014/chart" uri="{C3380CC4-5D6E-409C-BE32-E72D297353CC}">
              <c16:uniqueId val="{00000003-D611-4AD9-9944-0025FF1CE470}"/>
            </c:ext>
          </c:extLst>
        </c:ser>
        <c:ser>
          <c:idx val="4"/>
          <c:order val="4"/>
          <c:tx>
            <c:strRef>
              <c:f>'1'!$AW$6</c:f>
              <c:strCache>
                <c:ptCount val="1"/>
                <c:pt idx="0">
                  <c:v>81-100</c:v>
                </c:pt>
              </c:strCache>
            </c:strRef>
          </c:tx>
          <c:spPr>
            <a:solidFill>
              <a:srgbClr val="C00000"/>
            </a:solidFill>
            <a:ln>
              <a:noFill/>
            </a:ln>
            <a:effectLst/>
          </c:spPr>
          <c:invertIfNegative val="0"/>
          <c:cat>
            <c:strRef>
              <c:f>'1'!$AY$1:$BF$1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'1'!$AY$6:$BF$6</c:f>
              <c:numCache>
                <c:formatCode>General</c:formatCode>
                <c:ptCount val="8"/>
                <c:pt idx="0">
                  <c:v>2</c:v>
                </c:pt>
                <c:pt idx="1">
                  <c:v>2</c:v>
                </c:pt>
                <c:pt idx="2">
                  <c:v>0</c:v>
                </c:pt>
                <c:pt idx="3">
                  <c:v>0</c:v>
                </c:pt>
                <c:pt idx="4">
                  <c:v>6</c:v>
                </c:pt>
                <c:pt idx="5">
                  <c:v>0</c:v>
                </c:pt>
                <c:pt idx="6">
                  <c:v>0</c:v>
                </c:pt>
                <c:pt idx="7">
                  <c:v>0</c:v>
                </c:pt>
              </c:numCache>
            </c:numRef>
          </c:val>
          <c:extLst>
            <c:ext xmlns:c16="http://schemas.microsoft.com/office/drawing/2014/chart" uri="{C3380CC4-5D6E-409C-BE32-E72D297353CC}">
              <c16:uniqueId val="{00000004-D611-4AD9-9944-0025FF1CE470}"/>
            </c:ext>
          </c:extLst>
        </c:ser>
        <c:ser>
          <c:idx val="5"/>
          <c:order val="5"/>
          <c:tx>
            <c:strRef>
              <c:f>'1'!$AW$7</c:f>
              <c:strCache>
                <c:ptCount val="1"/>
                <c:pt idx="0">
                  <c:v>&gt;100</c:v>
                </c:pt>
              </c:strCache>
            </c:strRef>
          </c:tx>
          <c:spPr>
            <a:solidFill>
              <a:schemeClr val="tx1"/>
            </a:solidFill>
            <a:ln>
              <a:noFill/>
            </a:ln>
            <a:effectLst/>
          </c:spPr>
          <c:invertIfNegative val="0"/>
          <c:cat>
            <c:strRef>
              <c:f>'1'!$AY$1:$BF$1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'1'!$AY$7:$BF$7</c:f>
              <c:numCache>
                <c:formatCode>General</c:formatCode>
                <c:ptCount val="8"/>
                <c:pt idx="0">
                  <c:v>8</c:v>
                </c:pt>
                <c:pt idx="1">
                  <c:v>4</c:v>
                </c:pt>
                <c:pt idx="2">
                  <c:v>2</c:v>
                </c:pt>
                <c:pt idx="3">
                  <c:v>0</c:v>
                </c:pt>
                <c:pt idx="4">
                  <c:v>7</c:v>
                </c:pt>
                <c:pt idx="5">
                  <c:v>0</c:v>
                </c:pt>
                <c:pt idx="6">
                  <c:v>0</c:v>
                </c:pt>
                <c:pt idx="7">
                  <c:v>1</c:v>
                </c:pt>
              </c:numCache>
            </c:numRef>
          </c:val>
          <c:extLst>
            <c:ext xmlns:c16="http://schemas.microsoft.com/office/drawing/2014/chart" uri="{C3380CC4-5D6E-409C-BE32-E72D297353CC}">
              <c16:uniqueId val="{00000005-D611-4AD9-9944-0025FF1CE470}"/>
            </c:ext>
          </c:extLst>
        </c:ser>
        <c:dLbls>
          <c:showLegendKey val="0"/>
          <c:showVal val="0"/>
          <c:showCatName val="0"/>
          <c:showSerName val="0"/>
          <c:showPercent val="0"/>
          <c:showBubbleSize val="0"/>
        </c:dLbls>
        <c:gapWidth val="130"/>
        <c:overlap val="100"/>
        <c:axId val="521728968"/>
        <c:axId val="521730280"/>
      </c:barChart>
      <c:catAx>
        <c:axId val="521728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1730280"/>
        <c:crosses val="autoZero"/>
        <c:auto val="1"/>
        <c:lblAlgn val="ctr"/>
        <c:lblOffset val="100"/>
        <c:noMultiLvlLbl val="0"/>
      </c:catAx>
      <c:valAx>
        <c:axId val="521730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1728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are randomized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'6bis'!$K$1</c:f>
              <c:strCache>
                <c:ptCount val="1"/>
                <c:pt idx="0">
                  <c:v>currently</c:v>
                </c:pt>
              </c:strCache>
            </c:strRef>
          </c:tx>
          <c:spPr>
            <a:solidFill>
              <a:srgbClr val="88CCEE"/>
            </a:solidFill>
            <a:ln>
              <a:noFill/>
            </a:ln>
            <a:effectLst/>
          </c:spPr>
          <c:invertIfNegative val="0"/>
          <c:cat>
            <c:strRef>
              <c:f>'6bis'!$J$2:$J$6</c:f>
              <c:strCache>
                <c:ptCount val="5"/>
                <c:pt idx="0">
                  <c:v>strongly disagree</c:v>
                </c:pt>
                <c:pt idx="1">
                  <c:v>somewhat disagree</c:v>
                </c:pt>
                <c:pt idx="2">
                  <c:v>neither</c:v>
                </c:pt>
                <c:pt idx="3">
                  <c:v>somewhat agree</c:v>
                </c:pt>
                <c:pt idx="4">
                  <c:v>strongly agree</c:v>
                </c:pt>
              </c:strCache>
            </c:strRef>
          </c:cat>
          <c:val>
            <c:numRef>
              <c:f>'6bis'!$K$2:$K$6</c:f>
              <c:numCache>
                <c:formatCode>General</c:formatCode>
                <c:ptCount val="5"/>
                <c:pt idx="0">
                  <c:v>46</c:v>
                </c:pt>
                <c:pt idx="1">
                  <c:v>36</c:v>
                </c:pt>
                <c:pt idx="2">
                  <c:v>115</c:v>
                </c:pt>
                <c:pt idx="3">
                  <c:v>36</c:v>
                </c:pt>
                <c:pt idx="4">
                  <c:v>38</c:v>
                </c:pt>
              </c:numCache>
            </c:numRef>
          </c:val>
          <c:extLst>
            <c:ext xmlns:c16="http://schemas.microsoft.com/office/drawing/2014/chart" uri="{C3380CC4-5D6E-409C-BE32-E72D297353CC}">
              <c16:uniqueId val="{00000000-48A3-4DC0-B003-9E255955693F}"/>
            </c:ext>
          </c:extLst>
        </c:ser>
        <c:ser>
          <c:idx val="1"/>
          <c:order val="1"/>
          <c:tx>
            <c:strRef>
              <c:f>'6bis'!$L$1</c:f>
              <c:strCache>
                <c:ptCount val="1"/>
                <c:pt idx="0">
                  <c:v>importance</c:v>
                </c:pt>
              </c:strCache>
            </c:strRef>
          </c:tx>
          <c:spPr>
            <a:solidFill>
              <a:srgbClr val="CC6677"/>
            </a:solidFill>
            <a:ln>
              <a:noFill/>
            </a:ln>
            <a:effectLst/>
          </c:spPr>
          <c:invertIfNegative val="0"/>
          <c:cat>
            <c:strRef>
              <c:f>'6bis'!$J$2:$J$6</c:f>
              <c:strCache>
                <c:ptCount val="5"/>
                <c:pt idx="0">
                  <c:v>strongly disagree</c:v>
                </c:pt>
                <c:pt idx="1">
                  <c:v>somewhat disagree</c:v>
                </c:pt>
                <c:pt idx="2">
                  <c:v>neither</c:v>
                </c:pt>
                <c:pt idx="3">
                  <c:v>somewhat agree</c:v>
                </c:pt>
                <c:pt idx="4">
                  <c:v>strongly agree</c:v>
                </c:pt>
              </c:strCache>
            </c:strRef>
          </c:cat>
          <c:val>
            <c:numRef>
              <c:f>'6bis'!$L$2:$L$6</c:f>
              <c:numCache>
                <c:formatCode>General</c:formatCode>
                <c:ptCount val="5"/>
                <c:pt idx="0">
                  <c:v>46</c:v>
                </c:pt>
                <c:pt idx="1">
                  <c:v>26</c:v>
                </c:pt>
                <c:pt idx="2">
                  <c:v>82</c:v>
                </c:pt>
                <c:pt idx="3">
                  <c:v>44</c:v>
                </c:pt>
                <c:pt idx="4">
                  <c:v>73</c:v>
                </c:pt>
              </c:numCache>
            </c:numRef>
          </c:val>
          <c:extLst>
            <c:ext xmlns:c16="http://schemas.microsoft.com/office/drawing/2014/chart" uri="{C3380CC4-5D6E-409C-BE32-E72D297353CC}">
              <c16:uniqueId val="{00000001-48A3-4DC0-B003-9E255955693F}"/>
            </c:ext>
          </c:extLst>
        </c:ser>
        <c:dLbls>
          <c:showLegendKey val="0"/>
          <c:showVal val="0"/>
          <c:showCatName val="0"/>
          <c:showSerName val="0"/>
          <c:showPercent val="0"/>
          <c:showBubbleSize val="0"/>
        </c:dLbls>
        <c:gapWidth val="130"/>
        <c:overlap val="-27"/>
        <c:axId val="276746336"/>
        <c:axId val="276746664"/>
      </c:barChart>
      <c:catAx>
        <c:axId val="27674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664"/>
        <c:crosses val="autoZero"/>
        <c:auto val="1"/>
        <c:lblAlgn val="ctr"/>
        <c:lblOffset val="100"/>
        <c:noMultiLvlLbl val="0"/>
      </c:catAx>
      <c:valAx>
        <c:axId val="276746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767463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 experiments</a:t>
            </a:r>
            <a:r>
              <a:rPr lang="en-GB" baseline="0"/>
              <a:t> are replicated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'6bis'!$AB$1</c:f>
              <c:strCache>
                <c:ptCount val="1"/>
                <c:pt idx="0">
                  <c:v>currently</c:v>
                </c:pt>
              </c:strCache>
            </c:strRef>
          </c:tx>
          <c:spPr>
            <a:solidFill>
              <a:srgbClr val="88CCEE"/>
            </a:solidFill>
            <a:ln>
              <a:noFill/>
            </a:ln>
            <a:effectLst/>
          </c:spPr>
          <c:invertIfNegative val="0"/>
          <c:cat>
            <c:strRef>
              <c:f>'6bis'!$AA$2:$AA$6</c:f>
              <c:strCache>
                <c:ptCount val="5"/>
                <c:pt idx="0">
                  <c:v>strongly disagree</c:v>
                </c:pt>
                <c:pt idx="1">
                  <c:v>somewhat disagree</c:v>
                </c:pt>
                <c:pt idx="2">
                  <c:v>neither</c:v>
                </c:pt>
                <c:pt idx="3">
                  <c:v>somewhat agree</c:v>
                </c:pt>
                <c:pt idx="4">
                  <c:v>strongly agree</c:v>
                </c:pt>
              </c:strCache>
            </c:strRef>
          </c:cat>
          <c:val>
            <c:numRef>
              <c:f>'6bis'!$AB$2:$AB$6</c:f>
              <c:numCache>
                <c:formatCode>General</c:formatCode>
                <c:ptCount val="5"/>
                <c:pt idx="0">
                  <c:v>20</c:v>
                </c:pt>
                <c:pt idx="1">
                  <c:v>26</c:v>
                </c:pt>
                <c:pt idx="2">
                  <c:v>64</c:v>
                </c:pt>
                <c:pt idx="3">
                  <c:v>71</c:v>
                </c:pt>
                <c:pt idx="4">
                  <c:v>90</c:v>
                </c:pt>
              </c:numCache>
            </c:numRef>
          </c:val>
          <c:extLst>
            <c:ext xmlns:c16="http://schemas.microsoft.com/office/drawing/2014/chart" uri="{C3380CC4-5D6E-409C-BE32-E72D297353CC}">
              <c16:uniqueId val="{00000000-1397-465E-84D1-4369DAA75A5C}"/>
            </c:ext>
          </c:extLst>
        </c:ser>
        <c:ser>
          <c:idx val="1"/>
          <c:order val="1"/>
          <c:tx>
            <c:strRef>
              <c:f>'6bis'!$AC$1</c:f>
              <c:strCache>
                <c:ptCount val="1"/>
                <c:pt idx="0">
                  <c:v>importance</c:v>
                </c:pt>
              </c:strCache>
            </c:strRef>
          </c:tx>
          <c:spPr>
            <a:solidFill>
              <a:srgbClr val="CC6677"/>
            </a:solidFill>
            <a:ln>
              <a:noFill/>
            </a:ln>
            <a:effectLst/>
          </c:spPr>
          <c:invertIfNegative val="0"/>
          <c:cat>
            <c:strRef>
              <c:f>'6bis'!$AA$2:$AA$6</c:f>
              <c:strCache>
                <c:ptCount val="5"/>
                <c:pt idx="0">
                  <c:v>strongly disagree</c:v>
                </c:pt>
                <c:pt idx="1">
                  <c:v>somewhat disagree</c:v>
                </c:pt>
                <c:pt idx="2">
                  <c:v>neither</c:v>
                </c:pt>
                <c:pt idx="3">
                  <c:v>somewhat agree</c:v>
                </c:pt>
                <c:pt idx="4">
                  <c:v>strongly agree</c:v>
                </c:pt>
              </c:strCache>
            </c:strRef>
          </c:cat>
          <c:val>
            <c:numRef>
              <c:f>'6bis'!$AC$2:$AC$6</c:f>
              <c:numCache>
                <c:formatCode>General</c:formatCode>
                <c:ptCount val="5"/>
                <c:pt idx="0">
                  <c:v>43</c:v>
                </c:pt>
                <c:pt idx="1">
                  <c:v>11</c:v>
                </c:pt>
                <c:pt idx="2">
                  <c:v>28</c:v>
                </c:pt>
                <c:pt idx="3">
                  <c:v>25</c:v>
                </c:pt>
                <c:pt idx="4">
                  <c:v>164</c:v>
                </c:pt>
              </c:numCache>
            </c:numRef>
          </c:val>
          <c:extLst>
            <c:ext xmlns:c16="http://schemas.microsoft.com/office/drawing/2014/chart" uri="{C3380CC4-5D6E-409C-BE32-E72D297353CC}">
              <c16:uniqueId val="{00000001-1397-465E-84D1-4369DAA75A5C}"/>
            </c:ext>
          </c:extLst>
        </c:ser>
        <c:dLbls>
          <c:showLegendKey val="0"/>
          <c:showVal val="0"/>
          <c:showCatName val="0"/>
          <c:showSerName val="0"/>
          <c:showPercent val="0"/>
          <c:showBubbleSize val="0"/>
        </c:dLbls>
        <c:gapWidth val="130"/>
        <c:overlap val="-27"/>
        <c:axId val="361311872"/>
        <c:axId val="361313184"/>
      </c:barChart>
      <c:catAx>
        <c:axId val="36131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1313184"/>
        <c:crosses val="autoZero"/>
        <c:auto val="1"/>
        <c:lblAlgn val="ctr"/>
        <c:lblOffset val="100"/>
        <c:noMultiLvlLbl val="0"/>
      </c:catAx>
      <c:valAx>
        <c:axId val="361313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13118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Experiments</a:t>
            </a:r>
            <a:r>
              <a:rPr lang="en-GB" baseline="0"/>
              <a:t> are performed blinded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'6bis'!$AS$1</c:f>
              <c:strCache>
                <c:ptCount val="1"/>
                <c:pt idx="0">
                  <c:v>currently</c:v>
                </c:pt>
              </c:strCache>
            </c:strRef>
          </c:tx>
          <c:spPr>
            <a:solidFill>
              <a:srgbClr val="88CCEE"/>
            </a:solidFill>
            <a:ln>
              <a:noFill/>
            </a:ln>
            <a:effectLst/>
          </c:spPr>
          <c:invertIfNegative val="0"/>
          <c:cat>
            <c:strRef>
              <c:f>'6bis'!$AR$2:$AR$6</c:f>
              <c:strCache>
                <c:ptCount val="5"/>
                <c:pt idx="0">
                  <c:v>strongly disagree</c:v>
                </c:pt>
                <c:pt idx="1">
                  <c:v>somewhat disagree</c:v>
                </c:pt>
                <c:pt idx="2">
                  <c:v>neither</c:v>
                </c:pt>
                <c:pt idx="3">
                  <c:v>somewhat agree</c:v>
                </c:pt>
                <c:pt idx="4">
                  <c:v>strongly agree</c:v>
                </c:pt>
              </c:strCache>
            </c:strRef>
          </c:cat>
          <c:val>
            <c:numRef>
              <c:f>'6bis'!$AS$2:$AS$6</c:f>
              <c:numCache>
                <c:formatCode>General</c:formatCode>
                <c:ptCount val="5"/>
                <c:pt idx="0">
                  <c:v>64</c:v>
                </c:pt>
                <c:pt idx="1">
                  <c:v>42</c:v>
                </c:pt>
                <c:pt idx="2">
                  <c:v>102</c:v>
                </c:pt>
                <c:pt idx="3">
                  <c:v>40</c:v>
                </c:pt>
                <c:pt idx="4">
                  <c:v>23</c:v>
                </c:pt>
              </c:numCache>
            </c:numRef>
          </c:val>
          <c:extLst>
            <c:ext xmlns:c16="http://schemas.microsoft.com/office/drawing/2014/chart" uri="{C3380CC4-5D6E-409C-BE32-E72D297353CC}">
              <c16:uniqueId val="{00000000-6934-4A12-8C9B-15BC64F891E0}"/>
            </c:ext>
          </c:extLst>
        </c:ser>
        <c:ser>
          <c:idx val="1"/>
          <c:order val="1"/>
          <c:tx>
            <c:strRef>
              <c:f>'6bis'!$AT$1</c:f>
              <c:strCache>
                <c:ptCount val="1"/>
                <c:pt idx="0">
                  <c:v>importance</c:v>
                </c:pt>
              </c:strCache>
            </c:strRef>
          </c:tx>
          <c:spPr>
            <a:solidFill>
              <a:srgbClr val="CC6677"/>
            </a:solidFill>
            <a:ln>
              <a:noFill/>
            </a:ln>
            <a:effectLst/>
          </c:spPr>
          <c:invertIfNegative val="0"/>
          <c:cat>
            <c:strRef>
              <c:f>'6bis'!$AR$2:$AR$6</c:f>
              <c:strCache>
                <c:ptCount val="5"/>
                <c:pt idx="0">
                  <c:v>strongly disagree</c:v>
                </c:pt>
                <c:pt idx="1">
                  <c:v>somewhat disagree</c:v>
                </c:pt>
                <c:pt idx="2">
                  <c:v>neither</c:v>
                </c:pt>
                <c:pt idx="3">
                  <c:v>somewhat agree</c:v>
                </c:pt>
                <c:pt idx="4">
                  <c:v>strongly agree</c:v>
                </c:pt>
              </c:strCache>
            </c:strRef>
          </c:cat>
          <c:val>
            <c:numRef>
              <c:f>'6bis'!$AT$2:$AT$6</c:f>
              <c:numCache>
                <c:formatCode>General</c:formatCode>
                <c:ptCount val="5"/>
                <c:pt idx="0">
                  <c:v>48</c:v>
                </c:pt>
                <c:pt idx="1">
                  <c:v>20</c:v>
                </c:pt>
                <c:pt idx="2">
                  <c:v>93</c:v>
                </c:pt>
                <c:pt idx="3">
                  <c:v>52</c:v>
                </c:pt>
                <c:pt idx="4">
                  <c:v>58</c:v>
                </c:pt>
              </c:numCache>
            </c:numRef>
          </c:val>
          <c:extLst>
            <c:ext xmlns:c16="http://schemas.microsoft.com/office/drawing/2014/chart" uri="{C3380CC4-5D6E-409C-BE32-E72D297353CC}">
              <c16:uniqueId val="{00000001-6934-4A12-8C9B-15BC64F891E0}"/>
            </c:ext>
          </c:extLst>
        </c:ser>
        <c:dLbls>
          <c:showLegendKey val="0"/>
          <c:showVal val="0"/>
          <c:showCatName val="0"/>
          <c:showSerName val="0"/>
          <c:showPercent val="0"/>
          <c:showBubbleSize val="0"/>
        </c:dLbls>
        <c:gapWidth val="130"/>
        <c:overlap val="-27"/>
        <c:axId val="617016496"/>
        <c:axId val="607061688"/>
      </c:barChart>
      <c:catAx>
        <c:axId val="61701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07061688"/>
        <c:crosses val="autoZero"/>
        <c:auto val="1"/>
        <c:lblAlgn val="ctr"/>
        <c:lblOffset val="100"/>
        <c:noMultiLvlLbl val="0"/>
      </c:catAx>
      <c:valAx>
        <c:axId val="607061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0164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are randomized (currently)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'6bis'!$J$2</c:f>
              <c:strCache>
                <c:ptCount val="1"/>
                <c:pt idx="0">
                  <c:v>strongly disagree</c:v>
                </c:pt>
              </c:strCache>
            </c:strRef>
          </c:tx>
          <c:spPr>
            <a:solidFill>
              <a:srgbClr val="FF0000"/>
            </a:solidFill>
            <a:ln>
              <a:noFill/>
            </a:ln>
            <a:effectLst/>
          </c:spPr>
          <c:invertIfNegative val="0"/>
          <c:cat>
            <c:strRef>
              <c:f>'6bis'!$N$1:$P$1</c:f>
              <c:strCache>
                <c:ptCount val="3"/>
                <c:pt idx="0">
                  <c:v>full-service</c:v>
                </c:pt>
                <c:pt idx="1">
                  <c:v>hybrid-service</c:v>
                </c:pt>
                <c:pt idx="2">
                  <c:v>self-service</c:v>
                </c:pt>
              </c:strCache>
            </c:strRef>
          </c:cat>
          <c:val>
            <c:numRef>
              <c:f>'6bis'!$N$2:$P$2</c:f>
              <c:numCache>
                <c:formatCode>General</c:formatCode>
                <c:ptCount val="3"/>
                <c:pt idx="0">
                  <c:v>13</c:v>
                </c:pt>
                <c:pt idx="1">
                  <c:v>30</c:v>
                </c:pt>
                <c:pt idx="2">
                  <c:v>3</c:v>
                </c:pt>
              </c:numCache>
            </c:numRef>
          </c:val>
          <c:extLst>
            <c:ext xmlns:c16="http://schemas.microsoft.com/office/drawing/2014/chart" uri="{C3380CC4-5D6E-409C-BE32-E72D297353CC}">
              <c16:uniqueId val="{00000000-D2CD-40D5-87E7-D9536E1FA829}"/>
            </c:ext>
          </c:extLst>
        </c:ser>
        <c:ser>
          <c:idx val="1"/>
          <c:order val="1"/>
          <c:tx>
            <c:strRef>
              <c:f>'6bis'!$J$3</c:f>
              <c:strCache>
                <c:ptCount val="1"/>
                <c:pt idx="0">
                  <c:v>somewhat disagree</c:v>
                </c:pt>
              </c:strCache>
            </c:strRef>
          </c:tx>
          <c:spPr>
            <a:solidFill>
              <a:srgbClr val="FF9933"/>
            </a:solidFill>
            <a:ln>
              <a:noFill/>
            </a:ln>
            <a:effectLst/>
          </c:spPr>
          <c:invertIfNegative val="0"/>
          <c:cat>
            <c:strRef>
              <c:f>'6bis'!$N$1:$P$1</c:f>
              <c:strCache>
                <c:ptCount val="3"/>
                <c:pt idx="0">
                  <c:v>full-service</c:v>
                </c:pt>
                <c:pt idx="1">
                  <c:v>hybrid-service</c:v>
                </c:pt>
                <c:pt idx="2">
                  <c:v>self-service</c:v>
                </c:pt>
              </c:strCache>
            </c:strRef>
          </c:cat>
          <c:val>
            <c:numRef>
              <c:f>'6bis'!$N$3:$P$3</c:f>
              <c:numCache>
                <c:formatCode>General</c:formatCode>
                <c:ptCount val="3"/>
                <c:pt idx="0">
                  <c:v>8</c:v>
                </c:pt>
                <c:pt idx="1">
                  <c:v>22</c:v>
                </c:pt>
                <c:pt idx="2">
                  <c:v>6</c:v>
                </c:pt>
              </c:numCache>
            </c:numRef>
          </c:val>
          <c:extLst>
            <c:ext xmlns:c16="http://schemas.microsoft.com/office/drawing/2014/chart" uri="{C3380CC4-5D6E-409C-BE32-E72D297353CC}">
              <c16:uniqueId val="{00000001-D2CD-40D5-87E7-D9536E1FA829}"/>
            </c:ext>
          </c:extLst>
        </c:ser>
        <c:ser>
          <c:idx val="2"/>
          <c:order val="2"/>
          <c:tx>
            <c:strRef>
              <c:f>'6bis'!$J$4</c:f>
              <c:strCache>
                <c:ptCount val="1"/>
                <c:pt idx="0">
                  <c:v>neither</c:v>
                </c:pt>
              </c:strCache>
            </c:strRef>
          </c:tx>
          <c:spPr>
            <a:solidFill>
              <a:srgbClr val="FFC000"/>
            </a:solidFill>
            <a:ln>
              <a:noFill/>
            </a:ln>
            <a:effectLst/>
          </c:spPr>
          <c:invertIfNegative val="0"/>
          <c:cat>
            <c:strRef>
              <c:f>'6bis'!$N$1:$P$1</c:f>
              <c:strCache>
                <c:ptCount val="3"/>
                <c:pt idx="0">
                  <c:v>full-service</c:v>
                </c:pt>
                <c:pt idx="1">
                  <c:v>hybrid-service</c:v>
                </c:pt>
                <c:pt idx="2">
                  <c:v>self-service</c:v>
                </c:pt>
              </c:strCache>
            </c:strRef>
          </c:cat>
          <c:val>
            <c:numRef>
              <c:f>'6bis'!$N$4:$P$4</c:f>
              <c:numCache>
                <c:formatCode>General</c:formatCode>
                <c:ptCount val="3"/>
                <c:pt idx="0">
                  <c:v>27</c:v>
                </c:pt>
                <c:pt idx="1">
                  <c:v>73</c:v>
                </c:pt>
                <c:pt idx="2">
                  <c:v>15</c:v>
                </c:pt>
              </c:numCache>
            </c:numRef>
          </c:val>
          <c:extLst>
            <c:ext xmlns:c16="http://schemas.microsoft.com/office/drawing/2014/chart" uri="{C3380CC4-5D6E-409C-BE32-E72D297353CC}">
              <c16:uniqueId val="{00000002-D2CD-40D5-87E7-D9536E1FA829}"/>
            </c:ext>
          </c:extLst>
        </c:ser>
        <c:ser>
          <c:idx val="3"/>
          <c:order val="3"/>
          <c:tx>
            <c:strRef>
              <c:f>'6bis'!$J$5</c:f>
              <c:strCache>
                <c:ptCount val="1"/>
                <c:pt idx="0">
                  <c:v>somewhat agree</c:v>
                </c:pt>
              </c:strCache>
            </c:strRef>
          </c:tx>
          <c:spPr>
            <a:solidFill>
              <a:schemeClr val="accent5">
                <a:lumMod val="60000"/>
                <a:lumOff val="40000"/>
              </a:schemeClr>
            </a:solidFill>
            <a:ln>
              <a:noFill/>
            </a:ln>
            <a:effectLst/>
          </c:spPr>
          <c:invertIfNegative val="0"/>
          <c:cat>
            <c:strRef>
              <c:f>'6bis'!$N$1:$P$1</c:f>
              <c:strCache>
                <c:ptCount val="3"/>
                <c:pt idx="0">
                  <c:v>full-service</c:v>
                </c:pt>
                <c:pt idx="1">
                  <c:v>hybrid-service</c:v>
                </c:pt>
                <c:pt idx="2">
                  <c:v>self-service</c:v>
                </c:pt>
              </c:strCache>
            </c:strRef>
          </c:cat>
          <c:val>
            <c:numRef>
              <c:f>'6bis'!$N$5:$P$5</c:f>
              <c:numCache>
                <c:formatCode>General</c:formatCode>
                <c:ptCount val="3"/>
                <c:pt idx="0">
                  <c:v>10</c:v>
                </c:pt>
                <c:pt idx="1">
                  <c:v>24</c:v>
                </c:pt>
                <c:pt idx="2">
                  <c:v>2</c:v>
                </c:pt>
              </c:numCache>
            </c:numRef>
          </c:val>
          <c:extLst>
            <c:ext xmlns:c16="http://schemas.microsoft.com/office/drawing/2014/chart" uri="{C3380CC4-5D6E-409C-BE32-E72D297353CC}">
              <c16:uniqueId val="{00000003-D2CD-40D5-87E7-D9536E1FA829}"/>
            </c:ext>
          </c:extLst>
        </c:ser>
        <c:ser>
          <c:idx val="4"/>
          <c:order val="4"/>
          <c:tx>
            <c:strRef>
              <c:f>'6bis'!$J$6</c:f>
              <c:strCache>
                <c:ptCount val="1"/>
                <c:pt idx="0">
                  <c:v>strongly agree</c:v>
                </c:pt>
              </c:strCache>
            </c:strRef>
          </c:tx>
          <c:spPr>
            <a:solidFill>
              <a:schemeClr val="accent1"/>
            </a:solidFill>
            <a:ln>
              <a:noFill/>
            </a:ln>
            <a:effectLst/>
          </c:spPr>
          <c:invertIfNegative val="0"/>
          <c:cat>
            <c:strRef>
              <c:f>'6bis'!$N$1:$P$1</c:f>
              <c:strCache>
                <c:ptCount val="3"/>
                <c:pt idx="0">
                  <c:v>full-service</c:v>
                </c:pt>
                <c:pt idx="1">
                  <c:v>hybrid-service</c:v>
                </c:pt>
                <c:pt idx="2">
                  <c:v>self-service</c:v>
                </c:pt>
              </c:strCache>
            </c:strRef>
          </c:cat>
          <c:val>
            <c:numRef>
              <c:f>'6bis'!$N$6:$P$6</c:f>
              <c:numCache>
                <c:formatCode>General</c:formatCode>
                <c:ptCount val="3"/>
                <c:pt idx="0">
                  <c:v>12</c:v>
                </c:pt>
                <c:pt idx="1">
                  <c:v>24</c:v>
                </c:pt>
                <c:pt idx="2">
                  <c:v>2</c:v>
                </c:pt>
              </c:numCache>
            </c:numRef>
          </c:val>
          <c:extLst>
            <c:ext xmlns:c16="http://schemas.microsoft.com/office/drawing/2014/chart" uri="{C3380CC4-5D6E-409C-BE32-E72D297353CC}">
              <c16:uniqueId val="{00000004-D2CD-40D5-87E7-D9536E1FA829}"/>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are randomized (importance)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'6bis'!$J$8</c:f>
              <c:strCache>
                <c:ptCount val="1"/>
                <c:pt idx="0">
                  <c:v>strongly disagree</c:v>
                </c:pt>
              </c:strCache>
            </c:strRef>
          </c:tx>
          <c:spPr>
            <a:solidFill>
              <a:srgbClr val="FF0000"/>
            </a:solidFill>
            <a:ln>
              <a:noFill/>
            </a:ln>
            <a:effectLst/>
          </c:spPr>
          <c:invertIfNegative val="0"/>
          <c:cat>
            <c:strRef>
              <c:f>'6bis'!$N$1:$P$1</c:f>
              <c:strCache>
                <c:ptCount val="3"/>
                <c:pt idx="0">
                  <c:v>full-service</c:v>
                </c:pt>
                <c:pt idx="1">
                  <c:v>hybrid-service</c:v>
                </c:pt>
                <c:pt idx="2">
                  <c:v>self-service</c:v>
                </c:pt>
              </c:strCache>
            </c:strRef>
          </c:cat>
          <c:val>
            <c:numRef>
              <c:f>'6bis'!$N$8:$P$8</c:f>
              <c:numCache>
                <c:formatCode>General</c:formatCode>
                <c:ptCount val="3"/>
                <c:pt idx="0">
                  <c:v>13</c:v>
                </c:pt>
                <c:pt idx="1">
                  <c:v>28</c:v>
                </c:pt>
                <c:pt idx="2">
                  <c:v>5</c:v>
                </c:pt>
              </c:numCache>
            </c:numRef>
          </c:val>
          <c:extLst>
            <c:ext xmlns:c16="http://schemas.microsoft.com/office/drawing/2014/chart" uri="{C3380CC4-5D6E-409C-BE32-E72D297353CC}">
              <c16:uniqueId val="{00000000-061C-4C2A-AB54-BD1321E7BA1D}"/>
            </c:ext>
          </c:extLst>
        </c:ser>
        <c:ser>
          <c:idx val="1"/>
          <c:order val="1"/>
          <c:tx>
            <c:strRef>
              <c:f>'6bis'!$J$9</c:f>
              <c:strCache>
                <c:ptCount val="1"/>
                <c:pt idx="0">
                  <c:v>somewhat disagree</c:v>
                </c:pt>
              </c:strCache>
            </c:strRef>
          </c:tx>
          <c:spPr>
            <a:solidFill>
              <a:srgbClr val="FF9933"/>
            </a:solidFill>
            <a:ln>
              <a:noFill/>
            </a:ln>
            <a:effectLst/>
          </c:spPr>
          <c:invertIfNegative val="0"/>
          <c:cat>
            <c:strRef>
              <c:f>'6bis'!$N$1:$P$1</c:f>
              <c:strCache>
                <c:ptCount val="3"/>
                <c:pt idx="0">
                  <c:v>full-service</c:v>
                </c:pt>
                <c:pt idx="1">
                  <c:v>hybrid-service</c:v>
                </c:pt>
                <c:pt idx="2">
                  <c:v>self-service</c:v>
                </c:pt>
              </c:strCache>
            </c:strRef>
          </c:cat>
          <c:val>
            <c:numRef>
              <c:f>'6bis'!$N$9:$P$9</c:f>
              <c:numCache>
                <c:formatCode>General</c:formatCode>
                <c:ptCount val="3"/>
                <c:pt idx="0">
                  <c:v>4</c:v>
                </c:pt>
                <c:pt idx="1">
                  <c:v>18</c:v>
                </c:pt>
                <c:pt idx="2">
                  <c:v>4</c:v>
                </c:pt>
              </c:numCache>
            </c:numRef>
          </c:val>
          <c:extLst>
            <c:ext xmlns:c16="http://schemas.microsoft.com/office/drawing/2014/chart" uri="{C3380CC4-5D6E-409C-BE32-E72D297353CC}">
              <c16:uniqueId val="{00000001-061C-4C2A-AB54-BD1321E7BA1D}"/>
            </c:ext>
          </c:extLst>
        </c:ser>
        <c:ser>
          <c:idx val="2"/>
          <c:order val="2"/>
          <c:tx>
            <c:strRef>
              <c:f>'6bis'!$J$10</c:f>
              <c:strCache>
                <c:ptCount val="1"/>
                <c:pt idx="0">
                  <c:v>neither</c:v>
                </c:pt>
              </c:strCache>
            </c:strRef>
          </c:tx>
          <c:spPr>
            <a:solidFill>
              <a:srgbClr val="FFC000"/>
            </a:solidFill>
            <a:ln>
              <a:noFill/>
            </a:ln>
            <a:effectLst/>
          </c:spPr>
          <c:invertIfNegative val="0"/>
          <c:cat>
            <c:strRef>
              <c:f>'6bis'!$N$1:$P$1</c:f>
              <c:strCache>
                <c:ptCount val="3"/>
                <c:pt idx="0">
                  <c:v>full-service</c:v>
                </c:pt>
                <c:pt idx="1">
                  <c:v>hybrid-service</c:v>
                </c:pt>
                <c:pt idx="2">
                  <c:v>self-service</c:v>
                </c:pt>
              </c:strCache>
            </c:strRef>
          </c:cat>
          <c:val>
            <c:numRef>
              <c:f>'6bis'!$N$10:$P$10</c:f>
              <c:numCache>
                <c:formatCode>General</c:formatCode>
                <c:ptCount val="3"/>
                <c:pt idx="0">
                  <c:v>19</c:v>
                </c:pt>
                <c:pt idx="1">
                  <c:v>55</c:v>
                </c:pt>
                <c:pt idx="2">
                  <c:v>8</c:v>
                </c:pt>
              </c:numCache>
            </c:numRef>
          </c:val>
          <c:extLst>
            <c:ext xmlns:c16="http://schemas.microsoft.com/office/drawing/2014/chart" uri="{C3380CC4-5D6E-409C-BE32-E72D297353CC}">
              <c16:uniqueId val="{00000002-061C-4C2A-AB54-BD1321E7BA1D}"/>
            </c:ext>
          </c:extLst>
        </c:ser>
        <c:ser>
          <c:idx val="3"/>
          <c:order val="3"/>
          <c:tx>
            <c:strRef>
              <c:f>'6bis'!$J$11</c:f>
              <c:strCache>
                <c:ptCount val="1"/>
                <c:pt idx="0">
                  <c:v>somewhat agree</c:v>
                </c:pt>
              </c:strCache>
            </c:strRef>
          </c:tx>
          <c:spPr>
            <a:solidFill>
              <a:schemeClr val="accent5">
                <a:lumMod val="60000"/>
                <a:lumOff val="40000"/>
              </a:schemeClr>
            </a:solidFill>
            <a:ln>
              <a:noFill/>
            </a:ln>
            <a:effectLst/>
          </c:spPr>
          <c:invertIfNegative val="0"/>
          <c:cat>
            <c:strRef>
              <c:f>'6bis'!$N$1:$P$1</c:f>
              <c:strCache>
                <c:ptCount val="3"/>
                <c:pt idx="0">
                  <c:v>full-service</c:v>
                </c:pt>
                <c:pt idx="1">
                  <c:v>hybrid-service</c:v>
                </c:pt>
                <c:pt idx="2">
                  <c:v>self-service</c:v>
                </c:pt>
              </c:strCache>
            </c:strRef>
          </c:cat>
          <c:val>
            <c:numRef>
              <c:f>'6bis'!$N$11:$P$11</c:f>
              <c:numCache>
                <c:formatCode>General</c:formatCode>
                <c:ptCount val="3"/>
                <c:pt idx="0">
                  <c:v>10</c:v>
                </c:pt>
                <c:pt idx="1">
                  <c:v>30</c:v>
                </c:pt>
                <c:pt idx="2">
                  <c:v>4</c:v>
                </c:pt>
              </c:numCache>
            </c:numRef>
          </c:val>
          <c:extLst>
            <c:ext xmlns:c16="http://schemas.microsoft.com/office/drawing/2014/chart" uri="{C3380CC4-5D6E-409C-BE32-E72D297353CC}">
              <c16:uniqueId val="{00000003-061C-4C2A-AB54-BD1321E7BA1D}"/>
            </c:ext>
          </c:extLst>
        </c:ser>
        <c:ser>
          <c:idx val="4"/>
          <c:order val="4"/>
          <c:tx>
            <c:strRef>
              <c:f>'6bis'!$J$12</c:f>
              <c:strCache>
                <c:ptCount val="1"/>
                <c:pt idx="0">
                  <c:v>strongly agree</c:v>
                </c:pt>
              </c:strCache>
            </c:strRef>
          </c:tx>
          <c:spPr>
            <a:solidFill>
              <a:schemeClr val="accent1"/>
            </a:solidFill>
            <a:ln>
              <a:noFill/>
            </a:ln>
            <a:effectLst/>
          </c:spPr>
          <c:invertIfNegative val="0"/>
          <c:cat>
            <c:strRef>
              <c:f>'6bis'!$N$1:$P$1</c:f>
              <c:strCache>
                <c:ptCount val="3"/>
                <c:pt idx="0">
                  <c:v>full-service</c:v>
                </c:pt>
                <c:pt idx="1">
                  <c:v>hybrid-service</c:v>
                </c:pt>
                <c:pt idx="2">
                  <c:v>self-service</c:v>
                </c:pt>
              </c:strCache>
            </c:strRef>
          </c:cat>
          <c:val>
            <c:numRef>
              <c:f>'6bis'!$N$12:$P$12</c:f>
              <c:numCache>
                <c:formatCode>General</c:formatCode>
                <c:ptCount val="3"/>
                <c:pt idx="0">
                  <c:v>24</c:v>
                </c:pt>
                <c:pt idx="1">
                  <c:v>42</c:v>
                </c:pt>
                <c:pt idx="2">
                  <c:v>7</c:v>
                </c:pt>
              </c:numCache>
            </c:numRef>
          </c:val>
          <c:extLst>
            <c:ext xmlns:c16="http://schemas.microsoft.com/office/drawing/2014/chart" uri="{C3380CC4-5D6E-409C-BE32-E72D297353CC}">
              <c16:uniqueId val="{00000004-061C-4C2A-AB54-BD1321E7BA1D}"/>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are randomized (currently)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'6bis'!$J$2</c:f>
              <c:strCache>
                <c:ptCount val="1"/>
                <c:pt idx="0">
                  <c:v>strongly disagree</c:v>
                </c:pt>
              </c:strCache>
            </c:strRef>
          </c:tx>
          <c:spPr>
            <a:solidFill>
              <a:srgbClr val="FF0000"/>
            </a:solidFill>
            <a:ln>
              <a:noFill/>
            </a:ln>
            <a:effectLst/>
          </c:spPr>
          <c:invertIfNegative val="0"/>
          <c:cat>
            <c:strRef>
              <c:f>'6bis'!$R$1:$Y$1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'6bis'!$R$2:$Y$2</c:f>
              <c:numCache>
                <c:formatCode>General</c:formatCode>
                <c:ptCount val="8"/>
                <c:pt idx="0">
                  <c:v>12</c:v>
                </c:pt>
                <c:pt idx="1">
                  <c:v>7</c:v>
                </c:pt>
                <c:pt idx="2">
                  <c:v>1</c:v>
                </c:pt>
                <c:pt idx="3">
                  <c:v>1</c:v>
                </c:pt>
                <c:pt idx="4">
                  <c:v>4</c:v>
                </c:pt>
                <c:pt idx="5">
                  <c:v>2</c:v>
                </c:pt>
                <c:pt idx="6">
                  <c:v>3</c:v>
                </c:pt>
                <c:pt idx="7">
                  <c:v>4</c:v>
                </c:pt>
              </c:numCache>
            </c:numRef>
          </c:val>
          <c:extLst>
            <c:ext xmlns:c16="http://schemas.microsoft.com/office/drawing/2014/chart" uri="{C3380CC4-5D6E-409C-BE32-E72D297353CC}">
              <c16:uniqueId val="{00000000-8D90-4D28-8F2C-42D220057233}"/>
            </c:ext>
          </c:extLst>
        </c:ser>
        <c:ser>
          <c:idx val="1"/>
          <c:order val="1"/>
          <c:tx>
            <c:strRef>
              <c:f>'6bis'!$J$3</c:f>
              <c:strCache>
                <c:ptCount val="1"/>
                <c:pt idx="0">
                  <c:v>somewhat disagree</c:v>
                </c:pt>
              </c:strCache>
            </c:strRef>
          </c:tx>
          <c:spPr>
            <a:solidFill>
              <a:srgbClr val="FF9933"/>
            </a:solidFill>
            <a:ln>
              <a:noFill/>
            </a:ln>
            <a:effectLst/>
          </c:spPr>
          <c:invertIfNegative val="0"/>
          <c:cat>
            <c:strRef>
              <c:f>'6bis'!$R$1:$Y$1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'6bis'!$R$3:$Y$3</c:f>
              <c:numCache>
                <c:formatCode>General</c:formatCode>
                <c:ptCount val="8"/>
                <c:pt idx="0">
                  <c:v>8</c:v>
                </c:pt>
                <c:pt idx="1">
                  <c:v>3</c:v>
                </c:pt>
                <c:pt idx="2">
                  <c:v>1</c:v>
                </c:pt>
                <c:pt idx="3">
                  <c:v>0</c:v>
                </c:pt>
                <c:pt idx="4">
                  <c:v>12</c:v>
                </c:pt>
                <c:pt idx="5">
                  <c:v>1</c:v>
                </c:pt>
                <c:pt idx="6">
                  <c:v>0</c:v>
                </c:pt>
                <c:pt idx="7">
                  <c:v>5</c:v>
                </c:pt>
              </c:numCache>
            </c:numRef>
          </c:val>
          <c:extLst>
            <c:ext xmlns:c16="http://schemas.microsoft.com/office/drawing/2014/chart" uri="{C3380CC4-5D6E-409C-BE32-E72D297353CC}">
              <c16:uniqueId val="{00000001-8D90-4D28-8F2C-42D220057233}"/>
            </c:ext>
          </c:extLst>
        </c:ser>
        <c:ser>
          <c:idx val="2"/>
          <c:order val="2"/>
          <c:tx>
            <c:strRef>
              <c:f>'6bis'!$J$4</c:f>
              <c:strCache>
                <c:ptCount val="1"/>
                <c:pt idx="0">
                  <c:v>neither</c:v>
                </c:pt>
              </c:strCache>
            </c:strRef>
          </c:tx>
          <c:spPr>
            <a:solidFill>
              <a:srgbClr val="FFC000"/>
            </a:solidFill>
            <a:ln>
              <a:noFill/>
            </a:ln>
            <a:effectLst/>
          </c:spPr>
          <c:invertIfNegative val="0"/>
          <c:cat>
            <c:strRef>
              <c:f>'6bis'!$R$1:$Y$1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'6bis'!$R$4:$Y$4</c:f>
              <c:numCache>
                <c:formatCode>General</c:formatCode>
                <c:ptCount val="8"/>
                <c:pt idx="0">
                  <c:v>23</c:v>
                </c:pt>
                <c:pt idx="1">
                  <c:v>10</c:v>
                </c:pt>
                <c:pt idx="2">
                  <c:v>4</c:v>
                </c:pt>
                <c:pt idx="3">
                  <c:v>4</c:v>
                </c:pt>
                <c:pt idx="4">
                  <c:v>32</c:v>
                </c:pt>
                <c:pt idx="5">
                  <c:v>3</c:v>
                </c:pt>
                <c:pt idx="6">
                  <c:v>4</c:v>
                </c:pt>
                <c:pt idx="7">
                  <c:v>13</c:v>
                </c:pt>
              </c:numCache>
            </c:numRef>
          </c:val>
          <c:extLst>
            <c:ext xmlns:c16="http://schemas.microsoft.com/office/drawing/2014/chart" uri="{C3380CC4-5D6E-409C-BE32-E72D297353CC}">
              <c16:uniqueId val="{00000002-8D90-4D28-8F2C-42D220057233}"/>
            </c:ext>
          </c:extLst>
        </c:ser>
        <c:ser>
          <c:idx val="3"/>
          <c:order val="3"/>
          <c:tx>
            <c:strRef>
              <c:f>'6bis'!$J$5</c:f>
              <c:strCache>
                <c:ptCount val="1"/>
                <c:pt idx="0">
                  <c:v>somewhat agree</c:v>
                </c:pt>
              </c:strCache>
            </c:strRef>
          </c:tx>
          <c:spPr>
            <a:solidFill>
              <a:schemeClr val="accent5">
                <a:lumMod val="60000"/>
                <a:lumOff val="40000"/>
              </a:schemeClr>
            </a:solidFill>
            <a:ln>
              <a:noFill/>
            </a:ln>
            <a:effectLst/>
          </c:spPr>
          <c:invertIfNegative val="0"/>
          <c:cat>
            <c:strRef>
              <c:f>'6bis'!$R$1:$Y$1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'6bis'!$R$5:$Y$5</c:f>
              <c:numCache>
                <c:formatCode>General</c:formatCode>
                <c:ptCount val="8"/>
                <c:pt idx="0">
                  <c:v>5</c:v>
                </c:pt>
                <c:pt idx="1">
                  <c:v>7</c:v>
                </c:pt>
                <c:pt idx="2">
                  <c:v>3</c:v>
                </c:pt>
                <c:pt idx="3">
                  <c:v>0</c:v>
                </c:pt>
                <c:pt idx="4">
                  <c:v>6</c:v>
                </c:pt>
                <c:pt idx="5">
                  <c:v>7</c:v>
                </c:pt>
                <c:pt idx="6">
                  <c:v>0</c:v>
                </c:pt>
                <c:pt idx="7">
                  <c:v>5</c:v>
                </c:pt>
              </c:numCache>
            </c:numRef>
          </c:val>
          <c:extLst>
            <c:ext xmlns:c16="http://schemas.microsoft.com/office/drawing/2014/chart" uri="{C3380CC4-5D6E-409C-BE32-E72D297353CC}">
              <c16:uniqueId val="{00000003-8D90-4D28-8F2C-42D220057233}"/>
            </c:ext>
          </c:extLst>
        </c:ser>
        <c:ser>
          <c:idx val="4"/>
          <c:order val="4"/>
          <c:tx>
            <c:strRef>
              <c:f>'6bis'!$J$6</c:f>
              <c:strCache>
                <c:ptCount val="1"/>
                <c:pt idx="0">
                  <c:v>strongly agree</c:v>
                </c:pt>
              </c:strCache>
            </c:strRef>
          </c:tx>
          <c:spPr>
            <a:solidFill>
              <a:schemeClr val="accent1"/>
            </a:solidFill>
            <a:ln>
              <a:noFill/>
            </a:ln>
            <a:effectLst/>
          </c:spPr>
          <c:invertIfNegative val="0"/>
          <c:cat>
            <c:strRef>
              <c:f>'6bis'!$R$1:$Y$1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'6bis'!$R$6:$Y$6</c:f>
              <c:numCache>
                <c:formatCode>General</c:formatCode>
                <c:ptCount val="8"/>
                <c:pt idx="0">
                  <c:v>2</c:v>
                </c:pt>
                <c:pt idx="1">
                  <c:v>5</c:v>
                </c:pt>
                <c:pt idx="2">
                  <c:v>2</c:v>
                </c:pt>
                <c:pt idx="3">
                  <c:v>3</c:v>
                </c:pt>
                <c:pt idx="4">
                  <c:v>6</c:v>
                </c:pt>
                <c:pt idx="5">
                  <c:v>3</c:v>
                </c:pt>
                <c:pt idx="6">
                  <c:v>1</c:v>
                </c:pt>
                <c:pt idx="7">
                  <c:v>8</c:v>
                </c:pt>
              </c:numCache>
            </c:numRef>
          </c:val>
          <c:extLst>
            <c:ext xmlns:c16="http://schemas.microsoft.com/office/drawing/2014/chart" uri="{C3380CC4-5D6E-409C-BE32-E72D297353CC}">
              <c16:uniqueId val="{00000004-8D90-4D28-8F2C-42D220057233}"/>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are randomized (importance)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'6bis'!$J$8</c:f>
              <c:strCache>
                <c:ptCount val="1"/>
                <c:pt idx="0">
                  <c:v>strongly disagree</c:v>
                </c:pt>
              </c:strCache>
            </c:strRef>
          </c:tx>
          <c:spPr>
            <a:solidFill>
              <a:srgbClr val="FF0000"/>
            </a:solidFill>
            <a:ln>
              <a:noFill/>
            </a:ln>
            <a:effectLst/>
          </c:spPr>
          <c:invertIfNegative val="0"/>
          <c:cat>
            <c:strRef>
              <c:f>'6bis'!$R$1:$Y$1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'6bis'!$R$8:$Y$8</c:f>
              <c:numCache>
                <c:formatCode>General</c:formatCode>
                <c:ptCount val="8"/>
                <c:pt idx="0">
                  <c:v>8</c:v>
                </c:pt>
                <c:pt idx="1">
                  <c:v>9</c:v>
                </c:pt>
                <c:pt idx="2">
                  <c:v>1</c:v>
                </c:pt>
                <c:pt idx="3">
                  <c:v>2</c:v>
                </c:pt>
                <c:pt idx="4">
                  <c:v>8</c:v>
                </c:pt>
                <c:pt idx="5">
                  <c:v>3</c:v>
                </c:pt>
                <c:pt idx="6">
                  <c:v>3</c:v>
                </c:pt>
                <c:pt idx="7">
                  <c:v>3</c:v>
                </c:pt>
              </c:numCache>
            </c:numRef>
          </c:val>
          <c:extLst>
            <c:ext xmlns:c16="http://schemas.microsoft.com/office/drawing/2014/chart" uri="{C3380CC4-5D6E-409C-BE32-E72D297353CC}">
              <c16:uniqueId val="{00000000-1A68-4F43-BC52-4D6330917FEB}"/>
            </c:ext>
          </c:extLst>
        </c:ser>
        <c:ser>
          <c:idx val="1"/>
          <c:order val="1"/>
          <c:tx>
            <c:strRef>
              <c:f>'6bis'!$J$9</c:f>
              <c:strCache>
                <c:ptCount val="1"/>
                <c:pt idx="0">
                  <c:v>somewhat disagree</c:v>
                </c:pt>
              </c:strCache>
            </c:strRef>
          </c:tx>
          <c:spPr>
            <a:solidFill>
              <a:srgbClr val="FF9933"/>
            </a:solidFill>
            <a:ln>
              <a:noFill/>
            </a:ln>
            <a:effectLst/>
          </c:spPr>
          <c:invertIfNegative val="0"/>
          <c:cat>
            <c:strRef>
              <c:f>'6bis'!$R$1:$Y$1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'6bis'!$R$9:$Y$9</c:f>
              <c:numCache>
                <c:formatCode>General</c:formatCode>
                <c:ptCount val="8"/>
                <c:pt idx="0">
                  <c:v>7</c:v>
                </c:pt>
                <c:pt idx="1">
                  <c:v>4</c:v>
                </c:pt>
                <c:pt idx="2">
                  <c:v>0</c:v>
                </c:pt>
                <c:pt idx="3">
                  <c:v>0</c:v>
                </c:pt>
                <c:pt idx="4">
                  <c:v>6</c:v>
                </c:pt>
                <c:pt idx="5">
                  <c:v>1</c:v>
                </c:pt>
                <c:pt idx="6">
                  <c:v>0</c:v>
                </c:pt>
                <c:pt idx="7">
                  <c:v>2</c:v>
                </c:pt>
              </c:numCache>
            </c:numRef>
          </c:val>
          <c:extLst>
            <c:ext xmlns:c16="http://schemas.microsoft.com/office/drawing/2014/chart" uri="{C3380CC4-5D6E-409C-BE32-E72D297353CC}">
              <c16:uniqueId val="{00000001-1A68-4F43-BC52-4D6330917FEB}"/>
            </c:ext>
          </c:extLst>
        </c:ser>
        <c:ser>
          <c:idx val="2"/>
          <c:order val="2"/>
          <c:tx>
            <c:strRef>
              <c:f>'6bis'!$J$10</c:f>
              <c:strCache>
                <c:ptCount val="1"/>
                <c:pt idx="0">
                  <c:v>neither</c:v>
                </c:pt>
              </c:strCache>
            </c:strRef>
          </c:tx>
          <c:spPr>
            <a:solidFill>
              <a:srgbClr val="FFC000"/>
            </a:solidFill>
            <a:ln>
              <a:noFill/>
            </a:ln>
            <a:effectLst/>
          </c:spPr>
          <c:invertIfNegative val="0"/>
          <c:cat>
            <c:strRef>
              <c:f>'6bis'!$R$1:$Y$1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'6bis'!$R$10:$Y$10</c:f>
              <c:numCache>
                <c:formatCode>General</c:formatCode>
                <c:ptCount val="8"/>
                <c:pt idx="0">
                  <c:v>21</c:v>
                </c:pt>
                <c:pt idx="1">
                  <c:v>8</c:v>
                </c:pt>
                <c:pt idx="2">
                  <c:v>1</c:v>
                </c:pt>
                <c:pt idx="3">
                  <c:v>1</c:v>
                </c:pt>
                <c:pt idx="4">
                  <c:v>17</c:v>
                </c:pt>
                <c:pt idx="5">
                  <c:v>0</c:v>
                </c:pt>
                <c:pt idx="6">
                  <c:v>5</c:v>
                </c:pt>
                <c:pt idx="7">
                  <c:v>7</c:v>
                </c:pt>
              </c:numCache>
            </c:numRef>
          </c:val>
          <c:extLst>
            <c:ext xmlns:c16="http://schemas.microsoft.com/office/drawing/2014/chart" uri="{C3380CC4-5D6E-409C-BE32-E72D297353CC}">
              <c16:uniqueId val="{00000002-1A68-4F43-BC52-4D6330917FEB}"/>
            </c:ext>
          </c:extLst>
        </c:ser>
        <c:ser>
          <c:idx val="3"/>
          <c:order val="3"/>
          <c:tx>
            <c:strRef>
              <c:f>'6bis'!$J$11</c:f>
              <c:strCache>
                <c:ptCount val="1"/>
                <c:pt idx="0">
                  <c:v>somewhat agree</c:v>
                </c:pt>
              </c:strCache>
            </c:strRef>
          </c:tx>
          <c:spPr>
            <a:solidFill>
              <a:schemeClr val="accent5">
                <a:lumMod val="60000"/>
                <a:lumOff val="40000"/>
              </a:schemeClr>
            </a:solidFill>
            <a:ln>
              <a:noFill/>
            </a:ln>
            <a:effectLst/>
          </c:spPr>
          <c:invertIfNegative val="0"/>
          <c:cat>
            <c:strRef>
              <c:f>'6bis'!$R$1:$Y$1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'6bis'!$R$11:$Y$11</c:f>
              <c:numCache>
                <c:formatCode>General</c:formatCode>
                <c:ptCount val="8"/>
                <c:pt idx="0">
                  <c:v>8</c:v>
                </c:pt>
                <c:pt idx="1">
                  <c:v>3</c:v>
                </c:pt>
                <c:pt idx="2">
                  <c:v>2</c:v>
                </c:pt>
                <c:pt idx="3">
                  <c:v>2</c:v>
                </c:pt>
                <c:pt idx="4">
                  <c:v>15</c:v>
                </c:pt>
                <c:pt idx="5">
                  <c:v>1</c:v>
                </c:pt>
                <c:pt idx="6">
                  <c:v>0</c:v>
                </c:pt>
                <c:pt idx="7">
                  <c:v>11</c:v>
                </c:pt>
              </c:numCache>
            </c:numRef>
          </c:val>
          <c:extLst>
            <c:ext xmlns:c16="http://schemas.microsoft.com/office/drawing/2014/chart" uri="{C3380CC4-5D6E-409C-BE32-E72D297353CC}">
              <c16:uniqueId val="{00000003-1A68-4F43-BC52-4D6330917FEB}"/>
            </c:ext>
          </c:extLst>
        </c:ser>
        <c:ser>
          <c:idx val="4"/>
          <c:order val="4"/>
          <c:tx>
            <c:strRef>
              <c:f>'6bis'!$J$12</c:f>
              <c:strCache>
                <c:ptCount val="1"/>
                <c:pt idx="0">
                  <c:v>strongly agree</c:v>
                </c:pt>
              </c:strCache>
            </c:strRef>
          </c:tx>
          <c:spPr>
            <a:solidFill>
              <a:schemeClr val="accent1"/>
            </a:solidFill>
            <a:ln>
              <a:noFill/>
            </a:ln>
            <a:effectLst/>
          </c:spPr>
          <c:invertIfNegative val="0"/>
          <c:cat>
            <c:strRef>
              <c:f>'6bis'!$R$1:$Y$1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'6bis'!$R$12:$Y$12</c:f>
              <c:numCache>
                <c:formatCode>General</c:formatCode>
                <c:ptCount val="8"/>
                <c:pt idx="0">
                  <c:v>6</c:v>
                </c:pt>
                <c:pt idx="1">
                  <c:v>8</c:v>
                </c:pt>
                <c:pt idx="2">
                  <c:v>7</c:v>
                </c:pt>
                <c:pt idx="3">
                  <c:v>3</c:v>
                </c:pt>
                <c:pt idx="4">
                  <c:v>14</c:v>
                </c:pt>
                <c:pt idx="5">
                  <c:v>11</c:v>
                </c:pt>
                <c:pt idx="6">
                  <c:v>0</c:v>
                </c:pt>
                <c:pt idx="7">
                  <c:v>12</c:v>
                </c:pt>
              </c:numCache>
            </c:numRef>
          </c:val>
          <c:extLst>
            <c:ext xmlns:c16="http://schemas.microsoft.com/office/drawing/2014/chart" uri="{C3380CC4-5D6E-409C-BE32-E72D297353CC}">
              <c16:uniqueId val="{00000004-1A68-4F43-BC52-4D6330917FEB}"/>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are replicated (currently)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'6bis'!$J$2</c:f>
              <c:strCache>
                <c:ptCount val="1"/>
                <c:pt idx="0">
                  <c:v>strongly disagree</c:v>
                </c:pt>
              </c:strCache>
            </c:strRef>
          </c:tx>
          <c:spPr>
            <a:solidFill>
              <a:srgbClr val="FF0000"/>
            </a:solidFill>
            <a:ln>
              <a:noFill/>
            </a:ln>
            <a:effectLst/>
          </c:spPr>
          <c:invertIfNegative val="0"/>
          <c:cat>
            <c:strRef>
              <c:f>'6bis'!$AE$1:$AG$1</c:f>
              <c:strCache>
                <c:ptCount val="3"/>
                <c:pt idx="0">
                  <c:v>full-service</c:v>
                </c:pt>
                <c:pt idx="1">
                  <c:v>hybrid-service</c:v>
                </c:pt>
                <c:pt idx="2">
                  <c:v>self-service</c:v>
                </c:pt>
              </c:strCache>
            </c:strRef>
          </c:cat>
          <c:val>
            <c:numRef>
              <c:f>'6bis'!$AE$2:$AG$2</c:f>
              <c:numCache>
                <c:formatCode>General</c:formatCode>
                <c:ptCount val="3"/>
                <c:pt idx="0">
                  <c:v>8</c:v>
                </c:pt>
                <c:pt idx="1">
                  <c:v>12</c:v>
                </c:pt>
                <c:pt idx="2">
                  <c:v>0</c:v>
                </c:pt>
              </c:numCache>
            </c:numRef>
          </c:val>
          <c:extLst>
            <c:ext xmlns:c16="http://schemas.microsoft.com/office/drawing/2014/chart" uri="{C3380CC4-5D6E-409C-BE32-E72D297353CC}">
              <c16:uniqueId val="{00000000-45F7-4AD7-A191-1DAC124DCABA}"/>
            </c:ext>
          </c:extLst>
        </c:ser>
        <c:ser>
          <c:idx val="1"/>
          <c:order val="1"/>
          <c:tx>
            <c:strRef>
              <c:f>'6bis'!$J$3</c:f>
              <c:strCache>
                <c:ptCount val="1"/>
                <c:pt idx="0">
                  <c:v>somewhat disagree</c:v>
                </c:pt>
              </c:strCache>
            </c:strRef>
          </c:tx>
          <c:spPr>
            <a:solidFill>
              <a:srgbClr val="FF9933"/>
            </a:solidFill>
            <a:ln>
              <a:noFill/>
            </a:ln>
            <a:effectLst/>
          </c:spPr>
          <c:invertIfNegative val="0"/>
          <c:cat>
            <c:strRef>
              <c:f>'6bis'!$AE$1:$AG$1</c:f>
              <c:strCache>
                <c:ptCount val="3"/>
                <c:pt idx="0">
                  <c:v>full-service</c:v>
                </c:pt>
                <c:pt idx="1">
                  <c:v>hybrid-service</c:v>
                </c:pt>
                <c:pt idx="2">
                  <c:v>self-service</c:v>
                </c:pt>
              </c:strCache>
            </c:strRef>
          </c:cat>
          <c:val>
            <c:numRef>
              <c:f>'6bis'!$AE$3:$AG$3</c:f>
              <c:numCache>
                <c:formatCode>General</c:formatCode>
                <c:ptCount val="3"/>
                <c:pt idx="0">
                  <c:v>6</c:v>
                </c:pt>
                <c:pt idx="1">
                  <c:v>16</c:v>
                </c:pt>
                <c:pt idx="2">
                  <c:v>4</c:v>
                </c:pt>
              </c:numCache>
            </c:numRef>
          </c:val>
          <c:extLst>
            <c:ext xmlns:c16="http://schemas.microsoft.com/office/drawing/2014/chart" uri="{C3380CC4-5D6E-409C-BE32-E72D297353CC}">
              <c16:uniqueId val="{00000001-45F7-4AD7-A191-1DAC124DCABA}"/>
            </c:ext>
          </c:extLst>
        </c:ser>
        <c:ser>
          <c:idx val="2"/>
          <c:order val="2"/>
          <c:tx>
            <c:strRef>
              <c:f>'6bis'!$J$4</c:f>
              <c:strCache>
                <c:ptCount val="1"/>
                <c:pt idx="0">
                  <c:v>neither</c:v>
                </c:pt>
              </c:strCache>
            </c:strRef>
          </c:tx>
          <c:spPr>
            <a:solidFill>
              <a:srgbClr val="FFC000"/>
            </a:solidFill>
            <a:ln>
              <a:noFill/>
            </a:ln>
            <a:effectLst/>
          </c:spPr>
          <c:invertIfNegative val="0"/>
          <c:cat>
            <c:strRef>
              <c:f>'6bis'!$AE$1:$AG$1</c:f>
              <c:strCache>
                <c:ptCount val="3"/>
                <c:pt idx="0">
                  <c:v>full-service</c:v>
                </c:pt>
                <c:pt idx="1">
                  <c:v>hybrid-service</c:v>
                </c:pt>
                <c:pt idx="2">
                  <c:v>self-service</c:v>
                </c:pt>
              </c:strCache>
            </c:strRef>
          </c:cat>
          <c:val>
            <c:numRef>
              <c:f>'6bis'!$AE$4:$AG$4</c:f>
              <c:numCache>
                <c:formatCode>General</c:formatCode>
                <c:ptCount val="3"/>
                <c:pt idx="0">
                  <c:v>12</c:v>
                </c:pt>
                <c:pt idx="1">
                  <c:v>40</c:v>
                </c:pt>
                <c:pt idx="2">
                  <c:v>12</c:v>
                </c:pt>
              </c:numCache>
            </c:numRef>
          </c:val>
          <c:extLst>
            <c:ext xmlns:c16="http://schemas.microsoft.com/office/drawing/2014/chart" uri="{C3380CC4-5D6E-409C-BE32-E72D297353CC}">
              <c16:uniqueId val="{00000002-45F7-4AD7-A191-1DAC124DCABA}"/>
            </c:ext>
          </c:extLst>
        </c:ser>
        <c:ser>
          <c:idx val="3"/>
          <c:order val="3"/>
          <c:tx>
            <c:strRef>
              <c:f>'6bis'!$J$5</c:f>
              <c:strCache>
                <c:ptCount val="1"/>
                <c:pt idx="0">
                  <c:v>somewhat agree</c:v>
                </c:pt>
              </c:strCache>
            </c:strRef>
          </c:tx>
          <c:spPr>
            <a:solidFill>
              <a:schemeClr val="accent5">
                <a:lumMod val="60000"/>
                <a:lumOff val="40000"/>
              </a:schemeClr>
            </a:solidFill>
            <a:ln>
              <a:noFill/>
            </a:ln>
            <a:effectLst/>
          </c:spPr>
          <c:invertIfNegative val="0"/>
          <c:cat>
            <c:strRef>
              <c:f>'6bis'!$AE$1:$AG$1</c:f>
              <c:strCache>
                <c:ptCount val="3"/>
                <c:pt idx="0">
                  <c:v>full-service</c:v>
                </c:pt>
                <c:pt idx="1">
                  <c:v>hybrid-service</c:v>
                </c:pt>
                <c:pt idx="2">
                  <c:v>self-service</c:v>
                </c:pt>
              </c:strCache>
            </c:strRef>
          </c:cat>
          <c:val>
            <c:numRef>
              <c:f>'6bis'!$AE$5:$AG$5</c:f>
              <c:numCache>
                <c:formatCode>General</c:formatCode>
                <c:ptCount val="3"/>
                <c:pt idx="0">
                  <c:v>18</c:v>
                </c:pt>
                <c:pt idx="1">
                  <c:v>46</c:v>
                </c:pt>
                <c:pt idx="2">
                  <c:v>7</c:v>
                </c:pt>
              </c:numCache>
            </c:numRef>
          </c:val>
          <c:extLst>
            <c:ext xmlns:c16="http://schemas.microsoft.com/office/drawing/2014/chart" uri="{C3380CC4-5D6E-409C-BE32-E72D297353CC}">
              <c16:uniqueId val="{00000003-45F7-4AD7-A191-1DAC124DCABA}"/>
            </c:ext>
          </c:extLst>
        </c:ser>
        <c:ser>
          <c:idx val="4"/>
          <c:order val="4"/>
          <c:tx>
            <c:strRef>
              <c:f>'6bis'!$J$6</c:f>
              <c:strCache>
                <c:ptCount val="1"/>
                <c:pt idx="0">
                  <c:v>strongly agree</c:v>
                </c:pt>
              </c:strCache>
            </c:strRef>
          </c:tx>
          <c:spPr>
            <a:solidFill>
              <a:schemeClr val="accent1"/>
            </a:solidFill>
            <a:ln>
              <a:noFill/>
            </a:ln>
            <a:effectLst/>
          </c:spPr>
          <c:invertIfNegative val="0"/>
          <c:cat>
            <c:strRef>
              <c:f>'6bis'!$AE$1:$AG$1</c:f>
              <c:strCache>
                <c:ptCount val="3"/>
                <c:pt idx="0">
                  <c:v>full-service</c:v>
                </c:pt>
                <c:pt idx="1">
                  <c:v>hybrid-service</c:v>
                </c:pt>
                <c:pt idx="2">
                  <c:v>self-service</c:v>
                </c:pt>
              </c:strCache>
            </c:strRef>
          </c:cat>
          <c:val>
            <c:numRef>
              <c:f>'6bis'!$AE$6:$AG$6</c:f>
              <c:numCache>
                <c:formatCode>General</c:formatCode>
                <c:ptCount val="3"/>
                <c:pt idx="0">
                  <c:v>26</c:v>
                </c:pt>
                <c:pt idx="1">
                  <c:v>59</c:v>
                </c:pt>
                <c:pt idx="2">
                  <c:v>5</c:v>
                </c:pt>
              </c:numCache>
            </c:numRef>
          </c:val>
          <c:extLst>
            <c:ext xmlns:c16="http://schemas.microsoft.com/office/drawing/2014/chart" uri="{C3380CC4-5D6E-409C-BE32-E72D297353CC}">
              <c16:uniqueId val="{00000004-45F7-4AD7-A191-1DAC124DCABA}"/>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are replicated (importance)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034681041550721"/>
          <c:y val="0.17028519100806436"/>
          <c:w val="0.45019925749358114"/>
          <c:h val="0.60423568875482891"/>
        </c:manualLayout>
      </c:layout>
      <c:barChart>
        <c:barDir val="col"/>
        <c:grouping val="percentStacked"/>
        <c:varyColors val="0"/>
        <c:ser>
          <c:idx val="0"/>
          <c:order val="0"/>
          <c:tx>
            <c:strRef>
              <c:f>'6bis'!$J$8</c:f>
              <c:strCache>
                <c:ptCount val="1"/>
                <c:pt idx="0">
                  <c:v>strongly disagree</c:v>
                </c:pt>
              </c:strCache>
            </c:strRef>
          </c:tx>
          <c:spPr>
            <a:solidFill>
              <a:srgbClr val="FF0000"/>
            </a:solidFill>
            <a:ln>
              <a:noFill/>
            </a:ln>
            <a:effectLst/>
          </c:spPr>
          <c:invertIfNegative val="0"/>
          <c:cat>
            <c:strRef>
              <c:f>'6bis'!$AE$1:$AG$1</c:f>
              <c:strCache>
                <c:ptCount val="3"/>
                <c:pt idx="0">
                  <c:v>full-service</c:v>
                </c:pt>
                <c:pt idx="1">
                  <c:v>hybrid-service</c:v>
                </c:pt>
                <c:pt idx="2">
                  <c:v>self-service</c:v>
                </c:pt>
              </c:strCache>
            </c:strRef>
          </c:cat>
          <c:val>
            <c:numRef>
              <c:f>'6bis'!$AE$8:$AG$8</c:f>
              <c:numCache>
                <c:formatCode>General</c:formatCode>
                <c:ptCount val="3"/>
                <c:pt idx="0">
                  <c:v>12</c:v>
                </c:pt>
                <c:pt idx="1">
                  <c:v>27</c:v>
                </c:pt>
                <c:pt idx="2">
                  <c:v>4</c:v>
                </c:pt>
              </c:numCache>
            </c:numRef>
          </c:val>
          <c:extLst>
            <c:ext xmlns:c16="http://schemas.microsoft.com/office/drawing/2014/chart" uri="{C3380CC4-5D6E-409C-BE32-E72D297353CC}">
              <c16:uniqueId val="{00000000-6D0D-4282-8D56-98682A13C440}"/>
            </c:ext>
          </c:extLst>
        </c:ser>
        <c:ser>
          <c:idx val="1"/>
          <c:order val="1"/>
          <c:tx>
            <c:strRef>
              <c:f>'6bis'!$J$9</c:f>
              <c:strCache>
                <c:ptCount val="1"/>
                <c:pt idx="0">
                  <c:v>somewhat disagree</c:v>
                </c:pt>
              </c:strCache>
            </c:strRef>
          </c:tx>
          <c:spPr>
            <a:solidFill>
              <a:srgbClr val="FF9933"/>
            </a:solidFill>
            <a:ln>
              <a:noFill/>
            </a:ln>
            <a:effectLst/>
          </c:spPr>
          <c:invertIfNegative val="0"/>
          <c:cat>
            <c:strRef>
              <c:f>'6bis'!$AE$1:$AG$1</c:f>
              <c:strCache>
                <c:ptCount val="3"/>
                <c:pt idx="0">
                  <c:v>full-service</c:v>
                </c:pt>
                <c:pt idx="1">
                  <c:v>hybrid-service</c:v>
                </c:pt>
                <c:pt idx="2">
                  <c:v>self-service</c:v>
                </c:pt>
              </c:strCache>
            </c:strRef>
          </c:cat>
          <c:val>
            <c:numRef>
              <c:f>'6bis'!$AE$9:$AG$9</c:f>
              <c:numCache>
                <c:formatCode>General</c:formatCode>
                <c:ptCount val="3"/>
                <c:pt idx="0">
                  <c:v>2</c:v>
                </c:pt>
                <c:pt idx="1">
                  <c:v>7</c:v>
                </c:pt>
                <c:pt idx="2">
                  <c:v>2</c:v>
                </c:pt>
              </c:numCache>
            </c:numRef>
          </c:val>
          <c:extLst>
            <c:ext xmlns:c16="http://schemas.microsoft.com/office/drawing/2014/chart" uri="{C3380CC4-5D6E-409C-BE32-E72D297353CC}">
              <c16:uniqueId val="{00000001-6D0D-4282-8D56-98682A13C440}"/>
            </c:ext>
          </c:extLst>
        </c:ser>
        <c:ser>
          <c:idx val="2"/>
          <c:order val="2"/>
          <c:tx>
            <c:strRef>
              <c:f>'6bis'!$J$10</c:f>
              <c:strCache>
                <c:ptCount val="1"/>
                <c:pt idx="0">
                  <c:v>neither</c:v>
                </c:pt>
              </c:strCache>
            </c:strRef>
          </c:tx>
          <c:spPr>
            <a:solidFill>
              <a:srgbClr val="FFC000"/>
            </a:solidFill>
            <a:ln>
              <a:noFill/>
            </a:ln>
            <a:effectLst/>
          </c:spPr>
          <c:invertIfNegative val="0"/>
          <c:cat>
            <c:strRef>
              <c:f>'6bis'!$AE$1:$AG$1</c:f>
              <c:strCache>
                <c:ptCount val="3"/>
                <c:pt idx="0">
                  <c:v>full-service</c:v>
                </c:pt>
                <c:pt idx="1">
                  <c:v>hybrid-service</c:v>
                </c:pt>
                <c:pt idx="2">
                  <c:v>self-service</c:v>
                </c:pt>
              </c:strCache>
            </c:strRef>
          </c:cat>
          <c:val>
            <c:numRef>
              <c:f>'6bis'!$AE$10:$AG$10</c:f>
              <c:numCache>
                <c:formatCode>General</c:formatCode>
                <c:ptCount val="3"/>
                <c:pt idx="0">
                  <c:v>4</c:v>
                </c:pt>
                <c:pt idx="1">
                  <c:v>21</c:v>
                </c:pt>
                <c:pt idx="2">
                  <c:v>3</c:v>
                </c:pt>
              </c:numCache>
            </c:numRef>
          </c:val>
          <c:extLst>
            <c:ext xmlns:c16="http://schemas.microsoft.com/office/drawing/2014/chart" uri="{C3380CC4-5D6E-409C-BE32-E72D297353CC}">
              <c16:uniqueId val="{00000002-6D0D-4282-8D56-98682A13C440}"/>
            </c:ext>
          </c:extLst>
        </c:ser>
        <c:ser>
          <c:idx val="3"/>
          <c:order val="3"/>
          <c:tx>
            <c:strRef>
              <c:f>'6bis'!$J$11</c:f>
              <c:strCache>
                <c:ptCount val="1"/>
                <c:pt idx="0">
                  <c:v>somewhat agree</c:v>
                </c:pt>
              </c:strCache>
            </c:strRef>
          </c:tx>
          <c:spPr>
            <a:solidFill>
              <a:schemeClr val="accent5">
                <a:lumMod val="60000"/>
                <a:lumOff val="40000"/>
              </a:schemeClr>
            </a:solidFill>
            <a:ln>
              <a:noFill/>
            </a:ln>
            <a:effectLst/>
          </c:spPr>
          <c:invertIfNegative val="0"/>
          <c:cat>
            <c:strRef>
              <c:f>'6bis'!$AE$1:$AG$1</c:f>
              <c:strCache>
                <c:ptCount val="3"/>
                <c:pt idx="0">
                  <c:v>full-service</c:v>
                </c:pt>
                <c:pt idx="1">
                  <c:v>hybrid-service</c:v>
                </c:pt>
                <c:pt idx="2">
                  <c:v>self-service</c:v>
                </c:pt>
              </c:strCache>
            </c:strRef>
          </c:cat>
          <c:val>
            <c:numRef>
              <c:f>'6bis'!$AE$11:$AG$11</c:f>
              <c:numCache>
                <c:formatCode>General</c:formatCode>
                <c:ptCount val="3"/>
                <c:pt idx="0">
                  <c:v>8</c:v>
                </c:pt>
                <c:pt idx="1">
                  <c:v>15</c:v>
                </c:pt>
                <c:pt idx="2">
                  <c:v>2</c:v>
                </c:pt>
              </c:numCache>
            </c:numRef>
          </c:val>
          <c:extLst>
            <c:ext xmlns:c16="http://schemas.microsoft.com/office/drawing/2014/chart" uri="{C3380CC4-5D6E-409C-BE32-E72D297353CC}">
              <c16:uniqueId val="{00000003-6D0D-4282-8D56-98682A13C440}"/>
            </c:ext>
          </c:extLst>
        </c:ser>
        <c:ser>
          <c:idx val="4"/>
          <c:order val="4"/>
          <c:tx>
            <c:strRef>
              <c:f>'6bis'!$J$12</c:f>
              <c:strCache>
                <c:ptCount val="1"/>
                <c:pt idx="0">
                  <c:v>strongly agree</c:v>
                </c:pt>
              </c:strCache>
            </c:strRef>
          </c:tx>
          <c:spPr>
            <a:solidFill>
              <a:schemeClr val="accent1"/>
            </a:solidFill>
            <a:ln>
              <a:noFill/>
            </a:ln>
            <a:effectLst/>
          </c:spPr>
          <c:invertIfNegative val="0"/>
          <c:cat>
            <c:strRef>
              <c:f>'6bis'!$AE$1:$AG$1</c:f>
              <c:strCache>
                <c:ptCount val="3"/>
                <c:pt idx="0">
                  <c:v>full-service</c:v>
                </c:pt>
                <c:pt idx="1">
                  <c:v>hybrid-service</c:v>
                </c:pt>
                <c:pt idx="2">
                  <c:v>self-service</c:v>
                </c:pt>
              </c:strCache>
            </c:strRef>
          </c:cat>
          <c:val>
            <c:numRef>
              <c:f>'6bis'!$AE$12:$AG$12</c:f>
              <c:numCache>
                <c:formatCode>General</c:formatCode>
                <c:ptCount val="3"/>
                <c:pt idx="0">
                  <c:v>44</c:v>
                </c:pt>
                <c:pt idx="1">
                  <c:v>103</c:v>
                </c:pt>
                <c:pt idx="2">
                  <c:v>17</c:v>
                </c:pt>
              </c:numCache>
            </c:numRef>
          </c:val>
          <c:extLst>
            <c:ext xmlns:c16="http://schemas.microsoft.com/office/drawing/2014/chart" uri="{C3380CC4-5D6E-409C-BE32-E72D297353CC}">
              <c16:uniqueId val="{00000004-6D0D-4282-8D56-98682A13C440}"/>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Samples are replicated (currently)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strRef>
              <c:f>'6bis'!$J$2</c:f>
              <c:strCache>
                <c:ptCount val="1"/>
                <c:pt idx="0">
                  <c:v>strongly disagree</c:v>
                </c:pt>
              </c:strCache>
            </c:strRef>
          </c:tx>
          <c:spPr>
            <a:solidFill>
              <a:srgbClr val="FF0000"/>
            </a:solidFill>
            <a:ln>
              <a:noFill/>
            </a:ln>
            <a:effectLst/>
          </c:spPr>
          <c:invertIfNegative val="0"/>
          <c:cat>
            <c:strRef>
              <c:f>'6bis'!$AI$1:$AP$1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'6bis'!$AI$2:$AP$2</c:f>
              <c:numCache>
                <c:formatCode>General</c:formatCode>
                <c:ptCount val="8"/>
                <c:pt idx="0">
                  <c:v>1</c:v>
                </c:pt>
                <c:pt idx="1">
                  <c:v>3</c:v>
                </c:pt>
                <c:pt idx="2">
                  <c:v>0</c:v>
                </c:pt>
                <c:pt idx="3">
                  <c:v>0</c:v>
                </c:pt>
                <c:pt idx="4">
                  <c:v>4</c:v>
                </c:pt>
                <c:pt idx="5">
                  <c:v>3</c:v>
                </c:pt>
                <c:pt idx="6">
                  <c:v>0</c:v>
                </c:pt>
                <c:pt idx="7">
                  <c:v>4</c:v>
                </c:pt>
              </c:numCache>
            </c:numRef>
          </c:val>
          <c:extLst>
            <c:ext xmlns:c16="http://schemas.microsoft.com/office/drawing/2014/chart" uri="{C3380CC4-5D6E-409C-BE32-E72D297353CC}">
              <c16:uniqueId val="{00000000-E850-487D-B455-ADCF70344E39}"/>
            </c:ext>
          </c:extLst>
        </c:ser>
        <c:ser>
          <c:idx val="1"/>
          <c:order val="1"/>
          <c:tx>
            <c:strRef>
              <c:f>'6bis'!$J$3</c:f>
              <c:strCache>
                <c:ptCount val="1"/>
                <c:pt idx="0">
                  <c:v>somewhat disagree</c:v>
                </c:pt>
              </c:strCache>
            </c:strRef>
          </c:tx>
          <c:spPr>
            <a:solidFill>
              <a:srgbClr val="FF9933"/>
            </a:solidFill>
            <a:ln>
              <a:noFill/>
            </a:ln>
            <a:effectLst/>
          </c:spPr>
          <c:invertIfNegative val="0"/>
          <c:cat>
            <c:strRef>
              <c:f>'6bis'!$AI$1:$AP$1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'6bis'!$AI$3:$AP$3</c:f>
              <c:numCache>
                <c:formatCode>General</c:formatCode>
                <c:ptCount val="8"/>
                <c:pt idx="0">
                  <c:v>5</c:v>
                </c:pt>
                <c:pt idx="1">
                  <c:v>5</c:v>
                </c:pt>
                <c:pt idx="2">
                  <c:v>2</c:v>
                </c:pt>
                <c:pt idx="3">
                  <c:v>0</c:v>
                </c:pt>
                <c:pt idx="4">
                  <c:v>9</c:v>
                </c:pt>
                <c:pt idx="5">
                  <c:v>0</c:v>
                </c:pt>
                <c:pt idx="6">
                  <c:v>0</c:v>
                </c:pt>
                <c:pt idx="7">
                  <c:v>2</c:v>
                </c:pt>
              </c:numCache>
            </c:numRef>
          </c:val>
          <c:extLst>
            <c:ext xmlns:c16="http://schemas.microsoft.com/office/drawing/2014/chart" uri="{C3380CC4-5D6E-409C-BE32-E72D297353CC}">
              <c16:uniqueId val="{00000001-E850-487D-B455-ADCF70344E39}"/>
            </c:ext>
          </c:extLst>
        </c:ser>
        <c:ser>
          <c:idx val="2"/>
          <c:order val="2"/>
          <c:tx>
            <c:strRef>
              <c:f>'6bis'!$J$4</c:f>
              <c:strCache>
                <c:ptCount val="1"/>
                <c:pt idx="0">
                  <c:v>neither</c:v>
                </c:pt>
              </c:strCache>
            </c:strRef>
          </c:tx>
          <c:spPr>
            <a:solidFill>
              <a:srgbClr val="FFC000"/>
            </a:solidFill>
            <a:ln>
              <a:noFill/>
            </a:ln>
            <a:effectLst/>
          </c:spPr>
          <c:invertIfNegative val="0"/>
          <c:cat>
            <c:strRef>
              <c:f>'6bis'!$AI$1:$AP$1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'6bis'!$AI$4:$AP$4</c:f>
              <c:numCache>
                <c:formatCode>General</c:formatCode>
                <c:ptCount val="8"/>
                <c:pt idx="0">
                  <c:v>7</c:v>
                </c:pt>
                <c:pt idx="1">
                  <c:v>3</c:v>
                </c:pt>
                <c:pt idx="2">
                  <c:v>5</c:v>
                </c:pt>
                <c:pt idx="3">
                  <c:v>4</c:v>
                </c:pt>
                <c:pt idx="4">
                  <c:v>16</c:v>
                </c:pt>
                <c:pt idx="5">
                  <c:v>6</c:v>
                </c:pt>
                <c:pt idx="6">
                  <c:v>2</c:v>
                </c:pt>
                <c:pt idx="7">
                  <c:v>5</c:v>
                </c:pt>
              </c:numCache>
            </c:numRef>
          </c:val>
          <c:extLst>
            <c:ext xmlns:c16="http://schemas.microsoft.com/office/drawing/2014/chart" uri="{C3380CC4-5D6E-409C-BE32-E72D297353CC}">
              <c16:uniqueId val="{00000002-E850-487D-B455-ADCF70344E39}"/>
            </c:ext>
          </c:extLst>
        </c:ser>
        <c:ser>
          <c:idx val="3"/>
          <c:order val="3"/>
          <c:tx>
            <c:strRef>
              <c:f>'6bis'!$J$5</c:f>
              <c:strCache>
                <c:ptCount val="1"/>
                <c:pt idx="0">
                  <c:v>somewhat agree</c:v>
                </c:pt>
              </c:strCache>
            </c:strRef>
          </c:tx>
          <c:spPr>
            <a:solidFill>
              <a:schemeClr val="accent5">
                <a:lumMod val="60000"/>
                <a:lumOff val="40000"/>
              </a:schemeClr>
            </a:solidFill>
            <a:ln>
              <a:noFill/>
            </a:ln>
            <a:effectLst/>
          </c:spPr>
          <c:invertIfNegative val="0"/>
          <c:cat>
            <c:strRef>
              <c:f>'6bis'!$AI$1:$AP$1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'6bis'!$AI$5:$AP$5</c:f>
              <c:numCache>
                <c:formatCode>General</c:formatCode>
                <c:ptCount val="8"/>
                <c:pt idx="0">
                  <c:v>22</c:v>
                </c:pt>
                <c:pt idx="1">
                  <c:v>9</c:v>
                </c:pt>
                <c:pt idx="2">
                  <c:v>3</c:v>
                </c:pt>
                <c:pt idx="3">
                  <c:v>2</c:v>
                </c:pt>
                <c:pt idx="4">
                  <c:v>11</c:v>
                </c:pt>
                <c:pt idx="5">
                  <c:v>2</c:v>
                </c:pt>
                <c:pt idx="6">
                  <c:v>5</c:v>
                </c:pt>
                <c:pt idx="7">
                  <c:v>7</c:v>
                </c:pt>
              </c:numCache>
            </c:numRef>
          </c:val>
          <c:extLst>
            <c:ext xmlns:c16="http://schemas.microsoft.com/office/drawing/2014/chart" uri="{C3380CC4-5D6E-409C-BE32-E72D297353CC}">
              <c16:uniqueId val="{00000003-E850-487D-B455-ADCF70344E39}"/>
            </c:ext>
          </c:extLst>
        </c:ser>
        <c:ser>
          <c:idx val="4"/>
          <c:order val="4"/>
          <c:tx>
            <c:strRef>
              <c:f>'6bis'!$J$6</c:f>
              <c:strCache>
                <c:ptCount val="1"/>
                <c:pt idx="0">
                  <c:v>strongly agree</c:v>
                </c:pt>
              </c:strCache>
            </c:strRef>
          </c:tx>
          <c:spPr>
            <a:solidFill>
              <a:schemeClr val="accent1"/>
            </a:solidFill>
            <a:ln>
              <a:noFill/>
            </a:ln>
            <a:effectLst/>
          </c:spPr>
          <c:invertIfNegative val="0"/>
          <c:cat>
            <c:strRef>
              <c:f>'6bis'!$AI$1:$AP$1</c:f>
              <c:strCache>
                <c:ptCount val="8"/>
                <c:pt idx="0">
                  <c:v>flow cytometry</c:v>
                </c:pt>
                <c:pt idx="1">
                  <c:v>genomics</c:v>
                </c:pt>
                <c:pt idx="2">
                  <c:v>histology</c:v>
                </c:pt>
                <c:pt idx="3">
                  <c:v>metabolomics</c:v>
                </c:pt>
                <c:pt idx="4">
                  <c:v>microscopy</c:v>
                </c:pt>
                <c:pt idx="5">
                  <c:v>mouse/rat</c:v>
                </c:pt>
                <c:pt idx="6">
                  <c:v>protein expression</c:v>
                </c:pt>
                <c:pt idx="7">
                  <c:v>proteomics</c:v>
                </c:pt>
              </c:strCache>
            </c:strRef>
          </c:cat>
          <c:val>
            <c:numRef>
              <c:f>'6bis'!$AI$6:$AP$6</c:f>
              <c:numCache>
                <c:formatCode>General</c:formatCode>
                <c:ptCount val="8"/>
                <c:pt idx="0">
                  <c:v>15</c:v>
                </c:pt>
                <c:pt idx="1">
                  <c:v>12</c:v>
                </c:pt>
                <c:pt idx="2">
                  <c:v>1</c:v>
                </c:pt>
                <c:pt idx="3">
                  <c:v>2</c:v>
                </c:pt>
                <c:pt idx="4">
                  <c:v>20</c:v>
                </c:pt>
                <c:pt idx="5">
                  <c:v>5</c:v>
                </c:pt>
                <c:pt idx="6">
                  <c:v>1</c:v>
                </c:pt>
                <c:pt idx="7">
                  <c:v>17</c:v>
                </c:pt>
              </c:numCache>
            </c:numRef>
          </c:val>
          <c:extLst>
            <c:ext xmlns:c16="http://schemas.microsoft.com/office/drawing/2014/chart" uri="{C3380CC4-5D6E-409C-BE32-E72D297353CC}">
              <c16:uniqueId val="{00000004-E850-487D-B455-ADCF70344E39}"/>
            </c:ext>
          </c:extLst>
        </c:ser>
        <c:dLbls>
          <c:showLegendKey val="0"/>
          <c:showVal val="0"/>
          <c:showCatName val="0"/>
          <c:showSerName val="0"/>
          <c:showPercent val="0"/>
          <c:showBubbleSize val="0"/>
        </c:dLbls>
        <c:gapWidth val="130"/>
        <c:overlap val="100"/>
        <c:axId val="473469352"/>
        <c:axId val="473466072"/>
      </c:barChart>
      <c:catAx>
        <c:axId val="47346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6072"/>
        <c:crosses val="autoZero"/>
        <c:auto val="1"/>
        <c:lblAlgn val="ctr"/>
        <c:lblOffset val="100"/>
        <c:noMultiLvlLbl val="0"/>
      </c:catAx>
      <c:valAx>
        <c:axId val="473466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3469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time to fill survey (complete)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time to fill survey (complete)</a:t>
          </a:r>
        </a:p>
      </cx:txPr>
    </cx:title>
    <cx:plotArea>
      <cx:plotAreaRegion>
        <cx:series layoutId="clusteredColumn" uniqueId="{795FAB2A-04A6-43B0-A297-5BC60B4EB884}">
          <cx:dataId val="0"/>
          <cx:layoutPr>
            <cx:binning intervalClosed="r" underflow="5" overflow="35">
              <cx:binSize val="5"/>
            </cx:binning>
          </cx:layoutPr>
        </cx:series>
      </cx:plotAreaRegion>
      <cx:axis id="0">
        <cx:catScaling gapWidth="0"/>
        <cx:tickLabels/>
      </cx:axis>
      <cx:axis id="1">
        <cx:valScaling/>
        <cx:majorGridlines/>
        <cx:tickLabels/>
      </cx:axis>
    </cx:plotArea>
  </cx:chart>
  <cx:spPr>
    <a:ln>
      <a:solidFill>
        <a:schemeClr val="accent1"/>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1">
  <a:schemeClr val="accent1"/>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97.xml"/><Relationship Id="rId13" Type="http://schemas.openxmlformats.org/officeDocument/2006/relationships/chart" Target="../charts/chart102.xml"/><Relationship Id="rId18" Type="http://schemas.openxmlformats.org/officeDocument/2006/relationships/chart" Target="../charts/chart107.xml"/><Relationship Id="rId3" Type="http://schemas.openxmlformats.org/officeDocument/2006/relationships/chart" Target="../charts/chart92.xml"/><Relationship Id="rId7" Type="http://schemas.openxmlformats.org/officeDocument/2006/relationships/chart" Target="../charts/chart96.xml"/><Relationship Id="rId12" Type="http://schemas.openxmlformats.org/officeDocument/2006/relationships/chart" Target="../charts/chart101.xml"/><Relationship Id="rId17" Type="http://schemas.openxmlformats.org/officeDocument/2006/relationships/chart" Target="../charts/chart106.xml"/><Relationship Id="rId2" Type="http://schemas.openxmlformats.org/officeDocument/2006/relationships/chart" Target="../charts/chart91.xml"/><Relationship Id="rId16" Type="http://schemas.openxmlformats.org/officeDocument/2006/relationships/chart" Target="../charts/chart105.xml"/><Relationship Id="rId1" Type="http://schemas.openxmlformats.org/officeDocument/2006/relationships/chart" Target="../charts/chart90.xml"/><Relationship Id="rId6" Type="http://schemas.openxmlformats.org/officeDocument/2006/relationships/chart" Target="../charts/chart95.xml"/><Relationship Id="rId11" Type="http://schemas.openxmlformats.org/officeDocument/2006/relationships/chart" Target="../charts/chart100.xml"/><Relationship Id="rId5" Type="http://schemas.openxmlformats.org/officeDocument/2006/relationships/chart" Target="../charts/chart94.xml"/><Relationship Id="rId15" Type="http://schemas.openxmlformats.org/officeDocument/2006/relationships/chart" Target="../charts/chart104.xml"/><Relationship Id="rId10" Type="http://schemas.openxmlformats.org/officeDocument/2006/relationships/chart" Target="../charts/chart99.xml"/><Relationship Id="rId4" Type="http://schemas.openxmlformats.org/officeDocument/2006/relationships/chart" Target="../charts/chart93.xml"/><Relationship Id="rId9" Type="http://schemas.openxmlformats.org/officeDocument/2006/relationships/chart" Target="../charts/chart98.xml"/><Relationship Id="rId14" Type="http://schemas.openxmlformats.org/officeDocument/2006/relationships/chart" Target="../charts/chart10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15.xml"/><Relationship Id="rId3" Type="http://schemas.openxmlformats.org/officeDocument/2006/relationships/chart" Target="../charts/chart110.xml"/><Relationship Id="rId7" Type="http://schemas.openxmlformats.org/officeDocument/2006/relationships/chart" Target="../charts/chart114.xml"/><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chart" Target="../charts/chart113.xml"/><Relationship Id="rId5" Type="http://schemas.openxmlformats.org/officeDocument/2006/relationships/chart" Target="../charts/chart112.xml"/><Relationship Id="rId10" Type="http://schemas.openxmlformats.org/officeDocument/2006/relationships/chart" Target="../charts/chart117.xml"/><Relationship Id="rId4" Type="http://schemas.openxmlformats.org/officeDocument/2006/relationships/chart" Target="../charts/chart111.xml"/><Relationship Id="rId9" Type="http://schemas.openxmlformats.org/officeDocument/2006/relationships/chart" Target="../charts/chart116.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25.xml"/><Relationship Id="rId13" Type="http://schemas.openxmlformats.org/officeDocument/2006/relationships/chart" Target="../charts/chart130.xml"/><Relationship Id="rId18" Type="http://schemas.openxmlformats.org/officeDocument/2006/relationships/chart" Target="../charts/chart135.xml"/><Relationship Id="rId26" Type="http://schemas.openxmlformats.org/officeDocument/2006/relationships/chart" Target="../charts/chart143.xml"/><Relationship Id="rId3" Type="http://schemas.openxmlformats.org/officeDocument/2006/relationships/chart" Target="../charts/chart120.xml"/><Relationship Id="rId21" Type="http://schemas.openxmlformats.org/officeDocument/2006/relationships/chart" Target="../charts/chart138.xml"/><Relationship Id="rId7" Type="http://schemas.openxmlformats.org/officeDocument/2006/relationships/chart" Target="../charts/chart124.xml"/><Relationship Id="rId12" Type="http://schemas.openxmlformats.org/officeDocument/2006/relationships/chart" Target="../charts/chart129.xml"/><Relationship Id="rId17" Type="http://schemas.openxmlformats.org/officeDocument/2006/relationships/chart" Target="../charts/chart134.xml"/><Relationship Id="rId25" Type="http://schemas.openxmlformats.org/officeDocument/2006/relationships/chart" Target="../charts/chart142.xml"/><Relationship Id="rId2" Type="http://schemas.openxmlformats.org/officeDocument/2006/relationships/chart" Target="../charts/chart119.xml"/><Relationship Id="rId16" Type="http://schemas.openxmlformats.org/officeDocument/2006/relationships/chart" Target="../charts/chart133.xml"/><Relationship Id="rId20" Type="http://schemas.openxmlformats.org/officeDocument/2006/relationships/chart" Target="../charts/chart137.xml"/><Relationship Id="rId1" Type="http://schemas.openxmlformats.org/officeDocument/2006/relationships/chart" Target="../charts/chart118.xml"/><Relationship Id="rId6" Type="http://schemas.openxmlformats.org/officeDocument/2006/relationships/chart" Target="../charts/chart123.xml"/><Relationship Id="rId11" Type="http://schemas.openxmlformats.org/officeDocument/2006/relationships/chart" Target="../charts/chart128.xml"/><Relationship Id="rId24" Type="http://schemas.openxmlformats.org/officeDocument/2006/relationships/chart" Target="../charts/chart141.xml"/><Relationship Id="rId5" Type="http://schemas.openxmlformats.org/officeDocument/2006/relationships/chart" Target="../charts/chart122.xml"/><Relationship Id="rId15" Type="http://schemas.openxmlformats.org/officeDocument/2006/relationships/chart" Target="../charts/chart132.xml"/><Relationship Id="rId23" Type="http://schemas.openxmlformats.org/officeDocument/2006/relationships/chart" Target="../charts/chart140.xml"/><Relationship Id="rId10" Type="http://schemas.openxmlformats.org/officeDocument/2006/relationships/chart" Target="../charts/chart127.xml"/><Relationship Id="rId19" Type="http://schemas.openxmlformats.org/officeDocument/2006/relationships/chart" Target="../charts/chart136.xml"/><Relationship Id="rId4" Type="http://schemas.openxmlformats.org/officeDocument/2006/relationships/chart" Target="../charts/chart121.xml"/><Relationship Id="rId9" Type="http://schemas.openxmlformats.org/officeDocument/2006/relationships/chart" Target="../charts/chart126.xml"/><Relationship Id="rId14" Type="http://schemas.openxmlformats.org/officeDocument/2006/relationships/chart" Target="../charts/chart131.xml"/><Relationship Id="rId22" Type="http://schemas.openxmlformats.org/officeDocument/2006/relationships/chart" Target="../charts/chart139.xml"/><Relationship Id="rId27" Type="http://schemas.openxmlformats.org/officeDocument/2006/relationships/chart" Target="../charts/chart14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47.xml"/><Relationship Id="rId7" Type="http://schemas.openxmlformats.org/officeDocument/2006/relationships/chart" Target="../charts/chart151.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chart" Target="../charts/chart14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59.xml"/><Relationship Id="rId3" Type="http://schemas.openxmlformats.org/officeDocument/2006/relationships/chart" Target="../charts/chart154.xml"/><Relationship Id="rId7" Type="http://schemas.openxmlformats.org/officeDocument/2006/relationships/chart" Target="../charts/chart158.xml"/><Relationship Id="rId2" Type="http://schemas.openxmlformats.org/officeDocument/2006/relationships/chart" Target="../charts/chart153.xml"/><Relationship Id="rId1" Type="http://schemas.openxmlformats.org/officeDocument/2006/relationships/chart" Target="../charts/chart152.xml"/><Relationship Id="rId6" Type="http://schemas.openxmlformats.org/officeDocument/2006/relationships/chart" Target="../charts/chart157.xml"/><Relationship Id="rId5" Type="http://schemas.openxmlformats.org/officeDocument/2006/relationships/chart" Target="../charts/chart156.xml"/><Relationship Id="rId4" Type="http://schemas.openxmlformats.org/officeDocument/2006/relationships/chart" Target="../charts/chart155.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67.xml"/><Relationship Id="rId3" Type="http://schemas.openxmlformats.org/officeDocument/2006/relationships/chart" Target="../charts/chart162.xml"/><Relationship Id="rId7" Type="http://schemas.openxmlformats.org/officeDocument/2006/relationships/chart" Target="../charts/chart166.xml"/><Relationship Id="rId2" Type="http://schemas.openxmlformats.org/officeDocument/2006/relationships/chart" Target="../charts/chart161.xml"/><Relationship Id="rId1" Type="http://schemas.openxmlformats.org/officeDocument/2006/relationships/chart" Target="../charts/chart160.xml"/><Relationship Id="rId6" Type="http://schemas.openxmlformats.org/officeDocument/2006/relationships/chart" Target="../charts/chart165.xml"/><Relationship Id="rId5" Type="http://schemas.openxmlformats.org/officeDocument/2006/relationships/chart" Target="../charts/chart164.xml"/><Relationship Id="rId4" Type="http://schemas.openxmlformats.org/officeDocument/2006/relationships/chart" Target="../charts/chart163.xml"/><Relationship Id="rId9" Type="http://schemas.openxmlformats.org/officeDocument/2006/relationships/chart" Target="../charts/chart168.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76.xml"/><Relationship Id="rId13" Type="http://schemas.openxmlformats.org/officeDocument/2006/relationships/chart" Target="../charts/chart181.xml"/><Relationship Id="rId18" Type="http://schemas.openxmlformats.org/officeDocument/2006/relationships/chart" Target="../charts/chart186.xml"/><Relationship Id="rId3" Type="http://schemas.openxmlformats.org/officeDocument/2006/relationships/chart" Target="../charts/chart171.xml"/><Relationship Id="rId21" Type="http://schemas.openxmlformats.org/officeDocument/2006/relationships/chart" Target="../charts/chart189.xml"/><Relationship Id="rId7" Type="http://schemas.openxmlformats.org/officeDocument/2006/relationships/chart" Target="../charts/chart175.xml"/><Relationship Id="rId12" Type="http://schemas.openxmlformats.org/officeDocument/2006/relationships/chart" Target="../charts/chart180.xml"/><Relationship Id="rId17" Type="http://schemas.openxmlformats.org/officeDocument/2006/relationships/chart" Target="../charts/chart185.xml"/><Relationship Id="rId25" Type="http://schemas.openxmlformats.org/officeDocument/2006/relationships/chart" Target="../charts/chart193.xml"/><Relationship Id="rId2" Type="http://schemas.openxmlformats.org/officeDocument/2006/relationships/chart" Target="../charts/chart170.xml"/><Relationship Id="rId16" Type="http://schemas.openxmlformats.org/officeDocument/2006/relationships/chart" Target="../charts/chart184.xml"/><Relationship Id="rId20" Type="http://schemas.openxmlformats.org/officeDocument/2006/relationships/chart" Target="../charts/chart188.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24" Type="http://schemas.openxmlformats.org/officeDocument/2006/relationships/chart" Target="../charts/chart192.xml"/><Relationship Id="rId5" Type="http://schemas.openxmlformats.org/officeDocument/2006/relationships/chart" Target="../charts/chart173.xml"/><Relationship Id="rId15" Type="http://schemas.openxmlformats.org/officeDocument/2006/relationships/chart" Target="../charts/chart183.xml"/><Relationship Id="rId23" Type="http://schemas.openxmlformats.org/officeDocument/2006/relationships/chart" Target="../charts/chart191.xml"/><Relationship Id="rId10" Type="http://schemas.openxmlformats.org/officeDocument/2006/relationships/chart" Target="../charts/chart178.xml"/><Relationship Id="rId19" Type="http://schemas.openxmlformats.org/officeDocument/2006/relationships/chart" Target="../charts/chart187.xml"/><Relationship Id="rId4" Type="http://schemas.openxmlformats.org/officeDocument/2006/relationships/chart" Target="../charts/chart172.xml"/><Relationship Id="rId9" Type="http://schemas.openxmlformats.org/officeDocument/2006/relationships/chart" Target="../charts/chart177.xml"/><Relationship Id="rId14" Type="http://schemas.openxmlformats.org/officeDocument/2006/relationships/chart" Target="../charts/chart182.xml"/><Relationship Id="rId22" Type="http://schemas.openxmlformats.org/officeDocument/2006/relationships/chart" Target="../charts/chart19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 Id="rId6" Type="http://schemas.openxmlformats.org/officeDocument/2006/relationships/chart" Target="../charts/chart199.xml"/><Relationship Id="rId5" Type="http://schemas.openxmlformats.org/officeDocument/2006/relationships/chart" Target="../charts/chart198.xml"/><Relationship Id="rId4" Type="http://schemas.openxmlformats.org/officeDocument/2006/relationships/chart" Target="../charts/chart197.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207.xml"/><Relationship Id="rId13" Type="http://schemas.openxmlformats.org/officeDocument/2006/relationships/chart" Target="../charts/chart212.xml"/><Relationship Id="rId3" Type="http://schemas.openxmlformats.org/officeDocument/2006/relationships/chart" Target="../charts/chart202.xml"/><Relationship Id="rId7" Type="http://schemas.openxmlformats.org/officeDocument/2006/relationships/chart" Target="../charts/chart206.xml"/><Relationship Id="rId12" Type="http://schemas.openxmlformats.org/officeDocument/2006/relationships/chart" Target="../charts/chart211.xml"/><Relationship Id="rId2" Type="http://schemas.openxmlformats.org/officeDocument/2006/relationships/chart" Target="../charts/chart201.xml"/><Relationship Id="rId1" Type="http://schemas.openxmlformats.org/officeDocument/2006/relationships/chart" Target="../charts/chart200.xml"/><Relationship Id="rId6" Type="http://schemas.openxmlformats.org/officeDocument/2006/relationships/chart" Target="../charts/chart205.xml"/><Relationship Id="rId11" Type="http://schemas.openxmlformats.org/officeDocument/2006/relationships/chart" Target="../charts/chart210.xml"/><Relationship Id="rId5" Type="http://schemas.openxmlformats.org/officeDocument/2006/relationships/chart" Target="../charts/chart204.xml"/><Relationship Id="rId10" Type="http://schemas.openxmlformats.org/officeDocument/2006/relationships/chart" Target="../charts/chart209.xml"/><Relationship Id="rId4" Type="http://schemas.openxmlformats.org/officeDocument/2006/relationships/chart" Target="../charts/chart203.xml"/><Relationship Id="rId9" Type="http://schemas.openxmlformats.org/officeDocument/2006/relationships/chart" Target="../charts/chart208.xml"/><Relationship Id="rId14" Type="http://schemas.openxmlformats.org/officeDocument/2006/relationships/chart" Target="../charts/chart213.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 Id="rId9" Type="http://schemas.openxmlformats.org/officeDocument/2006/relationships/chart" Target="../charts/chart5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2.xml"/><Relationship Id="rId7" Type="http://schemas.openxmlformats.org/officeDocument/2006/relationships/chart" Target="../charts/chart66.xml"/><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chart" Target="../charts/chart65.xml"/><Relationship Id="rId5" Type="http://schemas.openxmlformats.org/officeDocument/2006/relationships/chart" Target="../charts/chart64.xml"/><Relationship Id="rId4" Type="http://schemas.openxmlformats.org/officeDocument/2006/relationships/chart" Target="../charts/chart63.xml"/></Relationships>
</file>

<file path=xl/drawings/_rels/drawing8.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11" Type="http://schemas.openxmlformats.org/officeDocument/2006/relationships/chart" Target="../charts/chart77.xml"/><Relationship Id="rId5" Type="http://schemas.openxmlformats.org/officeDocument/2006/relationships/chart" Target="../charts/chart71.xml"/><Relationship Id="rId10" Type="http://schemas.openxmlformats.org/officeDocument/2006/relationships/chart" Target="../charts/chart76.xml"/><Relationship Id="rId4" Type="http://schemas.openxmlformats.org/officeDocument/2006/relationships/chart" Target="../charts/chart70.xml"/><Relationship Id="rId9" Type="http://schemas.openxmlformats.org/officeDocument/2006/relationships/chart" Target="../charts/chart75.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5.xml"/><Relationship Id="rId3" Type="http://schemas.openxmlformats.org/officeDocument/2006/relationships/chart" Target="../charts/chart80.xml"/><Relationship Id="rId7" Type="http://schemas.openxmlformats.org/officeDocument/2006/relationships/chart" Target="../charts/chart84.xml"/><Relationship Id="rId12" Type="http://schemas.openxmlformats.org/officeDocument/2006/relationships/chart" Target="../charts/chart89.xml"/><Relationship Id="rId2" Type="http://schemas.openxmlformats.org/officeDocument/2006/relationships/chart" Target="../charts/chart79.xml"/><Relationship Id="rId1" Type="http://schemas.openxmlformats.org/officeDocument/2006/relationships/chart" Target="../charts/chart78.xml"/><Relationship Id="rId6" Type="http://schemas.openxmlformats.org/officeDocument/2006/relationships/chart" Target="../charts/chart83.xml"/><Relationship Id="rId11" Type="http://schemas.openxmlformats.org/officeDocument/2006/relationships/chart" Target="../charts/chart88.xml"/><Relationship Id="rId5" Type="http://schemas.openxmlformats.org/officeDocument/2006/relationships/chart" Target="../charts/chart82.xml"/><Relationship Id="rId10" Type="http://schemas.openxmlformats.org/officeDocument/2006/relationships/chart" Target="../charts/chart87.xml"/><Relationship Id="rId4" Type="http://schemas.openxmlformats.org/officeDocument/2006/relationships/chart" Target="../charts/chart81.xml"/><Relationship Id="rId9" Type="http://schemas.openxmlformats.org/officeDocument/2006/relationships/chart" Target="../charts/chart86.xml"/></Relationships>
</file>

<file path=xl/drawings/drawing1.xml><?xml version="1.0" encoding="utf-8"?>
<xdr:wsDr xmlns:xdr="http://schemas.openxmlformats.org/drawingml/2006/spreadsheetDrawing" xmlns:a="http://schemas.openxmlformats.org/drawingml/2006/main">
  <xdr:twoCellAnchor>
    <xdr:from>
      <xdr:col>227</xdr:col>
      <xdr:colOff>95250</xdr:colOff>
      <xdr:row>1</xdr:row>
      <xdr:rowOff>57150</xdr:rowOff>
    </xdr:from>
    <xdr:to>
      <xdr:col>233</xdr:col>
      <xdr:colOff>219075</xdr:colOff>
      <xdr:row>18</xdr:row>
      <xdr:rowOff>47625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2BE38BC-EE39-4779-A1FE-BB813781F2C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61886900" y="219075"/>
              <a:ext cx="4410075" cy="2743200"/>
            </a:xfrm>
            <a:prstGeom prst="rect">
              <a:avLst/>
            </a:prstGeom>
            <a:solidFill>
              <a:prstClr val="white"/>
            </a:solidFill>
            <a:ln w="1">
              <a:solidFill>
                <a:prstClr val="green"/>
              </a:solidFill>
            </a:ln>
          </xdr:spPr>
          <xdr:txBody>
            <a:bodyPr vertOverflow="clip" horzOverflow="clip"/>
            <a:lstStyle/>
            <a:p>
              <a:r>
                <a:rPr lang="de-DE"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295275</xdr:colOff>
      <xdr:row>13</xdr:row>
      <xdr:rowOff>95250</xdr:rowOff>
    </xdr:from>
    <xdr:to>
      <xdr:col>11</xdr:col>
      <xdr:colOff>688975</xdr:colOff>
      <xdr:row>30</xdr:row>
      <xdr:rowOff>123825</xdr:rowOff>
    </xdr:to>
    <xdr:graphicFrame macro="">
      <xdr:nvGraphicFramePr>
        <xdr:cNvPr id="2" name="Chart 1">
          <a:extLst>
            <a:ext uri="{FF2B5EF4-FFF2-40B4-BE49-F238E27FC236}">
              <a16:creationId xmlns:a16="http://schemas.microsoft.com/office/drawing/2014/main" id="{1FC0AECA-59BD-455A-BEDF-C52D3C7F7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32067</xdr:colOff>
      <xdr:row>7</xdr:row>
      <xdr:rowOff>60958</xdr:rowOff>
    </xdr:from>
    <xdr:to>
      <xdr:col>28</xdr:col>
      <xdr:colOff>812165</xdr:colOff>
      <xdr:row>25</xdr:row>
      <xdr:rowOff>142239</xdr:rowOff>
    </xdr:to>
    <xdr:graphicFrame macro="">
      <xdr:nvGraphicFramePr>
        <xdr:cNvPr id="3" name="Chart 2">
          <a:extLst>
            <a:ext uri="{FF2B5EF4-FFF2-40B4-BE49-F238E27FC236}">
              <a16:creationId xmlns:a16="http://schemas.microsoft.com/office/drawing/2014/main" id="{310E26B7-6D47-4C9A-94FA-9DB8EABC9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16827</xdr:colOff>
      <xdr:row>7</xdr:row>
      <xdr:rowOff>26034</xdr:rowOff>
    </xdr:from>
    <xdr:to>
      <xdr:col>45</xdr:col>
      <xdr:colOff>774065</xdr:colOff>
      <xdr:row>26</xdr:row>
      <xdr:rowOff>40640</xdr:rowOff>
    </xdr:to>
    <xdr:graphicFrame macro="">
      <xdr:nvGraphicFramePr>
        <xdr:cNvPr id="4" name="Chart 3">
          <a:extLst>
            <a:ext uri="{FF2B5EF4-FFF2-40B4-BE49-F238E27FC236}">
              <a16:creationId xmlns:a16="http://schemas.microsoft.com/office/drawing/2014/main" id="{B409CD16-7AB7-4F3F-B1D0-95DCB1EA8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82549</xdr:colOff>
      <xdr:row>13</xdr:row>
      <xdr:rowOff>76200</xdr:rowOff>
    </xdr:from>
    <xdr:to>
      <xdr:col>17</xdr:col>
      <xdr:colOff>203200</xdr:colOff>
      <xdr:row>32</xdr:row>
      <xdr:rowOff>50800</xdr:rowOff>
    </xdr:to>
    <xdr:graphicFrame macro="">
      <xdr:nvGraphicFramePr>
        <xdr:cNvPr id="14" name="Chart 13">
          <a:extLst>
            <a:ext uri="{FF2B5EF4-FFF2-40B4-BE49-F238E27FC236}">
              <a16:creationId xmlns:a16="http://schemas.microsoft.com/office/drawing/2014/main" id="{E0B4B912-BFD1-438E-8C7A-8FFB0CA312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670560</xdr:colOff>
      <xdr:row>32</xdr:row>
      <xdr:rowOff>139700</xdr:rowOff>
    </xdr:from>
    <xdr:to>
      <xdr:col>17</xdr:col>
      <xdr:colOff>212091</xdr:colOff>
      <xdr:row>51</xdr:row>
      <xdr:rowOff>97790</xdr:rowOff>
    </xdr:to>
    <xdr:graphicFrame macro="">
      <xdr:nvGraphicFramePr>
        <xdr:cNvPr id="15" name="Chart 14">
          <a:extLst>
            <a:ext uri="{FF2B5EF4-FFF2-40B4-BE49-F238E27FC236}">
              <a16:creationId xmlns:a16="http://schemas.microsoft.com/office/drawing/2014/main" id="{80A67C65-CBEB-4A51-AE60-2D69173B8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381000</xdr:colOff>
      <xdr:row>13</xdr:row>
      <xdr:rowOff>76200</xdr:rowOff>
    </xdr:from>
    <xdr:to>
      <xdr:col>24</xdr:col>
      <xdr:colOff>546100</xdr:colOff>
      <xdr:row>32</xdr:row>
      <xdr:rowOff>50800</xdr:rowOff>
    </xdr:to>
    <xdr:graphicFrame macro="">
      <xdr:nvGraphicFramePr>
        <xdr:cNvPr id="16" name="Chart 15">
          <a:extLst>
            <a:ext uri="{FF2B5EF4-FFF2-40B4-BE49-F238E27FC236}">
              <a16:creationId xmlns:a16="http://schemas.microsoft.com/office/drawing/2014/main" id="{61D194F4-4E9C-4F79-8991-051340692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368300</xdr:colOff>
      <xdr:row>32</xdr:row>
      <xdr:rowOff>152400</xdr:rowOff>
    </xdr:from>
    <xdr:to>
      <xdr:col>24</xdr:col>
      <xdr:colOff>533400</xdr:colOff>
      <xdr:row>51</xdr:row>
      <xdr:rowOff>127000</xdr:rowOff>
    </xdr:to>
    <xdr:graphicFrame macro="">
      <xdr:nvGraphicFramePr>
        <xdr:cNvPr id="17" name="Chart 16">
          <a:extLst>
            <a:ext uri="{FF2B5EF4-FFF2-40B4-BE49-F238E27FC236}">
              <a16:creationId xmlns:a16="http://schemas.microsoft.com/office/drawing/2014/main" id="{0E55E3A5-3D96-4E44-8A35-840797A02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xdr:col>
      <xdr:colOff>82549</xdr:colOff>
      <xdr:row>13</xdr:row>
      <xdr:rowOff>76200</xdr:rowOff>
    </xdr:from>
    <xdr:to>
      <xdr:col>34</xdr:col>
      <xdr:colOff>203200</xdr:colOff>
      <xdr:row>32</xdr:row>
      <xdr:rowOff>50800</xdr:rowOff>
    </xdr:to>
    <xdr:graphicFrame macro="">
      <xdr:nvGraphicFramePr>
        <xdr:cNvPr id="18" name="Chart 17">
          <a:extLst>
            <a:ext uri="{FF2B5EF4-FFF2-40B4-BE49-F238E27FC236}">
              <a16:creationId xmlns:a16="http://schemas.microsoft.com/office/drawing/2014/main" id="{E1FC2F75-283B-481A-BE1C-291F64869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721360</xdr:colOff>
      <xdr:row>32</xdr:row>
      <xdr:rowOff>135890</xdr:rowOff>
    </xdr:from>
    <xdr:to>
      <xdr:col>34</xdr:col>
      <xdr:colOff>214631</xdr:colOff>
      <xdr:row>51</xdr:row>
      <xdr:rowOff>100330</xdr:rowOff>
    </xdr:to>
    <xdr:graphicFrame macro="">
      <xdr:nvGraphicFramePr>
        <xdr:cNvPr id="19" name="Chart 18">
          <a:extLst>
            <a:ext uri="{FF2B5EF4-FFF2-40B4-BE49-F238E27FC236}">
              <a16:creationId xmlns:a16="http://schemas.microsoft.com/office/drawing/2014/main" id="{F7F6BF6C-3DAE-46A9-A78C-93D9C1858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34</xdr:col>
      <xdr:colOff>381000</xdr:colOff>
      <xdr:row>13</xdr:row>
      <xdr:rowOff>76200</xdr:rowOff>
    </xdr:from>
    <xdr:to>
      <xdr:col>41</xdr:col>
      <xdr:colOff>546100</xdr:colOff>
      <xdr:row>32</xdr:row>
      <xdr:rowOff>50800</xdr:rowOff>
    </xdr:to>
    <xdr:graphicFrame macro="">
      <xdr:nvGraphicFramePr>
        <xdr:cNvPr id="20" name="Chart 19">
          <a:extLst>
            <a:ext uri="{FF2B5EF4-FFF2-40B4-BE49-F238E27FC236}">
              <a16:creationId xmlns:a16="http://schemas.microsoft.com/office/drawing/2014/main" id="{957B825C-3D68-4B58-BFC8-45F9529A7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368300</xdr:colOff>
      <xdr:row>32</xdr:row>
      <xdr:rowOff>152400</xdr:rowOff>
    </xdr:from>
    <xdr:to>
      <xdr:col>41</xdr:col>
      <xdr:colOff>533400</xdr:colOff>
      <xdr:row>51</xdr:row>
      <xdr:rowOff>127000</xdr:rowOff>
    </xdr:to>
    <xdr:graphicFrame macro="">
      <xdr:nvGraphicFramePr>
        <xdr:cNvPr id="21" name="Chart 20">
          <a:extLst>
            <a:ext uri="{FF2B5EF4-FFF2-40B4-BE49-F238E27FC236}">
              <a16:creationId xmlns:a16="http://schemas.microsoft.com/office/drawing/2014/main" id="{8B687725-86F8-469E-807C-4D2D92EE8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46</xdr:col>
      <xdr:colOff>82549</xdr:colOff>
      <xdr:row>13</xdr:row>
      <xdr:rowOff>76200</xdr:rowOff>
    </xdr:from>
    <xdr:to>
      <xdr:col>51</xdr:col>
      <xdr:colOff>203200</xdr:colOff>
      <xdr:row>32</xdr:row>
      <xdr:rowOff>50800</xdr:rowOff>
    </xdr:to>
    <xdr:graphicFrame macro="">
      <xdr:nvGraphicFramePr>
        <xdr:cNvPr id="22" name="Chart 21">
          <a:extLst>
            <a:ext uri="{FF2B5EF4-FFF2-40B4-BE49-F238E27FC236}">
              <a16:creationId xmlns:a16="http://schemas.microsoft.com/office/drawing/2014/main" id="{83E1B3DE-ACB7-4777-99FC-8FD6AA3C8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46</xdr:col>
      <xdr:colOff>88900</xdr:colOff>
      <xdr:row>32</xdr:row>
      <xdr:rowOff>127000</xdr:rowOff>
    </xdr:from>
    <xdr:to>
      <xdr:col>51</xdr:col>
      <xdr:colOff>209551</xdr:colOff>
      <xdr:row>51</xdr:row>
      <xdr:rowOff>101600</xdr:rowOff>
    </xdr:to>
    <xdr:graphicFrame macro="">
      <xdr:nvGraphicFramePr>
        <xdr:cNvPr id="23" name="Chart 22">
          <a:extLst>
            <a:ext uri="{FF2B5EF4-FFF2-40B4-BE49-F238E27FC236}">
              <a16:creationId xmlns:a16="http://schemas.microsoft.com/office/drawing/2014/main" id="{F30C3268-ED35-4C31-8B26-5846DEDBA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51</xdr:col>
      <xdr:colOff>381000</xdr:colOff>
      <xdr:row>13</xdr:row>
      <xdr:rowOff>76200</xdr:rowOff>
    </xdr:from>
    <xdr:to>
      <xdr:col>58</xdr:col>
      <xdr:colOff>546100</xdr:colOff>
      <xdr:row>32</xdr:row>
      <xdr:rowOff>50800</xdr:rowOff>
    </xdr:to>
    <xdr:graphicFrame macro="">
      <xdr:nvGraphicFramePr>
        <xdr:cNvPr id="24" name="Chart 23">
          <a:extLst>
            <a:ext uri="{FF2B5EF4-FFF2-40B4-BE49-F238E27FC236}">
              <a16:creationId xmlns:a16="http://schemas.microsoft.com/office/drawing/2014/main" id="{5DD8E2BF-492C-488C-B53D-43FA94BC0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51</xdr:col>
      <xdr:colOff>368300</xdr:colOff>
      <xdr:row>32</xdr:row>
      <xdr:rowOff>152400</xdr:rowOff>
    </xdr:from>
    <xdr:to>
      <xdr:col>58</xdr:col>
      <xdr:colOff>533400</xdr:colOff>
      <xdr:row>51</xdr:row>
      <xdr:rowOff>127000</xdr:rowOff>
    </xdr:to>
    <xdr:graphicFrame macro="">
      <xdr:nvGraphicFramePr>
        <xdr:cNvPr id="25" name="Chart 24">
          <a:extLst>
            <a:ext uri="{FF2B5EF4-FFF2-40B4-BE49-F238E27FC236}">
              <a16:creationId xmlns:a16="http://schemas.microsoft.com/office/drawing/2014/main" id="{2329AB7E-3ABC-4200-AAA0-F5E8E3272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60</xdr:col>
      <xdr:colOff>146049</xdr:colOff>
      <xdr:row>7</xdr:row>
      <xdr:rowOff>152408</xdr:rowOff>
    </xdr:from>
    <xdr:to>
      <xdr:col>63</xdr:col>
      <xdr:colOff>1092200</xdr:colOff>
      <xdr:row>23</xdr:row>
      <xdr:rowOff>38100</xdr:rowOff>
    </xdr:to>
    <xdr:graphicFrame macro="">
      <xdr:nvGraphicFramePr>
        <xdr:cNvPr id="5" name="Chart 4">
          <a:extLst>
            <a:ext uri="{FF2B5EF4-FFF2-40B4-BE49-F238E27FC236}">
              <a16:creationId xmlns:a16="http://schemas.microsoft.com/office/drawing/2014/main" id="{9AF8FD7C-428B-4ADC-AB05-134921C5A6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65</xdr:col>
      <xdr:colOff>63500</xdr:colOff>
      <xdr:row>7</xdr:row>
      <xdr:rowOff>101608</xdr:rowOff>
    </xdr:from>
    <xdr:to>
      <xdr:col>68</xdr:col>
      <xdr:colOff>1384300</xdr:colOff>
      <xdr:row>23</xdr:row>
      <xdr:rowOff>63500</xdr:rowOff>
    </xdr:to>
    <xdr:graphicFrame macro="">
      <xdr:nvGraphicFramePr>
        <xdr:cNvPr id="6" name="Chart 5">
          <a:extLst>
            <a:ext uri="{FF2B5EF4-FFF2-40B4-BE49-F238E27FC236}">
              <a16:creationId xmlns:a16="http://schemas.microsoft.com/office/drawing/2014/main" id="{5B17D566-3BE6-44E1-B85F-7AA03F6C1F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29</xdr:col>
      <xdr:colOff>86591</xdr:colOff>
      <xdr:row>55</xdr:row>
      <xdr:rowOff>-1</xdr:rowOff>
    </xdr:from>
    <xdr:to>
      <xdr:col>34</xdr:col>
      <xdr:colOff>207242</xdr:colOff>
      <xdr:row>73</xdr:row>
      <xdr:rowOff>130463</xdr:rowOff>
    </xdr:to>
    <xdr:graphicFrame macro="">
      <xdr:nvGraphicFramePr>
        <xdr:cNvPr id="26" name="Chart 25">
          <a:extLst>
            <a:ext uri="{FF2B5EF4-FFF2-40B4-BE49-F238E27FC236}">
              <a16:creationId xmlns:a16="http://schemas.microsoft.com/office/drawing/2014/main" id="{40B639FF-A871-4EFC-A838-FDFD61754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117474</xdr:colOff>
      <xdr:row>9</xdr:row>
      <xdr:rowOff>184150</xdr:rowOff>
    </xdr:from>
    <xdr:to>
      <xdr:col>30</xdr:col>
      <xdr:colOff>82549</xdr:colOff>
      <xdr:row>13</xdr:row>
      <xdr:rowOff>603250</xdr:rowOff>
    </xdr:to>
    <xdr:graphicFrame macro="">
      <xdr:nvGraphicFramePr>
        <xdr:cNvPr id="3" name="Chart 2">
          <a:extLst>
            <a:ext uri="{FF2B5EF4-FFF2-40B4-BE49-F238E27FC236}">
              <a16:creationId xmlns:a16="http://schemas.microsoft.com/office/drawing/2014/main" id="{BF79536A-52C8-4EDE-8C96-53813BF3A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48894</xdr:colOff>
      <xdr:row>6</xdr:row>
      <xdr:rowOff>99060</xdr:rowOff>
    </xdr:from>
    <xdr:to>
      <xdr:col>63</xdr:col>
      <xdr:colOff>635634</xdr:colOff>
      <xdr:row>12</xdr:row>
      <xdr:rowOff>447040</xdr:rowOff>
    </xdr:to>
    <xdr:graphicFrame macro="">
      <xdr:nvGraphicFramePr>
        <xdr:cNvPr id="4" name="Chart 3">
          <a:extLst>
            <a:ext uri="{FF2B5EF4-FFF2-40B4-BE49-F238E27FC236}">
              <a16:creationId xmlns:a16="http://schemas.microsoft.com/office/drawing/2014/main" id="{18AE3EA2-7C30-4B51-A551-A4A05374D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65</xdr:col>
      <xdr:colOff>36194</xdr:colOff>
      <xdr:row>6</xdr:row>
      <xdr:rowOff>76834</xdr:rowOff>
    </xdr:from>
    <xdr:to>
      <xdr:col>66</xdr:col>
      <xdr:colOff>755649</xdr:colOff>
      <xdr:row>12</xdr:row>
      <xdr:rowOff>416560</xdr:rowOff>
    </xdr:to>
    <xdr:graphicFrame macro="">
      <xdr:nvGraphicFramePr>
        <xdr:cNvPr id="5" name="Chart 4">
          <a:extLst>
            <a:ext uri="{FF2B5EF4-FFF2-40B4-BE49-F238E27FC236}">
              <a16:creationId xmlns:a16="http://schemas.microsoft.com/office/drawing/2014/main" id="{0A90F12F-08DA-434F-99DE-AB8C161FF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51</xdr:col>
      <xdr:colOff>57150</xdr:colOff>
      <xdr:row>4</xdr:row>
      <xdr:rowOff>33337</xdr:rowOff>
    </xdr:from>
    <xdr:to>
      <xdr:col>52</xdr:col>
      <xdr:colOff>466725</xdr:colOff>
      <xdr:row>12</xdr:row>
      <xdr:rowOff>23812</xdr:rowOff>
    </xdr:to>
    <xdr:graphicFrame macro="">
      <xdr:nvGraphicFramePr>
        <xdr:cNvPr id="6" name="Chart 5">
          <a:extLst>
            <a:ext uri="{FF2B5EF4-FFF2-40B4-BE49-F238E27FC236}">
              <a16:creationId xmlns:a16="http://schemas.microsoft.com/office/drawing/2014/main" id="{6AD74C63-DD48-45C3-B543-B6749B3C6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53</xdr:col>
      <xdr:colOff>22860</xdr:colOff>
      <xdr:row>4</xdr:row>
      <xdr:rowOff>22864</xdr:rowOff>
    </xdr:from>
    <xdr:to>
      <xdr:col>56</xdr:col>
      <xdr:colOff>251460</xdr:colOff>
      <xdr:row>12</xdr:row>
      <xdr:rowOff>589280</xdr:rowOff>
    </xdr:to>
    <xdr:graphicFrame macro="">
      <xdr:nvGraphicFramePr>
        <xdr:cNvPr id="7" name="Chart 6">
          <a:extLst>
            <a:ext uri="{FF2B5EF4-FFF2-40B4-BE49-F238E27FC236}">
              <a16:creationId xmlns:a16="http://schemas.microsoft.com/office/drawing/2014/main" id="{6F548C07-01CC-4D42-B7EA-51CC06966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333376</xdr:colOff>
      <xdr:row>6</xdr:row>
      <xdr:rowOff>147637</xdr:rowOff>
    </xdr:from>
    <xdr:to>
      <xdr:col>32</xdr:col>
      <xdr:colOff>514351</xdr:colOff>
      <xdr:row>13</xdr:row>
      <xdr:rowOff>438150</xdr:rowOff>
    </xdr:to>
    <xdr:graphicFrame macro="">
      <xdr:nvGraphicFramePr>
        <xdr:cNvPr id="8" name="Chart 7">
          <a:extLst>
            <a:ext uri="{FF2B5EF4-FFF2-40B4-BE49-F238E27FC236}">
              <a16:creationId xmlns:a16="http://schemas.microsoft.com/office/drawing/2014/main" id="{29706C4E-D5DB-444D-845C-F767B3C74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76200</xdr:colOff>
      <xdr:row>6</xdr:row>
      <xdr:rowOff>190508</xdr:rowOff>
    </xdr:from>
    <xdr:to>
      <xdr:col>44</xdr:col>
      <xdr:colOff>571500</xdr:colOff>
      <xdr:row>13</xdr:row>
      <xdr:rowOff>508000</xdr:rowOff>
    </xdr:to>
    <xdr:graphicFrame macro="">
      <xdr:nvGraphicFramePr>
        <xdr:cNvPr id="2" name="Chart 1">
          <a:extLst>
            <a:ext uri="{FF2B5EF4-FFF2-40B4-BE49-F238E27FC236}">
              <a16:creationId xmlns:a16="http://schemas.microsoft.com/office/drawing/2014/main" id="{F5FCAD09-E670-4FF3-8A68-1E2FC068A6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548640</xdr:colOff>
      <xdr:row>6</xdr:row>
      <xdr:rowOff>190508</xdr:rowOff>
    </xdr:from>
    <xdr:to>
      <xdr:col>49</xdr:col>
      <xdr:colOff>762000</xdr:colOff>
      <xdr:row>13</xdr:row>
      <xdr:rowOff>477520</xdr:rowOff>
    </xdr:to>
    <xdr:graphicFrame macro="">
      <xdr:nvGraphicFramePr>
        <xdr:cNvPr id="9" name="Chart 8">
          <a:extLst>
            <a:ext uri="{FF2B5EF4-FFF2-40B4-BE49-F238E27FC236}">
              <a16:creationId xmlns:a16="http://schemas.microsoft.com/office/drawing/2014/main" id="{6A795046-F037-40DA-B61B-7C37AAC3E7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57</xdr:col>
      <xdr:colOff>254000</xdr:colOff>
      <xdr:row>4</xdr:row>
      <xdr:rowOff>59698</xdr:rowOff>
    </xdr:from>
    <xdr:to>
      <xdr:col>60</xdr:col>
      <xdr:colOff>748030</xdr:colOff>
      <xdr:row>12</xdr:row>
      <xdr:rowOff>706120</xdr:rowOff>
    </xdr:to>
    <xdr:graphicFrame macro="">
      <xdr:nvGraphicFramePr>
        <xdr:cNvPr id="11" name="Chart 10">
          <a:extLst>
            <a:ext uri="{FF2B5EF4-FFF2-40B4-BE49-F238E27FC236}">
              <a16:creationId xmlns:a16="http://schemas.microsoft.com/office/drawing/2014/main" id="{CCDF3E61-595F-443D-B8C4-1CF32A8AC2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22859</xdr:colOff>
      <xdr:row>6</xdr:row>
      <xdr:rowOff>167648</xdr:rowOff>
    </xdr:from>
    <xdr:to>
      <xdr:col>36</xdr:col>
      <xdr:colOff>594360</xdr:colOff>
      <xdr:row>13</xdr:row>
      <xdr:rowOff>477520</xdr:rowOff>
    </xdr:to>
    <xdr:graphicFrame macro="">
      <xdr:nvGraphicFramePr>
        <xdr:cNvPr id="10" name="Chart 9">
          <a:extLst>
            <a:ext uri="{FF2B5EF4-FFF2-40B4-BE49-F238E27FC236}">
              <a16:creationId xmlns:a16="http://schemas.microsoft.com/office/drawing/2014/main" id="{E24C0A75-4E7B-47DD-8DA5-2439DC3D6F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46355</xdr:colOff>
      <xdr:row>4</xdr:row>
      <xdr:rowOff>97790</xdr:rowOff>
    </xdr:from>
    <xdr:to>
      <xdr:col>32</xdr:col>
      <xdr:colOff>554990</xdr:colOff>
      <xdr:row>10</xdr:row>
      <xdr:rowOff>217714</xdr:rowOff>
    </xdr:to>
    <xdr:graphicFrame macro="">
      <xdr:nvGraphicFramePr>
        <xdr:cNvPr id="2" name="Chart 1">
          <a:extLst>
            <a:ext uri="{FF2B5EF4-FFF2-40B4-BE49-F238E27FC236}">
              <a16:creationId xmlns:a16="http://schemas.microsoft.com/office/drawing/2014/main" id="{98250012-B6B9-4757-AE10-B1B4F2762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47625</xdr:colOff>
      <xdr:row>6</xdr:row>
      <xdr:rowOff>28576</xdr:rowOff>
    </xdr:from>
    <xdr:to>
      <xdr:col>47</xdr:col>
      <xdr:colOff>561975</xdr:colOff>
      <xdr:row>10</xdr:row>
      <xdr:rowOff>584200</xdr:rowOff>
    </xdr:to>
    <xdr:graphicFrame macro="">
      <xdr:nvGraphicFramePr>
        <xdr:cNvPr id="3" name="Chart 2">
          <a:extLst>
            <a:ext uri="{FF2B5EF4-FFF2-40B4-BE49-F238E27FC236}">
              <a16:creationId xmlns:a16="http://schemas.microsoft.com/office/drawing/2014/main" id="{2FB293FF-4879-4A10-8AA8-35D092AC9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76</xdr:col>
      <xdr:colOff>104776</xdr:colOff>
      <xdr:row>5</xdr:row>
      <xdr:rowOff>28576</xdr:rowOff>
    </xdr:from>
    <xdr:to>
      <xdr:col>77</xdr:col>
      <xdr:colOff>66675</xdr:colOff>
      <xdr:row>9</xdr:row>
      <xdr:rowOff>438150</xdr:rowOff>
    </xdr:to>
    <xdr:graphicFrame macro="">
      <xdr:nvGraphicFramePr>
        <xdr:cNvPr id="4" name="Chart 3">
          <a:extLst>
            <a:ext uri="{FF2B5EF4-FFF2-40B4-BE49-F238E27FC236}">
              <a16:creationId xmlns:a16="http://schemas.microsoft.com/office/drawing/2014/main" id="{836D5B1D-FE08-4A29-BB93-7FF85FCDF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118</xdr:col>
      <xdr:colOff>57150</xdr:colOff>
      <xdr:row>4</xdr:row>
      <xdr:rowOff>76200</xdr:rowOff>
    </xdr:from>
    <xdr:to>
      <xdr:col>119</xdr:col>
      <xdr:colOff>285750</xdr:colOff>
      <xdr:row>9</xdr:row>
      <xdr:rowOff>466725</xdr:rowOff>
    </xdr:to>
    <xdr:graphicFrame macro="">
      <xdr:nvGraphicFramePr>
        <xdr:cNvPr id="5" name="Chart 4">
          <a:extLst>
            <a:ext uri="{FF2B5EF4-FFF2-40B4-BE49-F238E27FC236}">
              <a16:creationId xmlns:a16="http://schemas.microsoft.com/office/drawing/2014/main" id="{F3A1DCFE-F3B3-46FD-AA34-E51CA44F0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133</xdr:col>
      <xdr:colOff>38099</xdr:colOff>
      <xdr:row>4</xdr:row>
      <xdr:rowOff>104775</xdr:rowOff>
    </xdr:from>
    <xdr:to>
      <xdr:col>134</xdr:col>
      <xdr:colOff>342900</xdr:colOff>
      <xdr:row>9</xdr:row>
      <xdr:rowOff>419100</xdr:rowOff>
    </xdr:to>
    <xdr:graphicFrame macro="">
      <xdr:nvGraphicFramePr>
        <xdr:cNvPr id="6" name="Chart 5">
          <a:extLst>
            <a:ext uri="{FF2B5EF4-FFF2-40B4-BE49-F238E27FC236}">
              <a16:creationId xmlns:a16="http://schemas.microsoft.com/office/drawing/2014/main" id="{74E2F7DB-FDB4-430D-8CC7-A9A634285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139</xdr:col>
      <xdr:colOff>66674</xdr:colOff>
      <xdr:row>4</xdr:row>
      <xdr:rowOff>133350</xdr:rowOff>
    </xdr:from>
    <xdr:to>
      <xdr:col>140</xdr:col>
      <xdr:colOff>447675</xdr:colOff>
      <xdr:row>9</xdr:row>
      <xdr:rowOff>447675</xdr:rowOff>
    </xdr:to>
    <xdr:graphicFrame macro="">
      <xdr:nvGraphicFramePr>
        <xdr:cNvPr id="7" name="Chart 6">
          <a:extLst>
            <a:ext uri="{FF2B5EF4-FFF2-40B4-BE49-F238E27FC236}">
              <a16:creationId xmlns:a16="http://schemas.microsoft.com/office/drawing/2014/main" id="{A5937A6D-2912-40BA-9C8E-F1FCCBC46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28574</xdr:colOff>
      <xdr:row>5</xdr:row>
      <xdr:rowOff>66675</xdr:rowOff>
    </xdr:from>
    <xdr:to>
      <xdr:col>17</xdr:col>
      <xdr:colOff>390525</xdr:colOff>
      <xdr:row>10</xdr:row>
      <xdr:rowOff>279400</xdr:rowOff>
    </xdr:to>
    <xdr:graphicFrame macro="">
      <xdr:nvGraphicFramePr>
        <xdr:cNvPr id="8" name="Chart 7">
          <a:extLst>
            <a:ext uri="{FF2B5EF4-FFF2-40B4-BE49-F238E27FC236}">
              <a16:creationId xmlns:a16="http://schemas.microsoft.com/office/drawing/2014/main" id="{52ED75BC-60EB-4CF9-8E04-26AB5A0C9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61</xdr:col>
      <xdr:colOff>38101</xdr:colOff>
      <xdr:row>3</xdr:row>
      <xdr:rowOff>200024</xdr:rowOff>
    </xdr:from>
    <xdr:to>
      <xdr:col>62</xdr:col>
      <xdr:colOff>485776</xdr:colOff>
      <xdr:row>7</xdr:row>
      <xdr:rowOff>209550</xdr:rowOff>
    </xdr:to>
    <xdr:graphicFrame macro="">
      <xdr:nvGraphicFramePr>
        <xdr:cNvPr id="9" name="Chart 8">
          <a:extLst>
            <a:ext uri="{FF2B5EF4-FFF2-40B4-BE49-F238E27FC236}">
              <a16:creationId xmlns:a16="http://schemas.microsoft.com/office/drawing/2014/main" id="{F31C69DA-DEB8-48C7-9414-899CB8D94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91</xdr:col>
      <xdr:colOff>60959</xdr:colOff>
      <xdr:row>4</xdr:row>
      <xdr:rowOff>99060</xdr:rowOff>
    </xdr:from>
    <xdr:to>
      <xdr:col>93</xdr:col>
      <xdr:colOff>403859</xdr:colOff>
      <xdr:row>10</xdr:row>
      <xdr:rowOff>348343</xdr:rowOff>
    </xdr:to>
    <xdr:graphicFrame macro="">
      <xdr:nvGraphicFramePr>
        <xdr:cNvPr id="10" name="Chart 9">
          <a:extLst>
            <a:ext uri="{FF2B5EF4-FFF2-40B4-BE49-F238E27FC236}">
              <a16:creationId xmlns:a16="http://schemas.microsoft.com/office/drawing/2014/main" id="{6303B4AB-93E6-4BA7-8D88-51B17CDF6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65406</xdr:colOff>
      <xdr:row>5</xdr:row>
      <xdr:rowOff>48894</xdr:rowOff>
    </xdr:from>
    <xdr:to>
      <xdr:col>21</xdr:col>
      <xdr:colOff>598714</xdr:colOff>
      <xdr:row>10</xdr:row>
      <xdr:rowOff>1158239</xdr:rowOff>
    </xdr:to>
    <xdr:graphicFrame macro="">
      <xdr:nvGraphicFramePr>
        <xdr:cNvPr id="11" name="Chart 10">
          <a:extLst>
            <a:ext uri="{FF2B5EF4-FFF2-40B4-BE49-F238E27FC236}">
              <a16:creationId xmlns:a16="http://schemas.microsoft.com/office/drawing/2014/main" id="{D7316825-6C0D-40DC-BC78-438B62802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48</xdr:col>
      <xdr:colOff>38100</xdr:colOff>
      <xdr:row>5</xdr:row>
      <xdr:rowOff>185057</xdr:rowOff>
    </xdr:from>
    <xdr:to>
      <xdr:col>51</xdr:col>
      <xdr:colOff>990600</xdr:colOff>
      <xdr:row>11</xdr:row>
      <xdr:rowOff>138430</xdr:rowOff>
    </xdr:to>
    <xdr:graphicFrame macro="">
      <xdr:nvGraphicFramePr>
        <xdr:cNvPr id="12" name="Chart 11">
          <a:extLst>
            <a:ext uri="{FF2B5EF4-FFF2-40B4-BE49-F238E27FC236}">
              <a16:creationId xmlns:a16="http://schemas.microsoft.com/office/drawing/2014/main" id="{D4BD638A-9E5B-422D-B497-48F2432CD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63</xdr:col>
      <xdr:colOff>38100</xdr:colOff>
      <xdr:row>3</xdr:row>
      <xdr:rowOff>205109</xdr:rowOff>
    </xdr:from>
    <xdr:to>
      <xdr:col>66</xdr:col>
      <xdr:colOff>609599</xdr:colOff>
      <xdr:row>10</xdr:row>
      <xdr:rowOff>121012</xdr:rowOff>
    </xdr:to>
    <xdr:graphicFrame macro="">
      <xdr:nvGraphicFramePr>
        <xdr:cNvPr id="13" name="Chart 12">
          <a:extLst>
            <a:ext uri="{FF2B5EF4-FFF2-40B4-BE49-F238E27FC236}">
              <a16:creationId xmlns:a16="http://schemas.microsoft.com/office/drawing/2014/main" id="{507694ED-8C45-4A79-A011-98FB796DD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78</xdr:col>
      <xdr:colOff>32202</xdr:colOff>
      <xdr:row>3</xdr:row>
      <xdr:rowOff>626751</xdr:rowOff>
    </xdr:from>
    <xdr:to>
      <xdr:col>81</xdr:col>
      <xdr:colOff>649877</xdr:colOff>
      <xdr:row>10</xdr:row>
      <xdr:rowOff>428354</xdr:rowOff>
    </xdr:to>
    <xdr:graphicFrame macro="">
      <xdr:nvGraphicFramePr>
        <xdr:cNvPr id="14" name="Chart 13">
          <a:extLst>
            <a:ext uri="{FF2B5EF4-FFF2-40B4-BE49-F238E27FC236}">
              <a16:creationId xmlns:a16="http://schemas.microsoft.com/office/drawing/2014/main" id="{9CF7FF85-051D-4DD1-8085-0946C726D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120</xdr:col>
      <xdr:colOff>47262</xdr:colOff>
      <xdr:row>3</xdr:row>
      <xdr:rowOff>537397</xdr:rowOff>
    </xdr:from>
    <xdr:to>
      <xdr:col>123</xdr:col>
      <xdr:colOff>553720</xdr:colOff>
      <xdr:row>10</xdr:row>
      <xdr:rowOff>220254</xdr:rowOff>
    </xdr:to>
    <xdr:graphicFrame macro="">
      <xdr:nvGraphicFramePr>
        <xdr:cNvPr id="15" name="Chart 14">
          <a:extLst>
            <a:ext uri="{FF2B5EF4-FFF2-40B4-BE49-F238E27FC236}">
              <a16:creationId xmlns:a16="http://schemas.microsoft.com/office/drawing/2014/main" id="{B117A003-51AF-4606-8610-C988CC54DA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103</xdr:col>
      <xdr:colOff>170542</xdr:colOff>
      <xdr:row>5</xdr:row>
      <xdr:rowOff>4580</xdr:rowOff>
    </xdr:from>
    <xdr:to>
      <xdr:col>104</xdr:col>
      <xdr:colOff>445497</xdr:colOff>
      <xdr:row>10</xdr:row>
      <xdr:rowOff>506004</xdr:rowOff>
    </xdr:to>
    <xdr:graphicFrame macro="">
      <xdr:nvGraphicFramePr>
        <xdr:cNvPr id="16" name="Chart 15">
          <a:extLst>
            <a:ext uri="{FF2B5EF4-FFF2-40B4-BE49-F238E27FC236}">
              <a16:creationId xmlns:a16="http://schemas.microsoft.com/office/drawing/2014/main" id="{67F3098C-593E-4E51-B824-47FE11C57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33</xdr:col>
      <xdr:colOff>50800</xdr:colOff>
      <xdr:row>4</xdr:row>
      <xdr:rowOff>88908</xdr:rowOff>
    </xdr:from>
    <xdr:to>
      <xdr:col>36</xdr:col>
      <xdr:colOff>393700</xdr:colOff>
      <xdr:row>10</xdr:row>
      <xdr:rowOff>1054100</xdr:rowOff>
    </xdr:to>
    <xdr:graphicFrame macro="">
      <xdr:nvGraphicFramePr>
        <xdr:cNvPr id="17" name="Chart 16">
          <a:extLst>
            <a:ext uri="{FF2B5EF4-FFF2-40B4-BE49-F238E27FC236}">
              <a16:creationId xmlns:a16="http://schemas.microsoft.com/office/drawing/2014/main" id="{CCE90C0B-1EFB-4133-B506-6D3C45BCDC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83818</xdr:colOff>
      <xdr:row>5</xdr:row>
      <xdr:rowOff>38108</xdr:rowOff>
    </xdr:from>
    <xdr:to>
      <xdr:col>29</xdr:col>
      <xdr:colOff>533399</xdr:colOff>
      <xdr:row>10</xdr:row>
      <xdr:rowOff>1153886</xdr:rowOff>
    </xdr:to>
    <xdr:graphicFrame macro="">
      <xdr:nvGraphicFramePr>
        <xdr:cNvPr id="18" name="Chart 17">
          <a:extLst>
            <a:ext uri="{FF2B5EF4-FFF2-40B4-BE49-F238E27FC236}">
              <a16:creationId xmlns:a16="http://schemas.microsoft.com/office/drawing/2014/main" id="{6FC17F22-5550-4F7A-AD3F-FCA1AFA47C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37</xdr:col>
      <xdr:colOff>86358</xdr:colOff>
      <xdr:row>4</xdr:row>
      <xdr:rowOff>76208</xdr:rowOff>
    </xdr:from>
    <xdr:to>
      <xdr:col>44</xdr:col>
      <xdr:colOff>579483</xdr:colOff>
      <xdr:row>10</xdr:row>
      <xdr:rowOff>1099456</xdr:rowOff>
    </xdr:to>
    <xdr:graphicFrame macro="">
      <xdr:nvGraphicFramePr>
        <xdr:cNvPr id="19" name="Chart 18">
          <a:extLst>
            <a:ext uri="{FF2B5EF4-FFF2-40B4-BE49-F238E27FC236}">
              <a16:creationId xmlns:a16="http://schemas.microsoft.com/office/drawing/2014/main" id="{ACF14C71-D141-4DF4-B8E4-EFA42D9748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52</xdr:col>
      <xdr:colOff>59690</xdr:colOff>
      <xdr:row>5</xdr:row>
      <xdr:rowOff>114308</xdr:rowOff>
    </xdr:from>
    <xdr:to>
      <xdr:col>59</xdr:col>
      <xdr:colOff>283029</xdr:colOff>
      <xdr:row>11</xdr:row>
      <xdr:rowOff>99241</xdr:rowOff>
    </xdr:to>
    <xdr:graphicFrame macro="">
      <xdr:nvGraphicFramePr>
        <xdr:cNvPr id="20" name="Chart 19">
          <a:extLst>
            <a:ext uri="{FF2B5EF4-FFF2-40B4-BE49-F238E27FC236}">
              <a16:creationId xmlns:a16="http://schemas.microsoft.com/office/drawing/2014/main" id="{FBFF5C0E-EBF1-4898-BF51-F6AFE68291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82</xdr:col>
      <xdr:colOff>62230</xdr:colOff>
      <xdr:row>3</xdr:row>
      <xdr:rowOff>609609</xdr:rowOff>
    </xdr:from>
    <xdr:to>
      <xdr:col>89</xdr:col>
      <xdr:colOff>359229</xdr:colOff>
      <xdr:row>10</xdr:row>
      <xdr:rowOff>470626</xdr:rowOff>
    </xdr:to>
    <xdr:graphicFrame macro="">
      <xdr:nvGraphicFramePr>
        <xdr:cNvPr id="21" name="Chart 20">
          <a:extLst>
            <a:ext uri="{FF2B5EF4-FFF2-40B4-BE49-F238E27FC236}">
              <a16:creationId xmlns:a16="http://schemas.microsoft.com/office/drawing/2014/main" id="{7C33A55F-A32D-4934-A4B7-DD9A8AA769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94</xdr:col>
      <xdr:colOff>60960</xdr:colOff>
      <xdr:row>3</xdr:row>
      <xdr:rowOff>381009</xdr:rowOff>
    </xdr:from>
    <xdr:to>
      <xdr:col>101</xdr:col>
      <xdr:colOff>472440</xdr:colOff>
      <xdr:row>10</xdr:row>
      <xdr:rowOff>609601</xdr:rowOff>
    </xdr:to>
    <xdr:graphicFrame macro="">
      <xdr:nvGraphicFramePr>
        <xdr:cNvPr id="22" name="Chart 21">
          <a:extLst>
            <a:ext uri="{FF2B5EF4-FFF2-40B4-BE49-F238E27FC236}">
              <a16:creationId xmlns:a16="http://schemas.microsoft.com/office/drawing/2014/main" id="{A03A8941-BA41-42B0-836C-B6DDC3C7FB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109</xdr:col>
      <xdr:colOff>127179</xdr:colOff>
      <xdr:row>5</xdr:row>
      <xdr:rowOff>23050</xdr:rowOff>
    </xdr:from>
    <xdr:to>
      <xdr:col>116</xdr:col>
      <xdr:colOff>592000</xdr:colOff>
      <xdr:row>12</xdr:row>
      <xdr:rowOff>152400</xdr:rowOff>
    </xdr:to>
    <xdr:graphicFrame macro="">
      <xdr:nvGraphicFramePr>
        <xdr:cNvPr id="23" name="Chart 22">
          <a:extLst>
            <a:ext uri="{FF2B5EF4-FFF2-40B4-BE49-F238E27FC236}">
              <a16:creationId xmlns:a16="http://schemas.microsoft.com/office/drawing/2014/main" id="{BA2C923F-F1CE-495B-B90A-5940177F83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124</xdr:col>
      <xdr:colOff>67309</xdr:colOff>
      <xdr:row>3</xdr:row>
      <xdr:rowOff>513089</xdr:rowOff>
    </xdr:from>
    <xdr:to>
      <xdr:col>132</xdr:col>
      <xdr:colOff>96520</xdr:colOff>
      <xdr:row>10</xdr:row>
      <xdr:rowOff>239487</xdr:rowOff>
    </xdr:to>
    <xdr:graphicFrame macro="">
      <xdr:nvGraphicFramePr>
        <xdr:cNvPr id="24" name="Chart 23">
          <a:extLst>
            <a:ext uri="{FF2B5EF4-FFF2-40B4-BE49-F238E27FC236}">
              <a16:creationId xmlns:a16="http://schemas.microsoft.com/office/drawing/2014/main" id="{0920C2A9-F6FC-444E-964D-5A0FD1CC81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104</xdr:col>
      <xdr:colOff>501649</xdr:colOff>
      <xdr:row>5</xdr:row>
      <xdr:rowOff>8</xdr:rowOff>
    </xdr:from>
    <xdr:to>
      <xdr:col>109</xdr:col>
      <xdr:colOff>0</xdr:colOff>
      <xdr:row>11</xdr:row>
      <xdr:rowOff>152400</xdr:rowOff>
    </xdr:to>
    <xdr:graphicFrame macro="">
      <xdr:nvGraphicFramePr>
        <xdr:cNvPr id="25" name="Chart 24">
          <a:extLst>
            <a:ext uri="{FF2B5EF4-FFF2-40B4-BE49-F238E27FC236}">
              <a16:creationId xmlns:a16="http://schemas.microsoft.com/office/drawing/2014/main" id="{DC1EE1B2-97F2-41C6-8417-9D85152BED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135</xdr:col>
      <xdr:colOff>81643</xdr:colOff>
      <xdr:row>4</xdr:row>
      <xdr:rowOff>68045</xdr:rowOff>
    </xdr:from>
    <xdr:to>
      <xdr:col>138</xdr:col>
      <xdr:colOff>408215</xdr:colOff>
      <xdr:row>10</xdr:row>
      <xdr:rowOff>925287</xdr:rowOff>
    </xdr:to>
    <xdr:graphicFrame macro="">
      <xdr:nvGraphicFramePr>
        <xdr:cNvPr id="28" name="Chart 27">
          <a:extLst>
            <a:ext uri="{FF2B5EF4-FFF2-40B4-BE49-F238E27FC236}">
              <a16:creationId xmlns:a16="http://schemas.microsoft.com/office/drawing/2014/main" id="{06C18228-9C79-4C20-944C-22513DEBB7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141</xdr:col>
      <xdr:colOff>81643</xdr:colOff>
      <xdr:row>4</xdr:row>
      <xdr:rowOff>54436</xdr:rowOff>
    </xdr:from>
    <xdr:to>
      <xdr:col>143</xdr:col>
      <xdr:colOff>911678</xdr:colOff>
      <xdr:row>10</xdr:row>
      <xdr:rowOff>979713</xdr:rowOff>
    </xdr:to>
    <xdr:graphicFrame macro="">
      <xdr:nvGraphicFramePr>
        <xdr:cNvPr id="29" name="Chart 28">
          <a:extLst>
            <a:ext uri="{FF2B5EF4-FFF2-40B4-BE49-F238E27FC236}">
              <a16:creationId xmlns:a16="http://schemas.microsoft.com/office/drawing/2014/main" id="{45963C99-2CB8-4F41-AE33-61A7529A96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67</xdr:col>
      <xdr:colOff>124460</xdr:colOff>
      <xdr:row>3</xdr:row>
      <xdr:rowOff>190500</xdr:rowOff>
    </xdr:from>
    <xdr:to>
      <xdr:col>74</xdr:col>
      <xdr:colOff>526143</xdr:colOff>
      <xdr:row>10</xdr:row>
      <xdr:rowOff>108943</xdr:rowOff>
    </xdr:to>
    <xdr:graphicFrame macro="">
      <xdr:nvGraphicFramePr>
        <xdr:cNvPr id="30" name="Chart 29">
          <a:extLst>
            <a:ext uri="{FF2B5EF4-FFF2-40B4-BE49-F238E27FC236}">
              <a16:creationId xmlns:a16="http://schemas.microsoft.com/office/drawing/2014/main" id="{9A513CB6-0A3D-46E8-BE22-27ACD0F87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66675</xdr:colOff>
      <xdr:row>7</xdr:row>
      <xdr:rowOff>95249</xdr:rowOff>
    </xdr:from>
    <xdr:to>
      <xdr:col>22</xdr:col>
      <xdr:colOff>790575</xdr:colOff>
      <xdr:row>27</xdr:row>
      <xdr:rowOff>104775</xdr:rowOff>
    </xdr:to>
    <xdr:graphicFrame macro="">
      <xdr:nvGraphicFramePr>
        <xdr:cNvPr id="2" name="Chart 1">
          <a:extLst>
            <a:ext uri="{FF2B5EF4-FFF2-40B4-BE49-F238E27FC236}">
              <a16:creationId xmlns:a16="http://schemas.microsoft.com/office/drawing/2014/main" id="{EA223901-E572-4DCC-82E6-1565C9879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66675</xdr:colOff>
      <xdr:row>7</xdr:row>
      <xdr:rowOff>95249</xdr:rowOff>
    </xdr:from>
    <xdr:to>
      <xdr:col>26</xdr:col>
      <xdr:colOff>790575</xdr:colOff>
      <xdr:row>27</xdr:row>
      <xdr:rowOff>104775</xdr:rowOff>
    </xdr:to>
    <xdr:graphicFrame macro="">
      <xdr:nvGraphicFramePr>
        <xdr:cNvPr id="3" name="Chart 2">
          <a:extLst>
            <a:ext uri="{FF2B5EF4-FFF2-40B4-BE49-F238E27FC236}">
              <a16:creationId xmlns:a16="http://schemas.microsoft.com/office/drawing/2014/main" id="{C1C23A81-7B53-496F-8F71-EC2F6B2F9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66675</xdr:colOff>
      <xdr:row>7</xdr:row>
      <xdr:rowOff>95249</xdr:rowOff>
    </xdr:from>
    <xdr:to>
      <xdr:col>30</xdr:col>
      <xdr:colOff>790575</xdr:colOff>
      <xdr:row>27</xdr:row>
      <xdr:rowOff>104775</xdr:rowOff>
    </xdr:to>
    <xdr:graphicFrame macro="">
      <xdr:nvGraphicFramePr>
        <xdr:cNvPr id="4" name="Chart 3">
          <a:extLst>
            <a:ext uri="{FF2B5EF4-FFF2-40B4-BE49-F238E27FC236}">
              <a16:creationId xmlns:a16="http://schemas.microsoft.com/office/drawing/2014/main" id="{7374C1B9-868F-4C43-A8E1-D4ADC5BB1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66675</xdr:colOff>
      <xdr:row>7</xdr:row>
      <xdr:rowOff>95249</xdr:rowOff>
    </xdr:from>
    <xdr:to>
      <xdr:col>34</xdr:col>
      <xdr:colOff>790575</xdr:colOff>
      <xdr:row>27</xdr:row>
      <xdr:rowOff>104775</xdr:rowOff>
    </xdr:to>
    <xdr:graphicFrame macro="">
      <xdr:nvGraphicFramePr>
        <xdr:cNvPr id="5" name="Chart 4">
          <a:extLst>
            <a:ext uri="{FF2B5EF4-FFF2-40B4-BE49-F238E27FC236}">
              <a16:creationId xmlns:a16="http://schemas.microsoft.com/office/drawing/2014/main" id="{77DFAAAD-FF7A-430F-BF14-BCA3F21A8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95250</xdr:colOff>
      <xdr:row>7</xdr:row>
      <xdr:rowOff>85724</xdr:rowOff>
    </xdr:from>
    <xdr:to>
      <xdr:col>39</xdr:col>
      <xdr:colOff>9525</xdr:colOff>
      <xdr:row>27</xdr:row>
      <xdr:rowOff>95250</xdr:rowOff>
    </xdr:to>
    <xdr:graphicFrame macro="">
      <xdr:nvGraphicFramePr>
        <xdr:cNvPr id="6" name="Chart 5">
          <a:extLst>
            <a:ext uri="{FF2B5EF4-FFF2-40B4-BE49-F238E27FC236}">
              <a16:creationId xmlns:a16="http://schemas.microsoft.com/office/drawing/2014/main" id="{3DB95386-592A-4009-BC03-F7377DCF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495300</xdr:colOff>
      <xdr:row>7</xdr:row>
      <xdr:rowOff>47625</xdr:rowOff>
    </xdr:from>
    <xdr:to>
      <xdr:col>18</xdr:col>
      <xdr:colOff>895350</xdr:colOff>
      <xdr:row>27</xdr:row>
      <xdr:rowOff>57151</xdr:rowOff>
    </xdr:to>
    <xdr:graphicFrame macro="">
      <xdr:nvGraphicFramePr>
        <xdr:cNvPr id="7" name="Chart 6">
          <a:extLst>
            <a:ext uri="{FF2B5EF4-FFF2-40B4-BE49-F238E27FC236}">
              <a16:creationId xmlns:a16="http://schemas.microsoft.com/office/drawing/2014/main" id="{1BA687D6-DB58-407C-A381-3BFAF52F14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41</xdr:col>
      <xdr:colOff>38100</xdr:colOff>
      <xdr:row>7</xdr:row>
      <xdr:rowOff>28581</xdr:rowOff>
    </xdr:from>
    <xdr:to>
      <xdr:col>44</xdr:col>
      <xdr:colOff>714375</xdr:colOff>
      <xdr:row>24</xdr:row>
      <xdr:rowOff>19056</xdr:rowOff>
    </xdr:to>
    <xdr:graphicFrame macro="">
      <xdr:nvGraphicFramePr>
        <xdr:cNvPr id="8" name="Chart 7">
          <a:extLst>
            <a:ext uri="{FF2B5EF4-FFF2-40B4-BE49-F238E27FC236}">
              <a16:creationId xmlns:a16="http://schemas.microsoft.com/office/drawing/2014/main" id="{B2856B35-276B-4C4A-B119-B87E53D52A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38100</xdr:colOff>
      <xdr:row>5</xdr:row>
      <xdr:rowOff>123825</xdr:rowOff>
    </xdr:from>
    <xdr:to>
      <xdr:col>7</xdr:col>
      <xdr:colOff>962025</xdr:colOff>
      <xdr:row>15</xdr:row>
      <xdr:rowOff>114300</xdr:rowOff>
    </xdr:to>
    <xdr:graphicFrame macro="">
      <xdr:nvGraphicFramePr>
        <xdr:cNvPr id="2" name="Chart 1">
          <a:extLst>
            <a:ext uri="{FF2B5EF4-FFF2-40B4-BE49-F238E27FC236}">
              <a16:creationId xmlns:a16="http://schemas.microsoft.com/office/drawing/2014/main" id="{AF007473-5A13-4680-8197-C1FA18BF6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38099</xdr:colOff>
      <xdr:row>5</xdr:row>
      <xdr:rowOff>133350</xdr:rowOff>
    </xdr:from>
    <xdr:to>
      <xdr:col>23</xdr:col>
      <xdr:colOff>0</xdr:colOff>
      <xdr:row>15</xdr:row>
      <xdr:rowOff>123825</xdr:rowOff>
    </xdr:to>
    <xdr:graphicFrame macro="">
      <xdr:nvGraphicFramePr>
        <xdr:cNvPr id="3" name="Chart 2">
          <a:extLst>
            <a:ext uri="{FF2B5EF4-FFF2-40B4-BE49-F238E27FC236}">
              <a16:creationId xmlns:a16="http://schemas.microsoft.com/office/drawing/2014/main" id="{4427A97F-6C94-4ECF-921E-77BD15B6C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38099</xdr:colOff>
      <xdr:row>16</xdr:row>
      <xdr:rowOff>19050</xdr:rowOff>
    </xdr:from>
    <xdr:to>
      <xdr:col>7</xdr:col>
      <xdr:colOff>981074</xdr:colOff>
      <xdr:row>27</xdr:row>
      <xdr:rowOff>9525</xdr:rowOff>
    </xdr:to>
    <xdr:graphicFrame macro="">
      <xdr:nvGraphicFramePr>
        <xdr:cNvPr id="4" name="Chart 3">
          <a:extLst>
            <a:ext uri="{FF2B5EF4-FFF2-40B4-BE49-F238E27FC236}">
              <a16:creationId xmlns:a16="http://schemas.microsoft.com/office/drawing/2014/main" id="{D5F2C518-A9B2-4925-8FF0-003E0D2A9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28574</xdr:colOff>
      <xdr:row>16</xdr:row>
      <xdr:rowOff>28575</xdr:rowOff>
    </xdr:from>
    <xdr:to>
      <xdr:col>22</xdr:col>
      <xdr:colOff>466724</xdr:colOff>
      <xdr:row>27</xdr:row>
      <xdr:rowOff>19050</xdr:rowOff>
    </xdr:to>
    <xdr:graphicFrame macro="">
      <xdr:nvGraphicFramePr>
        <xdr:cNvPr id="5" name="Chart 4">
          <a:extLst>
            <a:ext uri="{FF2B5EF4-FFF2-40B4-BE49-F238E27FC236}">
              <a16:creationId xmlns:a16="http://schemas.microsoft.com/office/drawing/2014/main" id="{0F4F1EFF-A9EC-4152-AEAF-61292E4F9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65405</xdr:colOff>
      <xdr:row>5</xdr:row>
      <xdr:rowOff>126371</xdr:rowOff>
    </xdr:from>
    <xdr:to>
      <xdr:col>11</xdr:col>
      <xdr:colOff>662940</xdr:colOff>
      <xdr:row>17</xdr:row>
      <xdr:rowOff>91440</xdr:rowOff>
    </xdr:to>
    <xdr:graphicFrame macro="">
      <xdr:nvGraphicFramePr>
        <xdr:cNvPr id="6" name="Chart 5">
          <a:extLst>
            <a:ext uri="{FF2B5EF4-FFF2-40B4-BE49-F238E27FC236}">
              <a16:creationId xmlns:a16="http://schemas.microsoft.com/office/drawing/2014/main" id="{F5779B0B-E57C-4B5B-B730-EB282AF21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152400</xdr:colOff>
      <xdr:row>5</xdr:row>
      <xdr:rowOff>139071</xdr:rowOff>
    </xdr:from>
    <xdr:to>
      <xdr:col>27</xdr:col>
      <xdr:colOff>398780</xdr:colOff>
      <xdr:row>18</xdr:row>
      <xdr:rowOff>0</xdr:rowOff>
    </xdr:to>
    <xdr:graphicFrame macro="">
      <xdr:nvGraphicFramePr>
        <xdr:cNvPr id="7" name="Chart 6">
          <a:extLst>
            <a:ext uri="{FF2B5EF4-FFF2-40B4-BE49-F238E27FC236}">
              <a16:creationId xmlns:a16="http://schemas.microsoft.com/office/drawing/2014/main" id="{918D43AB-7823-4031-8A7C-5FD31328B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97790</xdr:colOff>
      <xdr:row>5</xdr:row>
      <xdr:rowOff>97798</xdr:rowOff>
    </xdr:from>
    <xdr:to>
      <xdr:col>19</xdr:col>
      <xdr:colOff>581660</xdr:colOff>
      <xdr:row>19</xdr:row>
      <xdr:rowOff>0</xdr:rowOff>
    </xdr:to>
    <xdr:graphicFrame macro="">
      <xdr:nvGraphicFramePr>
        <xdr:cNvPr id="8" name="Chart 7">
          <a:extLst>
            <a:ext uri="{FF2B5EF4-FFF2-40B4-BE49-F238E27FC236}">
              <a16:creationId xmlns:a16="http://schemas.microsoft.com/office/drawing/2014/main" id="{19F037BF-E074-4470-86A8-178D0102ED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62230</xdr:colOff>
      <xdr:row>5</xdr:row>
      <xdr:rowOff>152408</xdr:rowOff>
    </xdr:from>
    <xdr:to>
      <xdr:col>35</xdr:col>
      <xdr:colOff>557530</xdr:colOff>
      <xdr:row>18</xdr:row>
      <xdr:rowOff>121920</xdr:rowOff>
    </xdr:to>
    <xdr:graphicFrame macro="">
      <xdr:nvGraphicFramePr>
        <xdr:cNvPr id="9" name="Chart 8">
          <a:extLst>
            <a:ext uri="{FF2B5EF4-FFF2-40B4-BE49-F238E27FC236}">
              <a16:creationId xmlns:a16="http://schemas.microsoft.com/office/drawing/2014/main" id="{6CA4103A-967C-4EDB-BACB-4ED8AB9F5B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38100</xdr:colOff>
      <xdr:row>4</xdr:row>
      <xdr:rowOff>85725</xdr:rowOff>
    </xdr:from>
    <xdr:to>
      <xdr:col>8</xdr:col>
      <xdr:colOff>403412</xdr:colOff>
      <xdr:row>13</xdr:row>
      <xdr:rowOff>76200</xdr:rowOff>
    </xdr:to>
    <xdr:graphicFrame macro="">
      <xdr:nvGraphicFramePr>
        <xdr:cNvPr id="2" name="Chart 1">
          <a:extLst>
            <a:ext uri="{FF2B5EF4-FFF2-40B4-BE49-F238E27FC236}">
              <a16:creationId xmlns:a16="http://schemas.microsoft.com/office/drawing/2014/main" id="{504212C8-BF9E-457A-8D1E-5D6EEFD60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47626</xdr:colOff>
      <xdr:row>7</xdr:row>
      <xdr:rowOff>38100</xdr:rowOff>
    </xdr:from>
    <xdr:to>
      <xdr:col>23</xdr:col>
      <xdr:colOff>895351</xdr:colOff>
      <xdr:row>18</xdr:row>
      <xdr:rowOff>28575</xdr:rowOff>
    </xdr:to>
    <xdr:graphicFrame macro="">
      <xdr:nvGraphicFramePr>
        <xdr:cNvPr id="3" name="Chart 2">
          <a:extLst>
            <a:ext uri="{FF2B5EF4-FFF2-40B4-BE49-F238E27FC236}">
              <a16:creationId xmlns:a16="http://schemas.microsoft.com/office/drawing/2014/main" id="{2540058B-2817-483D-825E-262B1A17A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61912</xdr:colOff>
      <xdr:row>4</xdr:row>
      <xdr:rowOff>109537</xdr:rowOff>
    </xdr:from>
    <xdr:to>
      <xdr:col>38</xdr:col>
      <xdr:colOff>485775</xdr:colOff>
      <xdr:row>13</xdr:row>
      <xdr:rowOff>238125</xdr:rowOff>
    </xdr:to>
    <xdr:graphicFrame macro="">
      <xdr:nvGraphicFramePr>
        <xdr:cNvPr id="4" name="Chart 3">
          <a:extLst>
            <a:ext uri="{FF2B5EF4-FFF2-40B4-BE49-F238E27FC236}">
              <a16:creationId xmlns:a16="http://schemas.microsoft.com/office/drawing/2014/main" id="{91405562-3574-45C0-9CE3-F64505C1E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62603</xdr:colOff>
      <xdr:row>3</xdr:row>
      <xdr:rowOff>162266</xdr:rowOff>
    </xdr:from>
    <xdr:to>
      <xdr:col>42</xdr:col>
      <xdr:colOff>557903</xdr:colOff>
      <xdr:row>15</xdr:row>
      <xdr:rowOff>152399</xdr:rowOff>
    </xdr:to>
    <xdr:graphicFrame macro="">
      <xdr:nvGraphicFramePr>
        <xdr:cNvPr id="5" name="Chart 4">
          <a:extLst>
            <a:ext uri="{FF2B5EF4-FFF2-40B4-BE49-F238E27FC236}">
              <a16:creationId xmlns:a16="http://schemas.microsoft.com/office/drawing/2014/main" id="{CFE3D5E6-B186-44C6-9C32-313552462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94130</xdr:colOff>
      <xdr:row>6</xdr:row>
      <xdr:rowOff>136720</xdr:rowOff>
    </xdr:from>
    <xdr:to>
      <xdr:col>27</xdr:col>
      <xdr:colOff>627529</xdr:colOff>
      <xdr:row>21</xdr:row>
      <xdr:rowOff>79413</xdr:rowOff>
    </xdr:to>
    <xdr:graphicFrame macro="">
      <xdr:nvGraphicFramePr>
        <xdr:cNvPr id="6" name="Chart 5">
          <a:extLst>
            <a:ext uri="{FF2B5EF4-FFF2-40B4-BE49-F238E27FC236}">
              <a16:creationId xmlns:a16="http://schemas.microsoft.com/office/drawing/2014/main" id="{641A1E72-6484-4B20-8702-33728939CD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59840</xdr:colOff>
      <xdr:row>3</xdr:row>
      <xdr:rowOff>302565</xdr:rowOff>
    </xdr:from>
    <xdr:to>
      <xdr:col>20</xdr:col>
      <xdr:colOff>394747</xdr:colOff>
      <xdr:row>15</xdr:row>
      <xdr:rowOff>224118</xdr:rowOff>
    </xdr:to>
    <xdr:graphicFrame macro="">
      <xdr:nvGraphicFramePr>
        <xdr:cNvPr id="7" name="Chart 6">
          <a:extLst>
            <a:ext uri="{FF2B5EF4-FFF2-40B4-BE49-F238E27FC236}">
              <a16:creationId xmlns:a16="http://schemas.microsoft.com/office/drawing/2014/main" id="{E2F6831A-5EF3-48E2-A34F-6884AC859C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537883</xdr:colOff>
      <xdr:row>4</xdr:row>
      <xdr:rowOff>67242</xdr:rowOff>
    </xdr:from>
    <xdr:to>
      <xdr:col>12</xdr:col>
      <xdr:colOff>358588</xdr:colOff>
      <xdr:row>15</xdr:row>
      <xdr:rowOff>100853</xdr:rowOff>
    </xdr:to>
    <xdr:graphicFrame macro="">
      <xdr:nvGraphicFramePr>
        <xdr:cNvPr id="8" name="Chart 7">
          <a:extLst>
            <a:ext uri="{FF2B5EF4-FFF2-40B4-BE49-F238E27FC236}">
              <a16:creationId xmlns:a16="http://schemas.microsoft.com/office/drawing/2014/main" id="{B0D74FA6-8E57-45DF-8F42-95EB3A8644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127075</xdr:colOff>
      <xdr:row>6</xdr:row>
      <xdr:rowOff>174222</xdr:rowOff>
    </xdr:from>
    <xdr:to>
      <xdr:col>35</xdr:col>
      <xdr:colOff>459442</xdr:colOff>
      <xdr:row>21</xdr:row>
      <xdr:rowOff>116542</xdr:rowOff>
    </xdr:to>
    <xdr:graphicFrame macro="">
      <xdr:nvGraphicFramePr>
        <xdr:cNvPr id="9" name="Chart 8">
          <a:extLst>
            <a:ext uri="{FF2B5EF4-FFF2-40B4-BE49-F238E27FC236}">
              <a16:creationId xmlns:a16="http://schemas.microsoft.com/office/drawing/2014/main" id="{722FB959-8DAA-4C4E-9308-8E4A4125E7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158152</xdr:colOff>
      <xdr:row>3</xdr:row>
      <xdr:rowOff>170635</xdr:rowOff>
    </xdr:from>
    <xdr:to>
      <xdr:col>50</xdr:col>
      <xdr:colOff>493058</xdr:colOff>
      <xdr:row>15</xdr:row>
      <xdr:rowOff>170329</xdr:rowOff>
    </xdr:to>
    <xdr:graphicFrame macro="">
      <xdr:nvGraphicFramePr>
        <xdr:cNvPr id="10" name="Chart 9">
          <a:extLst>
            <a:ext uri="{FF2B5EF4-FFF2-40B4-BE49-F238E27FC236}">
              <a16:creationId xmlns:a16="http://schemas.microsoft.com/office/drawing/2014/main" id="{3832273B-C692-4F1A-823E-69531160AC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6349</xdr:colOff>
      <xdr:row>7</xdr:row>
      <xdr:rowOff>142875</xdr:rowOff>
    </xdr:from>
    <xdr:to>
      <xdr:col>21</xdr:col>
      <xdr:colOff>1130300</xdr:colOff>
      <xdr:row>10</xdr:row>
      <xdr:rowOff>628651</xdr:rowOff>
    </xdr:to>
    <xdr:graphicFrame macro="">
      <xdr:nvGraphicFramePr>
        <xdr:cNvPr id="2" name="Chart 1">
          <a:extLst>
            <a:ext uri="{FF2B5EF4-FFF2-40B4-BE49-F238E27FC236}">
              <a16:creationId xmlns:a16="http://schemas.microsoft.com/office/drawing/2014/main" id="{16AF9C5B-55F9-4D53-852C-DC8BCC0A6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61913</xdr:colOff>
      <xdr:row>5</xdr:row>
      <xdr:rowOff>47625</xdr:rowOff>
    </xdr:from>
    <xdr:to>
      <xdr:col>35</xdr:col>
      <xdr:colOff>2057401</xdr:colOff>
      <xdr:row>9</xdr:row>
      <xdr:rowOff>504825</xdr:rowOff>
    </xdr:to>
    <xdr:graphicFrame macro="">
      <xdr:nvGraphicFramePr>
        <xdr:cNvPr id="3" name="Chart 2">
          <a:extLst>
            <a:ext uri="{FF2B5EF4-FFF2-40B4-BE49-F238E27FC236}">
              <a16:creationId xmlns:a16="http://schemas.microsoft.com/office/drawing/2014/main" id="{BD9CC74B-3B91-4E47-8846-C5E44C1EE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88</xdr:col>
      <xdr:colOff>52387</xdr:colOff>
      <xdr:row>5</xdr:row>
      <xdr:rowOff>57150</xdr:rowOff>
    </xdr:from>
    <xdr:to>
      <xdr:col>89</xdr:col>
      <xdr:colOff>504825</xdr:colOff>
      <xdr:row>9</xdr:row>
      <xdr:rowOff>504825</xdr:rowOff>
    </xdr:to>
    <xdr:graphicFrame macro="">
      <xdr:nvGraphicFramePr>
        <xdr:cNvPr id="4" name="Chart 3">
          <a:extLst>
            <a:ext uri="{FF2B5EF4-FFF2-40B4-BE49-F238E27FC236}">
              <a16:creationId xmlns:a16="http://schemas.microsoft.com/office/drawing/2014/main" id="{C3A6B257-B7AC-418D-B2EB-E97E3E3B7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99</xdr:col>
      <xdr:colOff>57150</xdr:colOff>
      <xdr:row>5</xdr:row>
      <xdr:rowOff>47625</xdr:rowOff>
    </xdr:from>
    <xdr:to>
      <xdr:col>100</xdr:col>
      <xdr:colOff>504825</xdr:colOff>
      <xdr:row>9</xdr:row>
      <xdr:rowOff>495300</xdr:rowOff>
    </xdr:to>
    <xdr:graphicFrame macro="">
      <xdr:nvGraphicFramePr>
        <xdr:cNvPr id="5" name="Chart 4">
          <a:extLst>
            <a:ext uri="{FF2B5EF4-FFF2-40B4-BE49-F238E27FC236}">
              <a16:creationId xmlns:a16="http://schemas.microsoft.com/office/drawing/2014/main" id="{4970ED7F-5251-4797-9B66-EB819AA4F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110</xdr:col>
      <xdr:colOff>38099</xdr:colOff>
      <xdr:row>5</xdr:row>
      <xdr:rowOff>38101</xdr:rowOff>
    </xdr:from>
    <xdr:to>
      <xdr:col>111</xdr:col>
      <xdr:colOff>485775</xdr:colOff>
      <xdr:row>9</xdr:row>
      <xdr:rowOff>646044</xdr:rowOff>
    </xdr:to>
    <xdr:graphicFrame macro="">
      <xdr:nvGraphicFramePr>
        <xdr:cNvPr id="6" name="Chart 5">
          <a:extLst>
            <a:ext uri="{FF2B5EF4-FFF2-40B4-BE49-F238E27FC236}">
              <a16:creationId xmlns:a16="http://schemas.microsoft.com/office/drawing/2014/main" id="{5742E02A-B343-4325-932A-E55B430F4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73</xdr:col>
      <xdr:colOff>47624</xdr:colOff>
      <xdr:row>3</xdr:row>
      <xdr:rowOff>319087</xdr:rowOff>
    </xdr:from>
    <xdr:to>
      <xdr:col>74</xdr:col>
      <xdr:colOff>542925</xdr:colOff>
      <xdr:row>9</xdr:row>
      <xdr:rowOff>81642</xdr:rowOff>
    </xdr:to>
    <xdr:graphicFrame macro="">
      <xdr:nvGraphicFramePr>
        <xdr:cNvPr id="7" name="Chart 6">
          <a:extLst>
            <a:ext uri="{FF2B5EF4-FFF2-40B4-BE49-F238E27FC236}">
              <a16:creationId xmlns:a16="http://schemas.microsoft.com/office/drawing/2014/main" id="{83098A46-E869-4203-A5CA-793CDD6C2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130</xdr:col>
      <xdr:colOff>145675</xdr:colOff>
      <xdr:row>1</xdr:row>
      <xdr:rowOff>21290</xdr:rowOff>
    </xdr:from>
    <xdr:to>
      <xdr:col>130</xdr:col>
      <xdr:colOff>3552825</xdr:colOff>
      <xdr:row>9</xdr:row>
      <xdr:rowOff>1047750</xdr:rowOff>
    </xdr:to>
    <xdr:graphicFrame macro="">
      <xdr:nvGraphicFramePr>
        <xdr:cNvPr id="8" name="Chart 7">
          <a:extLst>
            <a:ext uri="{FF2B5EF4-FFF2-40B4-BE49-F238E27FC236}">
              <a16:creationId xmlns:a16="http://schemas.microsoft.com/office/drawing/2014/main" id="{5D5A0C80-BA87-486B-BFC4-8AAF1DBDE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133</xdr:col>
      <xdr:colOff>171449</xdr:colOff>
      <xdr:row>1</xdr:row>
      <xdr:rowOff>43701</xdr:rowOff>
    </xdr:from>
    <xdr:to>
      <xdr:col>133</xdr:col>
      <xdr:colOff>3914775</xdr:colOff>
      <xdr:row>9</xdr:row>
      <xdr:rowOff>1115785</xdr:rowOff>
    </xdr:to>
    <xdr:graphicFrame macro="">
      <xdr:nvGraphicFramePr>
        <xdr:cNvPr id="9" name="Chart 8">
          <a:extLst>
            <a:ext uri="{FF2B5EF4-FFF2-40B4-BE49-F238E27FC236}">
              <a16:creationId xmlns:a16="http://schemas.microsoft.com/office/drawing/2014/main" id="{46B46F22-0E01-4715-AAC0-500639B50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136</xdr:col>
      <xdr:colOff>276224</xdr:colOff>
      <xdr:row>1</xdr:row>
      <xdr:rowOff>176211</xdr:rowOff>
    </xdr:from>
    <xdr:to>
      <xdr:col>143</xdr:col>
      <xdr:colOff>342899</xdr:colOff>
      <xdr:row>9</xdr:row>
      <xdr:rowOff>333375</xdr:rowOff>
    </xdr:to>
    <xdr:graphicFrame macro="">
      <xdr:nvGraphicFramePr>
        <xdr:cNvPr id="10" name="Chart 9">
          <a:extLst>
            <a:ext uri="{FF2B5EF4-FFF2-40B4-BE49-F238E27FC236}">
              <a16:creationId xmlns:a16="http://schemas.microsoft.com/office/drawing/2014/main" id="{E50B1EF8-EE57-4435-9817-0153EB531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136</xdr:col>
      <xdr:colOff>280987</xdr:colOff>
      <xdr:row>6</xdr:row>
      <xdr:rowOff>430696</xdr:rowOff>
    </xdr:from>
    <xdr:to>
      <xdr:col>136</xdr:col>
      <xdr:colOff>590553</xdr:colOff>
      <xdr:row>9</xdr:row>
      <xdr:rowOff>58615</xdr:rowOff>
    </xdr:to>
    <xdr:sp macro="" textlink="">
      <xdr:nvSpPr>
        <xdr:cNvPr id="11" name="Rectangle 10">
          <a:extLst>
            <a:ext uri="{FF2B5EF4-FFF2-40B4-BE49-F238E27FC236}">
              <a16:creationId xmlns:a16="http://schemas.microsoft.com/office/drawing/2014/main" id="{E8C81431-3559-48AE-A720-38DA697D9369}"/>
            </a:ext>
          </a:extLst>
        </xdr:cNvPr>
        <xdr:cNvSpPr/>
      </xdr:nvSpPr>
      <xdr:spPr>
        <a:xfrm rot="16200000">
          <a:off x="137934211" y="4532919"/>
          <a:ext cx="1468442" cy="309566"/>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money factors</a:t>
          </a:r>
        </a:p>
      </xdr:txBody>
    </xdr:sp>
    <xdr:clientData/>
  </xdr:twoCellAnchor>
  <xdr:twoCellAnchor>
    <xdr:from>
      <xdr:col>136</xdr:col>
      <xdr:colOff>276228</xdr:colOff>
      <xdr:row>3</xdr:row>
      <xdr:rowOff>1100667</xdr:rowOff>
    </xdr:from>
    <xdr:to>
      <xdr:col>136</xdr:col>
      <xdr:colOff>590554</xdr:colOff>
      <xdr:row>6</xdr:row>
      <xdr:rowOff>355599</xdr:rowOff>
    </xdr:to>
    <xdr:sp macro="" textlink="">
      <xdr:nvSpPr>
        <xdr:cNvPr id="12" name="Rectangle 11">
          <a:extLst>
            <a:ext uri="{FF2B5EF4-FFF2-40B4-BE49-F238E27FC236}">
              <a16:creationId xmlns:a16="http://schemas.microsoft.com/office/drawing/2014/main" id="{37EEF3C7-2C4B-468D-A101-F98BE2844273}"/>
            </a:ext>
          </a:extLst>
        </xdr:cNvPr>
        <xdr:cNvSpPr/>
      </xdr:nvSpPr>
      <xdr:spPr>
        <a:xfrm rot="16200000">
          <a:off x="137940525" y="3170237"/>
          <a:ext cx="1100665" cy="314326"/>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technical  fact.</a:t>
          </a:r>
        </a:p>
      </xdr:txBody>
    </xdr:sp>
    <xdr:clientData/>
  </xdr:twoCellAnchor>
  <xdr:twoCellAnchor>
    <xdr:from>
      <xdr:col>136</xdr:col>
      <xdr:colOff>271669</xdr:colOff>
      <xdr:row>2</xdr:row>
      <xdr:rowOff>445477</xdr:rowOff>
    </xdr:from>
    <xdr:to>
      <xdr:col>136</xdr:col>
      <xdr:colOff>590555</xdr:colOff>
      <xdr:row>3</xdr:row>
      <xdr:rowOff>1032933</xdr:rowOff>
    </xdr:to>
    <xdr:sp macro="" textlink="">
      <xdr:nvSpPr>
        <xdr:cNvPr id="13" name="Rectangle 12">
          <a:extLst>
            <a:ext uri="{FF2B5EF4-FFF2-40B4-BE49-F238E27FC236}">
              <a16:creationId xmlns:a16="http://schemas.microsoft.com/office/drawing/2014/main" id="{22A5A001-7C69-4D12-B5E0-DD0D1071E823}"/>
            </a:ext>
          </a:extLst>
        </xdr:cNvPr>
        <xdr:cNvSpPr/>
      </xdr:nvSpPr>
      <xdr:spPr>
        <a:xfrm rot="16200000">
          <a:off x="138035938" y="1922055"/>
          <a:ext cx="1255671" cy="318886"/>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n>
                <a:noFill/>
              </a:ln>
            </a:rPr>
            <a:t>human factors</a:t>
          </a:r>
        </a:p>
      </xdr:txBody>
    </xdr:sp>
    <xdr:clientData/>
  </xdr:twoCellAnchor>
  <xdr:twoCellAnchor>
    <xdr:from>
      <xdr:col>136</xdr:col>
      <xdr:colOff>271460</xdr:colOff>
      <xdr:row>3</xdr:row>
      <xdr:rowOff>1105761</xdr:rowOff>
    </xdr:from>
    <xdr:to>
      <xdr:col>143</xdr:col>
      <xdr:colOff>340659</xdr:colOff>
      <xdr:row>3</xdr:row>
      <xdr:rowOff>1105761</xdr:rowOff>
    </xdr:to>
    <xdr:cxnSp macro="">
      <xdr:nvCxnSpPr>
        <xdr:cNvPr id="14" name="Straight Connector 13">
          <a:extLst>
            <a:ext uri="{FF2B5EF4-FFF2-40B4-BE49-F238E27FC236}">
              <a16:creationId xmlns:a16="http://schemas.microsoft.com/office/drawing/2014/main" id="{7BFAF39D-81AB-478D-9196-AD96895AEC83}"/>
            </a:ext>
          </a:extLst>
        </xdr:cNvPr>
        <xdr:cNvCxnSpPr/>
      </xdr:nvCxnSpPr>
      <xdr:spPr>
        <a:xfrm>
          <a:off x="138390684" y="2782161"/>
          <a:ext cx="4430528" cy="0"/>
        </a:xfrm>
        <a:prstGeom prst="line">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271460</xdr:colOff>
      <xdr:row>6</xdr:row>
      <xdr:rowOff>355448</xdr:rowOff>
    </xdr:from>
    <xdr:to>
      <xdr:col>143</xdr:col>
      <xdr:colOff>345141</xdr:colOff>
      <xdr:row>6</xdr:row>
      <xdr:rowOff>355448</xdr:rowOff>
    </xdr:to>
    <xdr:cxnSp macro="">
      <xdr:nvCxnSpPr>
        <xdr:cNvPr id="15" name="Straight Connector 14">
          <a:extLst>
            <a:ext uri="{FF2B5EF4-FFF2-40B4-BE49-F238E27FC236}">
              <a16:creationId xmlns:a16="http://schemas.microsoft.com/office/drawing/2014/main" id="{12355DD9-05AF-4153-B82C-BC0C385311B9}"/>
            </a:ext>
          </a:extLst>
        </xdr:cNvPr>
        <xdr:cNvCxnSpPr/>
      </xdr:nvCxnSpPr>
      <xdr:spPr>
        <a:xfrm>
          <a:off x="138390684" y="3874095"/>
          <a:ext cx="4435010" cy="0"/>
        </a:xfrm>
        <a:prstGeom prst="line">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271460</xdr:colOff>
      <xdr:row>2</xdr:row>
      <xdr:rowOff>453930</xdr:rowOff>
    </xdr:from>
    <xdr:to>
      <xdr:col>143</xdr:col>
      <xdr:colOff>342900</xdr:colOff>
      <xdr:row>2</xdr:row>
      <xdr:rowOff>453930</xdr:rowOff>
    </xdr:to>
    <xdr:cxnSp macro="">
      <xdr:nvCxnSpPr>
        <xdr:cNvPr id="16" name="Straight Connector 15">
          <a:extLst>
            <a:ext uri="{FF2B5EF4-FFF2-40B4-BE49-F238E27FC236}">
              <a16:creationId xmlns:a16="http://schemas.microsoft.com/office/drawing/2014/main" id="{7CE646FB-42AB-4B78-B100-B2B35CBA6F1F}"/>
            </a:ext>
          </a:extLst>
        </xdr:cNvPr>
        <xdr:cNvCxnSpPr/>
      </xdr:nvCxnSpPr>
      <xdr:spPr>
        <a:xfrm>
          <a:off x="138328927" y="1461463"/>
          <a:ext cx="4457173" cy="0"/>
        </a:xfrm>
        <a:prstGeom prst="line">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271460</xdr:colOff>
      <xdr:row>9</xdr:row>
      <xdr:rowOff>53216</xdr:rowOff>
    </xdr:from>
    <xdr:to>
      <xdr:col>143</xdr:col>
      <xdr:colOff>342900</xdr:colOff>
      <xdr:row>9</xdr:row>
      <xdr:rowOff>53216</xdr:rowOff>
    </xdr:to>
    <xdr:cxnSp macro="">
      <xdr:nvCxnSpPr>
        <xdr:cNvPr id="17" name="Straight Connector 16">
          <a:extLst>
            <a:ext uri="{FF2B5EF4-FFF2-40B4-BE49-F238E27FC236}">
              <a16:creationId xmlns:a16="http://schemas.microsoft.com/office/drawing/2014/main" id="{EC24C2F2-E139-448C-BD70-06FF0B4DBEB8}"/>
            </a:ext>
          </a:extLst>
        </xdr:cNvPr>
        <xdr:cNvCxnSpPr/>
      </xdr:nvCxnSpPr>
      <xdr:spPr>
        <a:xfrm>
          <a:off x="138274423" y="5415791"/>
          <a:ext cx="4438652" cy="0"/>
        </a:xfrm>
        <a:prstGeom prst="line">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20229</xdr:colOff>
      <xdr:row>3</xdr:row>
      <xdr:rowOff>756472</xdr:rowOff>
    </xdr:from>
    <xdr:to>
      <xdr:col>41</xdr:col>
      <xdr:colOff>7802</xdr:colOff>
      <xdr:row>9</xdr:row>
      <xdr:rowOff>1240972</xdr:rowOff>
    </xdr:to>
    <xdr:graphicFrame macro="">
      <xdr:nvGraphicFramePr>
        <xdr:cNvPr id="27" name="Chart 26">
          <a:extLst>
            <a:ext uri="{FF2B5EF4-FFF2-40B4-BE49-F238E27FC236}">
              <a16:creationId xmlns:a16="http://schemas.microsoft.com/office/drawing/2014/main" id="{DC660D4E-91EF-4234-B73C-E42E8B244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75</xdr:col>
      <xdr:colOff>62865</xdr:colOff>
      <xdr:row>3</xdr:row>
      <xdr:rowOff>325124</xdr:rowOff>
    </xdr:from>
    <xdr:to>
      <xdr:col>78</xdr:col>
      <xdr:colOff>515621</xdr:colOff>
      <xdr:row>9</xdr:row>
      <xdr:rowOff>1012371</xdr:rowOff>
    </xdr:to>
    <xdr:graphicFrame macro="">
      <xdr:nvGraphicFramePr>
        <xdr:cNvPr id="28" name="Chart 27">
          <a:extLst>
            <a:ext uri="{FF2B5EF4-FFF2-40B4-BE49-F238E27FC236}">
              <a16:creationId xmlns:a16="http://schemas.microsoft.com/office/drawing/2014/main" id="{45BC1929-400F-4EC0-9D68-0243F61B9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112</xdr:col>
      <xdr:colOff>24765</xdr:colOff>
      <xdr:row>3</xdr:row>
      <xdr:rowOff>373020</xdr:rowOff>
    </xdr:from>
    <xdr:to>
      <xdr:col>115</xdr:col>
      <xdr:colOff>609600</xdr:colOff>
      <xdr:row>9</xdr:row>
      <xdr:rowOff>925286</xdr:rowOff>
    </xdr:to>
    <xdr:graphicFrame macro="">
      <xdr:nvGraphicFramePr>
        <xdr:cNvPr id="29" name="Chart 28">
          <a:extLst>
            <a:ext uri="{FF2B5EF4-FFF2-40B4-BE49-F238E27FC236}">
              <a16:creationId xmlns:a16="http://schemas.microsoft.com/office/drawing/2014/main" id="{31CC8E56-DA64-4D80-A6F2-18DCA4E9B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124</xdr:col>
      <xdr:colOff>85183</xdr:colOff>
      <xdr:row>9</xdr:row>
      <xdr:rowOff>120863</xdr:rowOff>
    </xdr:from>
    <xdr:to>
      <xdr:col>127</xdr:col>
      <xdr:colOff>534210</xdr:colOff>
      <xdr:row>12</xdr:row>
      <xdr:rowOff>217715</xdr:rowOff>
    </xdr:to>
    <xdr:graphicFrame macro="">
      <xdr:nvGraphicFramePr>
        <xdr:cNvPr id="30" name="Chart 29">
          <a:extLst>
            <a:ext uri="{FF2B5EF4-FFF2-40B4-BE49-F238E27FC236}">
              <a16:creationId xmlns:a16="http://schemas.microsoft.com/office/drawing/2014/main" id="{84FDA1FD-9982-4AB7-88C0-D6302A6B9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50</xdr:col>
      <xdr:colOff>76199</xdr:colOff>
      <xdr:row>6</xdr:row>
      <xdr:rowOff>133349</xdr:rowOff>
    </xdr:from>
    <xdr:to>
      <xdr:col>51</xdr:col>
      <xdr:colOff>635000</xdr:colOff>
      <xdr:row>10</xdr:row>
      <xdr:rowOff>215901</xdr:rowOff>
    </xdr:to>
    <xdr:graphicFrame macro="">
      <xdr:nvGraphicFramePr>
        <xdr:cNvPr id="31" name="Chart 30">
          <a:extLst>
            <a:ext uri="{FF2B5EF4-FFF2-40B4-BE49-F238E27FC236}">
              <a16:creationId xmlns:a16="http://schemas.microsoft.com/office/drawing/2014/main" id="{F01D75CD-8902-4619-9A62-580A556C0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175986</xdr:colOff>
      <xdr:row>6</xdr:row>
      <xdr:rowOff>305353</xdr:rowOff>
    </xdr:from>
    <xdr:to>
      <xdr:col>25</xdr:col>
      <xdr:colOff>603976</xdr:colOff>
      <xdr:row>10</xdr:row>
      <xdr:rowOff>707571</xdr:rowOff>
    </xdr:to>
    <xdr:graphicFrame macro="">
      <xdr:nvGraphicFramePr>
        <xdr:cNvPr id="32" name="Chart 31">
          <a:extLst>
            <a:ext uri="{FF2B5EF4-FFF2-40B4-BE49-F238E27FC236}">
              <a16:creationId xmlns:a16="http://schemas.microsoft.com/office/drawing/2014/main" id="{669EE2A6-48CD-4A24-9757-CC68D1ACD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182425</xdr:colOff>
      <xdr:row>6</xdr:row>
      <xdr:rowOff>330390</xdr:rowOff>
    </xdr:from>
    <xdr:to>
      <xdr:col>32</xdr:col>
      <xdr:colOff>512807</xdr:colOff>
      <xdr:row>10</xdr:row>
      <xdr:rowOff>751115</xdr:rowOff>
    </xdr:to>
    <xdr:graphicFrame macro="">
      <xdr:nvGraphicFramePr>
        <xdr:cNvPr id="33" name="Chart 32">
          <a:extLst>
            <a:ext uri="{FF2B5EF4-FFF2-40B4-BE49-F238E27FC236}">
              <a16:creationId xmlns:a16="http://schemas.microsoft.com/office/drawing/2014/main" id="{E15A2037-E090-4183-944A-5CCA70B2DA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41</xdr:col>
      <xdr:colOff>137792</xdr:colOff>
      <xdr:row>3</xdr:row>
      <xdr:rowOff>762009</xdr:rowOff>
    </xdr:from>
    <xdr:to>
      <xdr:col>48</xdr:col>
      <xdr:colOff>84181</xdr:colOff>
      <xdr:row>9</xdr:row>
      <xdr:rowOff>1306286</xdr:rowOff>
    </xdr:to>
    <xdr:graphicFrame macro="">
      <xdr:nvGraphicFramePr>
        <xdr:cNvPr id="34" name="Chart 33">
          <a:extLst>
            <a:ext uri="{FF2B5EF4-FFF2-40B4-BE49-F238E27FC236}">
              <a16:creationId xmlns:a16="http://schemas.microsoft.com/office/drawing/2014/main" id="{07F0899D-F1E2-40F4-B5A5-D62B2E2455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79</xdr:col>
      <xdr:colOff>181155</xdr:colOff>
      <xdr:row>3</xdr:row>
      <xdr:rowOff>315513</xdr:rowOff>
    </xdr:from>
    <xdr:to>
      <xdr:col>85</xdr:col>
      <xdr:colOff>315686</xdr:colOff>
      <xdr:row>9</xdr:row>
      <xdr:rowOff>1016183</xdr:rowOff>
    </xdr:to>
    <xdr:graphicFrame macro="">
      <xdr:nvGraphicFramePr>
        <xdr:cNvPr id="35" name="Chart 34">
          <a:extLst>
            <a:ext uri="{FF2B5EF4-FFF2-40B4-BE49-F238E27FC236}">
              <a16:creationId xmlns:a16="http://schemas.microsoft.com/office/drawing/2014/main" id="{3000D767-90F7-43EE-979C-1301A0F3A1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90</xdr:col>
      <xdr:colOff>99512</xdr:colOff>
      <xdr:row>3</xdr:row>
      <xdr:rowOff>356334</xdr:rowOff>
    </xdr:from>
    <xdr:to>
      <xdr:col>97</xdr:col>
      <xdr:colOff>82912</xdr:colOff>
      <xdr:row>9</xdr:row>
      <xdr:rowOff>1034143</xdr:rowOff>
    </xdr:to>
    <xdr:graphicFrame macro="">
      <xdr:nvGraphicFramePr>
        <xdr:cNvPr id="36" name="Chart 35">
          <a:extLst>
            <a:ext uri="{FF2B5EF4-FFF2-40B4-BE49-F238E27FC236}">
              <a16:creationId xmlns:a16="http://schemas.microsoft.com/office/drawing/2014/main" id="{38DF7DF6-48AB-4CAE-B3E7-96B070DE7D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101</xdr:col>
      <xdr:colOff>140334</xdr:colOff>
      <xdr:row>3</xdr:row>
      <xdr:rowOff>340179</xdr:rowOff>
    </xdr:from>
    <xdr:to>
      <xdr:col>108</xdr:col>
      <xdr:colOff>140334</xdr:colOff>
      <xdr:row>9</xdr:row>
      <xdr:rowOff>1077686</xdr:rowOff>
    </xdr:to>
    <xdr:graphicFrame macro="">
      <xdr:nvGraphicFramePr>
        <xdr:cNvPr id="37" name="Chart 36">
          <a:extLst>
            <a:ext uri="{FF2B5EF4-FFF2-40B4-BE49-F238E27FC236}">
              <a16:creationId xmlns:a16="http://schemas.microsoft.com/office/drawing/2014/main" id="{22AD9073-4350-4845-8084-ED1848C78B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116</xdr:col>
      <xdr:colOff>96973</xdr:colOff>
      <xdr:row>3</xdr:row>
      <xdr:rowOff>403143</xdr:rowOff>
    </xdr:from>
    <xdr:to>
      <xdr:col>123</xdr:col>
      <xdr:colOff>502013</xdr:colOff>
      <xdr:row>9</xdr:row>
      <xdr:rowOff>1066800</xdr:rowOff>
    </xdr:to>
    <xdr:graphicFrame macro="">
      <xdr:nvGraphicFramePr>
        <xdr:cNvPr id="38" name="Chart 37">
          <a:extLst>
            <a:ext uri="{FF2B5EF4-FFF2-40B4-BE49-F238E27FC236}">
              <a16:creationId xmlns:a16="http://schemas.microsoft.com/office/drawing/2014/main" id="{899EF039-0EC9-4EE7-B7F6-DDB8FC78AF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52</xdr:col>
      <xdr:colOff>22134</xdr:colOff>
      <xdr:row>6</xdr:row>
      <xdr:rowOff>62056</xdr:rowOff>
    </xdr:from>
    <xdr:to>
      <xdr:col>56</xdr:col>
      <xdr:colOff>13425</xdr:colOff>
      <xdr:row>10</xdr:row>
      <xdr:rowOff>381000</xdr:rowOff>
    </xdr:to>
    <xdr:graphicFrame macro="">
      <xdr:nvGraphicFramePr>
        <xdr:cNvPr id="39" name="Chart 38">
          <a:extLst>
            <a:ext uri="{FF2B5EF4-FFF2-40B4-BE49-F238E27FC236}">
              <a16:creationId xmlns:a16="http://schemas.microsoft.com/office/drawing/2014/main" id="{21C6ACB8-6CAE-4B69-9D4F-8BD2350736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56</xdr:col>
      <xdr:colOff>253456</xdr:colOff>
      <xdr:row>6</xdr:row>
      <xdr:rowOff>40830</xdr:rowOff>
    </xdr:from>
    <xdr:to>
      <xdr:col>64</xdr:col>
      <xdr:colOff>163286</xdr:colOff>
      <xdr:row>10</xdr:row>
      <xdr:rowOff>411117</xdr:rowOff>
    </xdr:to>
    <xdr:graphicFrame macro="">
      <xdr:nvGraphicFramePr>
        <xdr:cNvPr id="40" name="Chart 39">
          <a:extLst>
            <a:ext uri="{FF2B5EF4-FFF2-40B4-BE49-F238E27FC236}">
              <a16:creationId xmlns:a16="http://schemas.microsoft.com/office/drawing/2014/main" id="{629A98ED-BBB1-40F3-8F51-ABDC91067E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66</xdr:col>
      <xdr:colOff>76199</xdr:colOff>
      <xdr:row>6</xdr:row>
      <xdr:rowOff>133349</xdr:rowOff>
    </xdr:from>
    <xdr:to>
      <xdr:col>67</xdr:col>
      <xdr:colOff>635000</xdr:colOff>
      <xdr:row>10</xdr:row>
      <xdr:rowOff>215901</xdr:rowOff>
    </xdr:to>
    <xdr:graphicFrame macro="">
      <xdr:nvGraphicFramePr>
        <xdr:cNvPr id="41" name="Chart 40">
          <a:extLst>
            <a:ext uri="{FF2B5EF4-FFF2-40B4-BE49-F238E27FC236}">
              <a16:creationId xmlns:a16="http://schemas.microsoft.com/office/drawing/2014/main" id="{349C136D-4ACC-4A97-89C1-AC0F90F14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68</xdr:col>
      <xdr:colOff>22135</xdr:colOff>
      <xdr:row>6</xdr:row>
      <xdr:rowOff>62056</xdr:rowOff>
    </xdr:from>
    <xdr:to>
      <xdr:col>72</xdr:col>
      <xdr:colOff>0</xdr:colOff>
      <xdr:row>10</xdr:row>
      <xdr:rowOff>349612</xdr:rowOff>
    </xdr:to>
    <xdr:graphicFrame macro="">
      <xdr:nvGraphicFramePr>
        <xdr:cNvPr id="42" name="Chart 41">
          <a:extLst>
            <a:ext uri="{FF2B5EF4-FFF2-40B4-BE49-F238E27FC236}">
              <a16:creationId xmlns:a16="http://schemas.microsoft.com/office/drawing/2014/main" id="{EBCA972E-5687-4048-99A3-183FC12DE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194640</xdr:colOff>
      <xdr:row>1</xdr:row>
      <xdr:rowOff>94422</xdr:rowOff>
    </xdr:from>
    <xdr:to>
      <xdr:col>9</xdr:col>
      <xdr:colOff>1002195</xdr:colOff>
      <xdr:row>16</xdr:row>
      <xdr:rowOff>304800</xdr:rowOff>
    </xdr:to>
    <xdr:graphicFrame macro="">
      <xdr:nvGraphicFramePr>
        <xdr:cNvPr id="2" name="Chart 1">
          <a:extLst>
            <a:ext uri="{FF2B5EF4-FFF2-40B4-BE49-F238E27FC236}">
              <a16:creationId xmlns:a16="http://schemas.microsoft.com/office/drawing/2014/main" id="{4DA2424A-5B0C-4A7A-9A1A-5078B031C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194640</xdr:colOff>
      <xdr:row>1</xdr:row>
      <xdr:rowOff>94422</xdr:rowOff>
    </xdr:from>
    <xdr:to>
      <xdr:col>14</xdr:col>
      <xdr:colOff>1002195</xdr:colOff>
      <xdr:row>15</xdr:row>
      <xdr:rowOff>241300</xdr:rowOff>
    </xdr:to>
    <xdr:graphicFrame macro="">
      <xdr:nvGraphicFramePr>
        <xdr:cNvPr id="3" name="Chart 2">
          <a:extLst>
            <a:ext uri="{FF2B5EF4-FFF2-40B4-BE49-F238E27FC236}">
              <a16:creationId xmlns:a16="http://schemas.microsoft.com/office/drawing/2014/main" id="{6428C058-1AAE-4D92-AEB9-405A83A86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311149</xdr:colOff>
      <xdr:row>1</xdr:row>
      <xdr:rowOff>88908</xdr:rowOff>
    </xdr:from>
    <xdr:to>
      <xdr:col>33</xdr:col>
      <xdr:colOff>6349</xdr:colOff>
      <xdr:row>14</xdr:row>
      <xdr:rowOff>279400</xdr:rowOff>
    </xdr:to>
    <xdr:graphicFrame macro="">
      <xdr:nvGraphicFramePr>
        <xdr:cNvPr id="4" name="Chart 3">
          <a:extLst>
            <a:ext uri="{FF2B5EF4-FFF2-40B4-BE49-F238E27FC236}">
              <a16:creationId xmlns:a16="http://schemas.microsoft.com/office/drawing/2014/main" id="{5FF52EE3-1055-4333-A135-D016814679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317500</xdr:colOff>
      <xdr:row>14</xdr:row>
      <xdr:rowOff>457200</xdr:rowOff>
    </xdr:from>
    <xdr:to>
      <xdr:col>33</xdr:col>
      <xdr:colOff>12700</xdr:colOff>
      <xdr:row>27</xdr:row>
      <xdr:rowOff>1435092</xdr:rowOff>
    </xdr:to>
    <xdr:graphicFrame macro="">
      <xdr:nvGraphicFramePr>
        <xdr:cNvPr id="5" name="Chart 4">
          <a:extLst>
            <a:ext uri="{FF2B5EF4-FFF2-40B4-BE49-F238E27FC236}">
              <a16:creationId xmlns:a16="http://schemas.microsoft.com/office/drawing/2014/main" id="{E15B70DC-4D2A-4D18-A9FA-E373B833D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190500</xdr:colOff>
      <xdr:row>1</xdr:row>
      <xdr:rowOff>114300</xdr:rowOff>
    </xdr:from>
    <xdr:to>
      <xdr:col>41</xdr:col>
      <xdr:colOff>1968500</xdr:colOff>
      <xdr:row>14</xdr:row>
      <xdr:rowOff>304792</xdr:rowOff>
    </xdr:to>
    <xdr:graphicFrame macro="">
      <xdr:nvGraphicFramePr>
        <xdr:cNvPr id="7" name="Chart 6">
          <a:extLst>
            <a:ext uri="{FF2B5EF4-FFF2-40B4-BE49-F238E27FC236}">
              <a16:creationId xmlns:a16="http://schemas.microsoft.com/office/drawing/2014/main" id="{947A1C66-8DFB-43C8-B350-CFB1C5F66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215900</xdr:colOff>
      <xdr:row>1</xdr:row>
      <xdr:rowOff>152400</xdr:rowOff>
    </xdr:from>
    <xdr:to>
      <xdr:col>21</xdr:col>
      <xdr:colOff>482600</xdr:colOff>
      <xdr:row>15</xdr:row>
      <xdr:rowOff>299278</xdr:rowOff>
    </xdr:to>
    <xdr:graphicFrame macro="">
      <xdr:nvGraphicFramePr>
        <xdr:cNvPr id="8" name="Chart 7">
          <a:extLst>
            <a:ext uri="{FF2B5EF4-FFF2-40B4-BE49-F238E27FC236}">
              <a16:creationId xmlns:a16="http://schemas.microsoft.com/office/drawing/2014/main" id="{3C4FA351-A70E-4C53-A3EB-4003C42EC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381000</xdr:colOff>
      <xdr:row>14</xdr:row>
      <xdr:rowOff>104774</xdr:rowOff>
    </xdr:from>
    <xdr:to>
      <xdr:col>6</xdr:col>
      <xdr:colOff>581025</xdr:colOff>
      <xdr:row>41</xdr:row>
      <xdr:rowOff>47624</xdr:rowOff>
    </xdr:to>
    <xdr:graphicFrame macro="">
      <xdr:nvGraphicFramePr>
        <xdr:cNvPr id="2" name="Chart 1">
          <a:extLst>
            <a:ext uri="{FF2B5EF4-FFF2-40B4-BE49-F238E27FC236}">
              <a16:creationId xmlns:a16="http://schemas.microsoft.com/office/drawing/2014/main" id="{A1F8F7A2-EA3C-4E32-991B-A28841377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50800</xdr:colOff>
      <xdr:row>14</xdr:row>
      <xdr:rowOff>95248</xdr:rowOff>
    </xdr:from>
    <xdr:to>
      <xdr:col>56</xdr:col>
      <xdr:colOff>508000</xdr:colOff>
      <xdr:row>41</xdr:row>
      <xdr:rowOff>25399</xdr:rowOff>
    </xdr:to>
    <xdr:graphicFrame macro="">
      <xdr:nvGraphicFramePr>
        <xdr:cNvPr id="3" name="Chart 2">
          <a:extLst>
            <a:ext uri="{FF2B5EF4-FFF2-40B4-BE49-F238E27FC236}">
              <a16:creationId xmlns:a16="http://schemas.microsoft.com/office/drawing/2014/main" id="{4D9A7F9C-B302-435A-8077-E1F7165382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57148</xdr:colOff>
      <xdr:row>14</xdr:row>
      <xdr:rowOff>107948</xdr:rowOff>
    </xdr:from>
    <xdr:to>
      <xdr:col>66</xdr:col>
      <xdr:colOff>571499</xdr:colOff>
      <xdr:row>41</xdr:row>
      <xdr:rowOff>50799</xdr:rowOff>
    </xdr:to>
    <xdr:graphicFrame macro="">
      <xdr:nvGraphicFramePr>
        <xdr:cNvPr id="4" name="Chart 3">
          <a:extLst>
            <a:ext uri="{FF2B5EF4-FFF2-40B4-BE49-F238E27FC236}">
              <a16:creationId xmlns:a16="http://schemas.microsoft.com/office/drawing/2014/main" id="{DE704EF3-95B1-4226-96DF-5F3DE0196D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67</xdr:col>
      <xdr:colOff>38100</xdr:colOff>
      <xdr:row>14</xdr:row>
      <xdr:rowOff>107948</xdr:rowOff>
    </xdr:from>
    <xdr:to>
      <xdr:col>76</xdr:col>
      <xdr:colOff>558800</xdr:colOff>
      <xdr:row>41</xdr:row>
      <xdr:rowOff>38099</xdr:rowOff>
    </xdr:to>
    <xdr:graphicFrame macro="">
      <xdr:nvGraphicFramePr>
        <xdr:cNvPr id="5" name="Chart 4">
          <a:extLst>
            <a:ext uri="{FF2B5EF4-FFF2-40B4-BE49-F238E27FC236}">
              <a16:creationId xmlns:a16="http://schemas.microsoft.com/office/drawing/2014/main" id="{5E7E653D-50A3-423F-ABCE-CBDA36D103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77</xdr:col>
      <xdr:colOff>38100</xdr:colOff>
      <xdr:row>14</xdr:row>
      <xdr:rowOff>107948</xdr:rowOff>
    </xdr:from>
    <xdr:to>
      <xdr:col>86</xdr:col>
      <xdr:colOff>558800</xdr:colOff>
      <xdr:row>41</xdr:row>
      <xdr:rowOff>50799</xdr:rowOff>
    </xdr:to>
    <xdr:graphicFrame macro="">
      <xdr:nvGraphicFramePr>
        <xdr:cNvPr id="6" name="Chart 5">
          <a:extLst>
            <a:ext uri="{FF2B5EF4-FFF2-40B4-BE49-F238E27FC236}">
              <a16:creationId xmlns:a16="http://schemas.microsoft.com/office/drawing/2014/main" id="{C48879B2-7234-4861-8A1B-CBC32DA543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87</xdr:col>
      <xdr:colOff>38100</xdr:colOff>
      <xdr:row>14</xdr:row>
      <xdr:rowOff>107948</xdr:rowOff>
    </xdr:from>
    <xdr:to>
      <xdr:col>96</xdr:col>
      <xdr:colOff>546100</xdr:colOff>
      <xdr:row>41</xdr:row>
      <xdr:rowOff>50799</xdr:rowOff>
    </xdr:to>
    <xdr:graphicFrame macro="">
      <xdr:nvGraphicFramePr>
        <xdr:cNvPr id="7" name="Chart 6">
          <a:extLst>
            <a:ext uri="{FF2B5EF4-FFF2-40B4-BE49-F238E27FC236}">
              <a16:creationId xmlns:a16="http://schemas.microsoft.com/office/drawing/2014/main" id="{96A35677-1464-442D-9FB3-FB55A3027F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97</xdr:col>
      <xdr:colOff>12700</xdr:colOff>
      <xdr:row>14</xdr:row>
      <xdr:rowOff>107948</xdr:rowOff>
    </xdr:from>
    <xdr:to>
      <xdr:col>106</xdr:col>
      <xdr:colOff>571500</xdr:colOff>
      <xdr:row>41</xdr:row>
      <xdr:rowOff>63499</xdr:rowOff>
    </xdr:to>
    <xdr:graphicFrame macro="">
      <xdr:nvGraphicFramePr>
        <xdr:cNvPr id="8" name="Chart 7">
          <a:extLst>
            <a:ext uri="{FF2B5EF4-FFF2-40B4-BE49-F238E27FC236}">
              <a16:creationId xmlns:a16="http://schemas.microsoft.com/office/drawing/2014/main" id="{4CC0FD02-9737-4E2E-A4F1-C5FCCD6781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107</xdr:col>
      <xdr:colOff>38100</xdr:colOff>
      <xdr:row>14</xdr:row>
      <xdr:rowOff>133348</xdr:rowOff>
    </xdr:from>
    <xdr:to>
      <xdr:col>116</xdr:col>
      <xdr:colOff>571500</xdr:colOff>
      <xdr:row>41</xdr:row>
      <xdr:rowOff>88899</xdr:rowOff>
    </xdr:to>
    <xdr:graphicFrame macro="">
      <xdr:nvGraphicFramePr>
        <xdr:cNvPr id="9" name="Chart 8">
          <a:extLst>
            <a:ext uri="{FF2B5EF4-FFF2-40B4-BE49-F238E27FC236}">
              <a16:creationId xmlns:a16="http://schemas.microsoft.com/office/drawing/2014/main" id="{899CCB07-7A77-41C1-BAAD-79C2F5AD6C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117</xdr:col>
      <xdr:colOff>25400</xdr:colOff>
      <xdr:row>14</xdr:row>
      <xdr:rowOff>133348</xdr:rowOff>
    </xdr:from>
    <xdr:to>
      <xdr:col>126</xdr:col>
      <xdr:colOff>533400</xdr:colOff>
      <xdr:row>41</xdr:row>
      <xdr:rowOff>88899</xdr:rowOff>
    </xdr:to>
    <xdr:graphicFrame macro="">
      <xdr:nvGraphicFramePr>
        <xdr:cNvPr id="10" name="Chart 9">
          <a:extLst>
            <a:ext uri="{FF2B5EF4-FFF2-40B4-BE49-F238E27FC236}">
              <a16:creationId xmlns:a16="http://schemas.microsoft.com/office/drawing/2014/main" id="{F933CB35-75A9-4E58-86DF-5CF7EE051E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44448</xdr:colOff>
      <xdr:row>14</xdr:row>
      <xdr:rowOff>107948</xdr:rowOff>
    </xdr:from>
    <xdr:to>
      <xdr:col>16</xdr:col>
      <xdr:colOff>571499</xdr:colOff>
      <xdr:row>41</xdr:row>
      <xdr:rowOff>50799</xdr:rowOff>
    </xdr:to>
    <xdr:graphicFrame macro="">
      <xdr:nvGraphicFramePr>
        <xdr:cNvPr id="11" name="Chart 10">
          <a:extLst>
            <a:ext uri="{FF2B5EF4-FFF2-40B4-BE49-F238E27FC236}">
              <a16:creationId xmlns:a16="http://schemas.microsoft.com/office/drawing/2014/main" id="{114B1F75-A169-4E7F-A8AD-98B722B25C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57148</xdr:colOff>
      <xdr:row>14</xdr:row>
      <xdr:rowOff>95248</xdr:rowOff>
    </xdr:from>
    <xdr:to>
      <xdr:col>26</xdr:col>
      <xdr:colOff>571499</xdr:colOff>
      <xdr:row>41</xdr:row>
      <xdr:rowOff>50799</xdr:rowOff>
    </xdr:to>
    <xdr:graphicFrame macro="">
      <xdr:nvGraphicFramePr>
        <xdr:cNvPr id="12" name="Chart 11">
          <a:extLst>
            <a:ext uri="{FF2B5EF4-FFF2-40B4-BE49-F238E27FC236}">
              <a16:creationId xmlns:a16="http://schemas.microsoft.com/office/drawing/2014/main" id="{D3834C7B-0D16-49B0-99A8-D8D2CB4FCD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25400</xdr:colOff>
      <xdr:row>14</xdr:row>
      <xdr:rowOff>88900</xdr:rowOff>
    </xdr:from>
    <xdr:to>
      <xdr:col>36</xdr:col>
      <xdr:colOff>571500</xdr:colOff>
      <xdr:row>41</xdr:row>
      <xdr:rowOff>76199</xdr:rowOff>
    </xdr:to>
    <xdr:graphicFrame macro="">
      <xdr:nvGraphicFramePr>
        <xdr:cNvPr id="13" name="Chart 12">
          <a:extLst>
            <a:ext uri="{FF2B5EF4-FFF2-40B4-BE49-F238E27FC236}">
              <a16:creationId xmlns:a16="http://schemas.microsoft.com/office/drawing/2014/main" id="{EA44A28B-278F-4C1B-925A-AAB695C8E4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37</xdr:col>
      <xdr:colOff>34636</xdr:colOff>
      <xdr:row>14</xdr:row>
      <xdr:rowOff>69274</xdr:rowOff>
    </xdr:from>
    <xdr:to>
      <xdr:col>46</xdr:col>
      <xdr:colOff>561687</xdr:colOff>
      <xdr:row>41</xdr:row>
      <xdr:rowOff>12125</xdr:rowOff>
    </xdr:to>
    <xdr:graphicFrame macro="">
      <xdr:nvGraphicFramePr>
        <xdr:cNvPr id="14" name="Chart 13">
          <a:extLst>
            <a:ext uri="{FF2B5EF4-FFF2-40B4-BE49-F238E27FC236}">
              <a16:creationId xmlns:a16="http://schemas.microsoft.com/office/drawing/2014/main" id="{01319E42-9AD4-4BDD-962B-3FC7E9283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42</xdr:row>
      <xdr:rowOff>0</xdr:rowOff>
    </xdr:from>
    <xdr:to>
      <xdr:col>46</xdr:col>
      <xdr:colOff>527051</xdr:colOff>
      <xdr:row>83</xdr:row>
      <xdr:rowOff>0</xdr:rowOff>
    </xdr:to>
    <xdr:graphicFrame macro="">
      <xdr:nvGraphicFramePr>
        <xdr:cNvPr id="15" name="Chart 14">
          <a:extLst>
            <a:ext uri="{FF2B5EF4-FFF2-40B4-BE49-F238E27FC236}">
              <a16:creationId xmlns:a16="http://schemas.microsoft.com/office/drawing/2014/main" id="{811E902A-A319-4336-ABC4-C2B739D59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381000</xdr:colOff>
      <xdr:row>108</xdr:row>
      <xdr:rowOff>113619</xdr:rowOff>
    </xdr:to>
    <xdr:pic>
      <xdr:nvPicPr>
        <xdr:cNvPr id="3" name="Picture 2">
          <a:extLst>
            <a:ext uri="{FF2B5EF4-FFF2-40B4-BE49-F238E27FC236}">
              <a16:creationId xmlns:a16="http://schemas.microsoft.com/office/drawing/2014/main" id="{2B7586D8-7F2E-4190-9117-D938FCD011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61925"/>
          <a:ext cx="4038600" cy="17439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74929</xdr:colOff>
      <xdr:row>17</xdr:row>
      <xdr:rowOff>99582</xdr:rowOff>
    </xdr:from>
    <xdr:to>
      <xdr:col>13</xdr:col>
      <xdr:colOff>1579917</xdr:colOff>
      <xdr:row>42</xdr:row>
      <xdr:rowOff>147618</xdr:rowOff>
    </xdr:to>
    <xdr:graphicFrame macro="">
      <xdr:nvGraphicFramePr>
        <xdr:cNvPr id="2" name="Chart 1">
          <a:extLst>
            <a:ext uri="{FF2B5EF4-FFF2-40B4-BE49-F238E27FC236}">
              <a16:creationId xmlns:a16="http://schemas.microsoft.com/office/drawing/2014/main" id="{5798E010-FA9F-4AE7-8AB8-A1322C61A8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36419</xdr:colOff>
      <xdr:row>8</xdr:row>
      <xdr:rowOff>123266</xdr:rowOff>
    </xdr:from>
    <xdr:to>
      <xdr:col>16</xdr:col>
      <xdr:colOff>762000</xdr:colOff>
      <xdr:row>22</xdr:row>
      <xdr:rowOff>78443</xdr:rowOff>
    </xdr:to>
    <xdr:graphicFrame macro="">
      <xdr:nvGraphicFramePr>
        <xdr:cNvPr id="4" name="Chart 3">
          <a:extLst>
            <a:ext uri="{FF2B5EF4-FFF2-40B4-BE49-F238E27FC236}">
              <a16:creationId xmlns:a16="http://schemas.microsoft.com/office/drawing/2014/main" id="{FEA06B42-3322-40F6-BF9F-F446434749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22449</xdr:colOff>
      <xdr:row>8</xdr:row>
      <xdr:rowOff>29808</xdr:rowOff>
    </xdr:from>
    <xdr:to>
      <xdr:col>27</xdr:col>
      <xdr:colOff>802822</xdr:colOff>
      <xdr:row>23</xdr:row>
      <xdr:rowOff>122465</xdr:rowOff>
    </xdr:to>
    <xdr:graphicFrame macro="">
      <xdr:nvGraphicFramePr>
        <xdr:cNvPr id="10" name="Chart 9">
          <a:extLst>
            <a:ext uri="{FF2B5EF4-FFF2-40B4-BE49-F238E27FC236}">
              <a16:creationId xmlns:a16="http://schemas.microsoft.com/office/drawing/2014/main" id="{173FB75B-E6C9-4DDE-BE87-C22D3F0E45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17369</xdr:colOff>
      <xdr:row>8</xdr:row>
      <xdr:rowOff>42583</xdr:rowOff>
    </xdr:from>
    <xdr:to>
      <xdr:col>38</xdr:col>
      <xdr:colOff>922245</xdr:colOff>
      <xdr:row>22</xdr:row>
      <xdr:rowOff>4483</xdr:rowOff>
    </xdr:to>
    <xdr:graphicFrame macro="">
      <xdr:nvGraphicFramePr>
        <xdr:cNvPr id="11" name="Chart 10">
          <a:extLst>
            <a:ext uri="{FF2B5EF4-FFF2-40B4-BE49-F238E27FC236}">
              <a16:creationId xmlns:a16="http://schemas.microsoft.com/office/drawing/2014/main" id="{B1BB4FE6-462B-4B08-AED6-2A89CDB619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47</xdr:col>
      <xdr:colOff>762000</xdr:colOff>
      <xdr:row>8</xdr:row>
      <xdr:rowOff>58511</xdr:rowOff>
    </xdr:from>
    <xdr:to>
      <xdr:col>49</xdr:col>
      <xdr:colOff>1010738</xdr:colOff>
      <xdr:row>22</xdr:row>
      <xdr:rowOff>13426</xdr:rowOff>
    </xdr:to>
    <xdr:graphicFrame macro="">
      <xdr:nvGraphicFramePr>
        <xdr:cNvPr id="12" name="Chart 11">
          <a:extLst>
            <a:ext uri="{FF2B5EF4-FFF2-40B4-BE49-F238E27FC236}">
              <a16:creationId xmlns:a16="http://schemas.microsoft.com/office/drawing/2014/main" id="{67DDA875-4B81-4255-8E71-C78DAD4698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27715</xdr:colOff>
      <xdr:row>8</xdr:row>
      <xdr:rowOff>90809</xdr:rowOff>
    </xdr:from>
    <xdr:to>
      <xdr:col>25</xdr:col>
      <xdr:colOff>558980</xdr:colOff>
      <xdr:row>27</xdr:row>
      <xdr:rowOff>10886</xdr:rowOff>
    </xdr:to>
    <xdr:graphicFrame macro="">
      <xdr:nvGraphicFramePr>
        <xdr:cNvPr id="3" name="Chart 2">
          <a:extLst>
            <a:ext uri="{FF2B5EF4-FFF2-40B4-BE49-F238E27FC236}">
              <a16:creationId xmlns:a16="http://schemas.microsoft.com/office/drawing/2014/main" id="{34DAEFBE-ACFC-4078-8868-021003E9E1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76201</xdr:colOff>
      <xdr:row>8</xdr:row>
      <xdr:rowOff>17150</xdr:rowOff>
    </xdr:from>
    <xdr:to>
      <xdr:col>36</xdr:col>
      <xdr:colOff>556442</xdr:colOff>
      <xdr:row>27</xdr:row>
      <xdr:rowOff>32657</xdr:rowOff>
    </xdr:to>
    <xdr:graphicFrame macro="">
      <xdr:nvGraphicFramePr>
        <xdr:cNvPr id="5" name="Chart 4">
          <a:extLst>
            <a:ext uri="{FF2B5EF4-FFF2-40B4-BE49-F238E27FC236}">
              <a16:creationId xmlns:a16="http://schemas.microsoft.com/office/drawing/2014/main" id="{4F026778-3A14-4B6C-A78C-0303A5DEFE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39</xdr:col>
      <xdr:colOff>38100</xdr:colOff>
      <xdr:row>8</xdr:row>
      <xdr:rowOff>20325</xdr:rowOff>
    </xdr:from>
    <xdr:to>
      <xdr:col>47</xdr:col>
      <xdr:colOff>672375</xdr:colOff>
      <xdr:row>27</xdr:row>
      <xdr:rowOff>32657</xdr:rowOff>
    </xdr:to>
    <xdr:graphicFrame macro="">
      <xdr:nvGraphicFramePr>
        <xdr:cNvPr id="6" name="Chart 5">
          <a:extLst>
            <a:ext uri="{FF2B5EF4-FFF2-40B4-BE49-F238E27FC236}">
              <a16:creationId xmlns:a16="http://schemas.microsoft.com/office/drawing/2014/main" id="{26316453-ABF9-465D-B792-CB3C7816A6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50</xdr:col>
      <xdr:colOff>60642</xdr:colOff>
      <xdr:row>8</xdr:row>
      <xdr:rowOff>60330</xdr:rowOff>
    </xdr:from>
    <xdr:to>
      <xdr:col>58</xdr:col>
      <xdr:colOff>792117</xdr:colOff>
      <xdr:row>27</xdr:row>
      <xdr:rowOff>65313</xdr:rowOff>
    </xdr:to>
    <xdr:graphicFrame macro="">
      <xdr:nvGraphicFramePr>
        <xdr:cNvPr id="7" name="Chart 6">
          <a:extLst>
            <a:ext uri="{FF2B5EF4-FFF2-40B4-BE49-F238E27FC236}">
              <a16:creationId xmlns:a16="http://schemas.microsoft.com/office/drawing/2014/main" id="{542A385E-AF39-4643-BC49-C912020AF0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39220</xdr:colOff>
      <xdr:row>22</xdr:row>
      <xdr:rowOff>152400</xdr:rowOff>
    </xdr:from>
    <xdr:to>
      <xdr:col>16</xdr:col>
      <xdr:colOff>762000</xdr:colOff>
      <xdr:row>39</xdr:row>
      <xdr:rowOff>21770</xdr:rowOff>
    </xdr:to>
    <xdr:graphicFrame macro="">
      <xdr:nvGraphicFramePr>
        <xdr:cNvPr id="8" name="Chart 7">
          <a:extLst>
            <a:ext uri="{FF2B5EF4-FFF2-40B4-BE49-F238E27FC236}">
              <a16:creationId xmlns:a16="http://schemas.microsoft.com/office/drawing/2014/main" id="{DC3B8337-0D7E-4FA5-8E41-29321BD6FC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23040</xdr:colOff>
      <xdr:row>27</xdr:row>
      <xdr:rowOff>46083</xdr:rowOff>
    </xdr:from>
    <xdr:to>
      <xdr:col>25</xdr:col>
      <xdr:colOff>587101</xdr:colOff>
      <xdr:row>45</xdr:row>
      <xdr:rowOff>10886</xdr:rowOff>
    </xdr:to>
    <xdr:graphicFrame macro="">
      <xdr:nvGraphicFramePr>
        <xdr:cNvPr id="13" name="Chart 12">
          <a:extLst>
            <a:ext uri="{FF2B5EF4-FFF2-40B4-BE49-F238E27FC236}">
              <a16:creationId xmlns:a16="http://schemas.microsoft.com/office/drawing/2014/main" id="{C2CC9C4A-9557-43B5-8140-2C809F75E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66675</xdr:colOff>
      <xdr:row>1</xdr:row>
      <xdr:rowOff>47625</xdr:rowOff>
    </xdr:from>
    <xdr:to>
      <xdr:col>21</xdr:col>
      <xdr:colOff>560294</xdr:colOff>
      <xdr:row>19</xdr:row>
      <xdr:rowOff>133350</xdr:rowOff>
    </xdr:to>
    <xdr:graphicFrame macro="">
      <xdr:nvGraphicFramePr>
        <xdr:cNvPr id="2" name="Chart 1">
          <a:extLst>
            <a:ext uri="{FF2B5EF4-FFF2-40B4-BE49-F238E27FC236}">
              <a16:creationId xmlns:a16="http://schemas.microsoft.com/office/drawing/2014/main" id="{76CD21AA-0668-4CFE-8FE3-186268849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63314</xdr:colOff>
      <xdr:row>20</xdr:row>
      <xdr:rowOff>23533</xdr:rowOff>
    </xdr:from>
    <xdr:to>
      <xdr:col>21</xdr:col>
      <xdr:colOff>571501</xdr:colOff>
      <xdr:row>38</xdr:row>
      <xdr:rowOff>89647</xdr:rowOff>
    </xdr:to>
    <xdr:graphicFrame macro="">
      <xdr:nvGraphicFramePr>
        <xdr:cNvPr id="3" name="Chart 2">
          <a:extLst>
            <a:ext uri="{FF2B5EF4-FFF2-40B4-BE49-F238E27FC236}">
              <a16:creationId xmlns:a16="http://schemas.microsoft.com/office/drawing/2014/main" id="{63362EA6-0C30-49C7-8805-F577CB7BF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58831</xdr:colOff>
      <xdr:row>1</xdr:row>
      <xdr:rowOff>44262</xdr:rowOff>
    </xdr:from>
    <xdr:to>
      <xdr:col>28</xdr:col>
      <xdr:colOff>549088</xdr:colOff>
      <xdr:row>19</xdr:row>
      <xdr:rowOff>112059</xdr:rowOff>
    </xdr:to>
    <xdr:graphicFrame macro="">
      <xdr:nvGraphicFramePr>
        <xdr:cNvPr id="4" name="Chart 3">
          <a:extLst>
            <a:ext uri="{FF2B5EF4-FFF2-40B4-BE49-F238E27FC236}">
              <a16:creationId xmlns:a16="http://schemas.microsoft.com/office/drawing/2014/main" id="{D7A1A75B-16F0-4BA5-9408-E081D5A4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45945</xdr:colOff>
      <xdr:row>1</xdr:row>
      <xdr:rowOff>49305</xdr:rowOff>
    </xdr:from>
    <xdr:to>
      <xdr:col>42</xdr:col>
      <xdr:colOff>560294</xdr:colOff>
      <xdr:row>19</xdr:row>
      <xdr:rowOff>123264</xdr:rowOff>
    </xdr:to>
    <xdr:graphicFrame macro="">
      <xdr:nvGraphicFramePr>
        <xdr:cNvPr id="5" name="Chart 4">
          <a:extLst>
            <a:ext uri="{FF2B5EF4-FFF2-40B4-BE49-F238E27FC236}">
              <a16:creationId xmlns:a16="http://schemas.microsoft.com/office/drawing/2014/main" id="{9FE8DF79-1725-4CB0-9F8B-FCF0E7CE8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28575</xdr:colOff>
      <xdr:row>1</xdr:row>
      <xdr:rowOff>38101</xdr:rowOff>
    </xdr:from>
    <xdr:to>
      <xdr:col>35</xdr:col>
      <xdr:colOff>549088</xdr:colOff>
      <xdr:row>19</xdr:row>
      <xdr:rowOff>100853</xdr:rowOff>
    </xdr:to>
    <xdr:graphicFrame macro="">
      <xdr:nvGraphicFramePr>
        <xdr:cNvPr id="6" name="Chart 5">
          <a:extLst>
            <a:ext uri="{FF2B5EF4-FFF2-40B4-BE49-F238E27FC236}">
              <a16:creationId xmlns:a16="http://schemas.microsoft.com/office/drawing/2014/main" id="{BFAD2273-CBA0-4CA1-BA60-B2CA3BBA89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39220</xdr:colOff>
      <xdr:row>20</xdr:row>
      <xdr:rowOff>17928</xdr:rowOff>
    </xdr:from>
    <xdr:to>
      <xdr:col>28</xdr:col>
      <xdr:colOff>560294</xdr:colOff>
      <xdr:row>38</xdr:row>
      <xdr:rowOff>78441</xdr:rowOff>
    </xdr:to>
    <xdr:graphicFrame macro="">
      <xdr:nvGraphicFramePr>
        <xdr:cNvPr id="7" name="Chart 6">
          <a:extLst>
            <a:ext uri="{FF2B5EF4-FFF2-40B4-BE49-F238E27FC236}">
              <a16:creationId xmlns:a16="http://schemas.microsoft.com/office/drawing/2014/main" id="{1104242C-77DA-4615-8A15-8E13F6E31D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39220</xdr:colOff>
      <xdr:row>20</xdr:row>
      <xdr:rowOff>29135</xdr:rowOff>
    </xdr:from>
    <xdr:to>
      <xdr:col>35</xdr:col>
      <xdr:colOff>571500</xdr:colOff>
      <xdr:row>38</xdr:row>
      <xdr:rowOff>123265</xdr:rowOff>
    </xdr:to>
    <xdr:graphicFrame macro="">
      <xdr:nvGraphicFramePr>
        <xdr:cNvPr id="8" name="Chart 7">
          <a:extLst>
            <a:ext uri="{FF2B5EF4-FFF2-40B4-BE49-F238E27FC236}">
              <a16:creationId xmlns:a16="http://schemas.microsoft.com/office/drawing/2014/main" id="{305AB3D3-BE8F-4E8F-8E58-628F436DC7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477370</xdr:colOff>
      <xdr:row>4</xdr:row>
      <xdr:rowOff>118778</xdr:rowOff>
    </xdr:from>
    <xdr:to>
      <xdr:col>35</xdr:col>
      <xdr:colOff>230842</xdr:colOff>
      <xdr:row>16</xdr:row>
      <xdr:rowOff>17926</xdr:rowOff>
    </xdr:to>
    <xdr:sp macro="" textlink="">
      <xdr:nvSpPr>
        <xdr:cNvPr id="10" name="Right Triangle 9">
          <a:extLst>
            <a:ext uri="{FF2B5EF4-FFF2-40B4-BE49-F238E27FC236}">
              <a16:creationId xmlns:a16="http://schemas.microsoft.com/office/drawing/2014/main" id="{88D95F12-DAFA-4213-AE51-FEC7AA4A7F98}"/>
            </a:ext>
          </a:extLst>
        </xdr:cNvPr>
        <xdr:cNvSpPr/>
      </xdr:nvSpPr>
      <xdr:spPr>
        <a:xfrm flipH="1">
          <a:off x="20278164" y="746307"/>
          <a:ext cx="2779060" cy="1781737"/>
        </a:xfrm>
        <a:prstGeom prst="rtTriangl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23</xdr:col>
      <xdr:colOff>481852</xdr:colOff>
      <xdr:row>4</xdr:row>
      <xdr:rowOff>156879</xdr:rowOff>
    </xdr:from>
    <xdr:to>
      <xdr:col>28</xdr:col>
      <xdr:colOff>235324</xdr:colOff>
      <xdr:row>16</xdr:row>
      <xdr:rowOff>56027</xdr:rowOff>
    </xdr:to>
    <xdr:sp macro="" textlink="">
      <xdr:nvSpPr>
        <xdr:cNvPr id="12" name="Right Triangle 11">
          <a:extLst>
            <a:ext uri="{FF2B5EF4-FFF2-40B4-BE49-F238E27FC236}">
              <a16:creationId xmlns:a16="http://schemas.microsoft.com/office/drawing/2014/main" id="{D467BEBC-5878-474A-A3E9-BAAD70C6E543}"/>
            </a:ext>
          </a:extLst>
        </xdr:cNvPr>
        <xdr:cNvSpPr/>
      </xdr:nvSpPr>
      <xdr:spPr>
        <a:xfrm rot="10800000" flipH="1">
          <a:off x="16046823" y="784408"/>
          <a:ext cx="2779060" cy="1781737"/>
        </a:xfrm>
        <a:prstGeom prst="rtTriangle">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16</xdr:col>
      <xdr:colOff>504265</xdr:colOff>
      <xdr:row>4</xdr:row>
      <xdr:rowOff>156879</xdr:rowOff>
    </xdr:from>
    <xdr:to>
      <xdr:col>21</xdr:col>
      <xdr:colOff>257737</xdr:colOff>
      <xdr:row>16</xdr:row>
      <xdr:rowOff>56027</xdr:rowOff>
    </xdr:to>
    <xdr:sp macro="" textlink="">
      <xdr:nvSpPr>
        <xdr:cNvPr id="13" name="Right Triangle 12">
          <a:extLst>
            <a:ext uri="{FF2B5EF4-FFF2-40B4-BE49-F238E27FC236}">
              <a16:creationId xmlns:a16="http://schemas.microsoft.com/office/drawing/2014/main" id="{52D037AE-778F-4CF4-98D7-4FB87D9A2F7F}"/>
            </a:ext>
          </a:extLst>
        </xdr:cNvPr>
        <xdr:cNvSpPr/>
      </xdr:nvSpPr>
      <xdr:spPr>
        <a:xfrm rot="10800000" flipH="1">
          <a:off x="11833412" y="784408"/>
          <a:ext cx="2779060" cy="1781737"/>
        </a:xfrm>
        <a:prstGeom prst="rtTriangle">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36</xdr:col>
      <xdr:colOff>56029</xdr:colOff>
      <xdr:row>20</xdr:row>
      <xdr:rowOff>44823</xdr:rowOff>
    </xdr:from>
    <xdr:to>
      <xdr:col>42</xdr:col>
      <xdr:colOff>570378</xdr:colOff>
      <xdr:row>38</xdr:row>
      <xdr:rowOff>118783</xdr:rowOff>
    </xdr:to>
    <xdr:graphicFrame macro="">
      <xdr:nvGraphicFramePr>
        <xdr:cNvPr id="14" name="Chart 13">
          <a:extLst>
            <a:ext uri="{FF2B5EF4-FFF2-40B4-BE49-F238E27FC236}">
              <a16:creationId xmlns:a16="http://schemas.microsoft.com/office/drawing/2014/main" id="{75D9EFF6-2DB4-44DD-BCE2-4A8268D86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35</xdr:col>
      <xdr:colOff>66675</xdr:colOff>
      <xdr:row>4</xdr:row>
      <xdr:rowOff>85724</xdr:rowOff>
    </xdr:from>
    <xdr:to>
      <xdr:col>36</xdr:col>
      <xdr:colOff>819149</xdr:colOff>
      <xdr:row>12</xdr:row>
      <xdr:rowOff>1079500</xdr:rowOff>
    </xdr:to>
    <xdr:graphicFrame macro="">
      <xdr:nvGraphicFramePr>
        <xdr:cNvPr id="3" name="Chart 2">
          <a:extLst>
            <a:ext uri="{FF2B5EF4-FFF2-40B4-BE49-F238E27FC236}">
              <a16:creationId xmlns:a16="http://schemas.microsoft.com/office/drawing/2014/main" id="{67431F1D-3E3A-4113-85D0-23766E6F3D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38099</xdr:colOff>
      <xdr:row>6</xdr:row>
      <xdr:rowOff>19049</xdr:rowOff>
    </xdr:from>
    <xdr:to>
      <xdr:col>53</xdr:col>
      <xdr:colOff>539750</xdr:colOff>
      <xdr:row>12</xdr:row>
      <xdr:rowOff>1193800</xdr:rowOff>
    </xdr:to>
    <xdr:graphicFrame macro="">
      <xdr:nvGraphicFramePr>
        <xdr:cNvPr id="4" name="Chart 3">
          <a:extLst>
            <a:ext uri="{FF2B5EF4-FFF2-40B4-BE49-F238E27FC236}">
              <a16:creationId xmlns:a16="http://schemas.microsoft.com/office/drawing/2014/main" id="{799C961F-B3C9-4836-9FBC-9F8ECB3E0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57150</xdr:colOff>
      <xdr:row>4</xdr:row>
      <xdr:rowOff>139700</xdr:rowOff>
    </xdr:from>
    <xdr:to>
      <xdr:col>91</xdr:col>
      <xdr:colOff>304800</xdr:colOff>
      <xdr:row>12</xdr:row>
      <xdr:rowOff>936625</xdr:rowOff>
    </xdr:to>
    <xdr:graphicFrame macro="">
      <xdr:nvGraphicFramePr>
        <xdr:cNvPr id="5" name="Chart 4">
          <a:extLst>
            <a:ext uri="{FF2B5EF4-FFF2-40B4-BE49-F238E27FC236}">
              <a16:creationId xmlns:a16="http://schemas.microsoft.com/office/drawing/2014/main" id="{228C1E32-81BE-423A-8F9E-C4B7990624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83</xdr:col>
      <xdr:colOff>47625</xdr:colOff>
      <xdr:row>4</xdr:row>
      <xdr:rowOff>57150</xdr:rowOff>
    </xdr:from>
    <xdr:to>
      <xdr:col>84</xdr:col>
      <xdr:colOff>323850</xdr:colOff>
      <xdr:row>12</xdr:row>
      <xdr:rowOff>809625</xdr:rowOff>
    </xdr:to>
    <xdr:graphicFrame macro="">
      <xdr:nvGraphicFramePr>
        <xdr:cNvPr id="6" name="Chart 5">
          <a:extLst>
            <a:ext uri="{FF2B5EF4-FFF2-40B4-BE49-F238E27FC236}">
              <a16:creationId xmlns:a16="http://schemas.microsoft.com/office/drawing/2014/main" id="{6E6D3BB9-9BEA-40CB-BF4E-353F391159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86</xdr:col>
      <xdr:colOff>38100</xdr:colOff>
      <xdr:row>3</xdr:row>
      <xdr:rowOff>38100</xdr:rowOff>
    </xdr:from>
    <xdr:to>
      <xdr:col>87</xdr:col>
      <xdr:colOff>371475</xdr:colOff>
      <xdr:row>12</xdr:row>
      <xdr:rowOff>647700</xdr:rowOff>
    </xdr:to>
    <xdr:graphicFrame macro="">
      <xdr:nvGraphicFramePr>
        <xdr:cNvPr id="7" name="Chart 6">
          <a:extLst>
            <a:ext uri="{FF2B5EF4-FFF2-40B4-BE49-F238E27FC236}">
              <a16:creationId xmlns:a16="http://schemas.microsoft.com/office/drawing/2014/main" id="{36674F41-D806-4B82-8A6F-5982E42D15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1409700</xdr:colOff>
      <xdr:row>12</xdr:row>
      <xdr:rowOff>185737</xdr:rowOff>
    </xdr:from>
    <xdr:to>
      <xdr:col>22</xdr:col>
      <xdr:colOff>695325</xdr:colOff>
      <xdr:row>15</xdr:row>
      <xdr:rowOff>0</xdr:rowOff>
    </xdr:to>
    <xdr:graphicFrame macro="">
      <xdr:nvGraphicFramePr>
        <xdr:cNvPr id="2" name="Chart 1">
          <a:extLst>
            <a:ext uri="{FF2B5EF4-FFF2-40B4-BE49-F238E27FC236}">
              <a16:creationId xmlns:a16="http://schemas.microsoft.com/office/drawing/2014/main" id="{3D532B89-BBA9-4E29-B62B-0C488B694A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66</xdr:col>
      <xdr:colOff>28575</xdr:colOff>
      <xdr:row>10</xdr:row>
      <xdr:rowOff>28575</xdr:rowOff>
    </xdr:from>
    <xdr:to>
      <xdr:col>69</xdr:col>
      <xdr:colOff>523875</xdr:colOff>
      <xdr:row>14</xdr:row>
      <xdr:rowOff>28575</xdr:rowOff>
    </xdr:to>
    <xdr:graphicFrame macro="">
      <xdr:nvGraphicFramePr>
        <xdr:cNvPr id="9" name="Chart 8">
          <a:extLst>
            <a:ext uri="{FF2B5EF4-FFF2-40B4-BE49-F238E27FC236}">
              <a16:creationId xmlns:a16="http://schemas.microsoft.com/office/drawing/2014/main" id="{207745A6-C018-4CA3-84F3-0D87AC518D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49</xdr:col>
      <xdr:colOff>57150</xdr:colOff>
      <xdr:row>14</xdr:row>
      <xdr:rowOff>104775</xdr:rowOff>
    </xdr:from>
    <xdr:to>
      <xdr:col>52</xdr:col>
      <xdr:colOff>1038225</xdr:colOff>
      <xdr:row>24</xdr:row>
      <xdr:rowOff>127000</xdr:rowOff>
    </xdr:to>
    <xdr:graphicFrame macro="">
      <xdr:nvGraphicFramePr>
        <xdr:cNvPr id="10" name="Chart 9">
          <a:extLst>
            <a:ext uri="{FF2B5EF4-FFF2-40B4-BE49-F238E27FC236}">
              <a16:creationId xmlns:a16="http://schemas.microsoft.com/office/drawing/2014/main" id="{4C50F4D1-560E-4A26-A56B-6ADE8BFAF7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91</xdr:col>
      <xdr:colOff>538843</xdr:colOff>
      <xdr:row>7</xdr:row>
      <xdr:rowOff>306161</xdr:rowOff>
    </xdr:from>
    <xdr:to>
      <xdr:col>97</xdr:col>
      <xdr:colOff>386443</xdr:colOff>
      <xdr:row>12</xdr:row>
      <xdr:rowOff>1592036</xdr:rowOff>
    </xdr:to>
    <xdr:graphicFrame macro="">
      <xdr:nvGraphicFramePr>
        <xdr:cNvPr id="11" name="Chart 10">
          <a:extLst>
            <a:ext uri="{FF2B5EF4-FFF2-40B4-BE49-F238E27FC236}">
              <a16:creationId xmlns:a16="http://schemas.microsoft.com/office/drawing/2014/main" id="{A1735679-B971-4A1B-BE42-87A7B1A8AB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22860</xdr:colOff>
      <xdr:row>10</xdr:row>
      <xdr:rowOff>152405</xdr:rowOff>
    </xdr:from>
    <xdr:to>
      <xdr:col>34</xdr:col>
      <xdr:colOff>792480</xdr:colOff>
      <xdr:row>16</xdr:row>
      <xdr:rowOff>40640</xdr:rowOff>
    </xdr:to>
    <xdr:graphicFrame macro="">
      <xdr:nvGraphicFramePr>
        <xdr:cNvPr id="8" name="Chart 7">
          <a:extLst>
            <a:ext uri="{FF2B5EF4-FFF2-40B4-BE49-F238E27FC236}">
              <a16:creationId xmlns:a16="http://schemas.microsoft.com/office/drawing/2014/main" id="{B96FA209-BBB8-42D6-A5C4-DC486AE58C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90805</xdr:colOff>
      <xdr:row>4</xdr:row>
      <xdr:rowOff>20320</xdr:rowOff>
    </xdr:from>
    <xdr:to>
      <xdr:col>47</xdr:col>
      <xdr:colOff>439420</xdr:colOff>
      <xdr:row>12</xdr:row>
      <xdr:rowOff>1277621</xdr:rowOff>
    </xdr:to>
    <xdr:graphicFrame macro="">
      <xdr:nvGraphicFramePr>
        <xdr:cNvPr id="12" name="Chart 11">
          <a:extLst>
            <a:ext uri="{FF2B5EF4-FFF2-40B4-BE49-F238E27FC236}">
              <a16:creationId xmlns:a16="http://schemas.microsoft.com/office/drawing/2014/main" id="{3503AE4D-CA74-41E3-AC6A-F774FAD5BB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57</xdr:col>
      <xdr:colOff>54292</xdr:colOff>
      <xdr:row>5</xdr:row>
      <xdr:rowOff>111131</xdr:rowOff>
    </xdr:from>
    <xdr:to>
      <xdr:col>65</xdr:col>
      <xdr:colOff>515620</xdr:colOff>
      <xdr:row>12</xdr:row>
      <xdr:rowOff>1381761</xdr:rowOff>
    </xdr:to>
    <xdr:graphicFrame macro="">
      <xdr:nvGraphicFramePr>
        <xdr:cNvPr id="13" name="Chart 12">
          <a:extLst>
            <a:ext uri="{FF2B5EF4-FFF2-40B4-BE49-F238E27FC236}">
              <a16:creationId xmlns:a16="http://schemas.microsoft.com/office/drawing/2014/main" id="{5703E110-9F20-400C-82E5-F73AE2C791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74</xdr:col>
      <xdr:colOff>106997</xdr:colOff>
      <xdr:row>9</xdr:row>
      <xdr:rowOff>24770</xdr:rowOff>
    </xdr:from>
    <xdr:to>
      <xdr:col>82</xdr:col>
      <xdr:colOff>374650</xdr:colOff>
      <xdr:row>14</xdr:row>
      <xdr:rowOff>182880</xdr:rowOff>
    </xdr:to>
    <xdr:graphicFrame macro="">
      <xdr:nvGraphicFramePr>
        <xdr:cNvPr id="14" name="Chart 13">
          <a:extLst>
            <a:ext uri="{FF2B5EF4-FFF2-40B4-BE49-F238E27FC236}">
              <a16:creationId xmlns:a16="http://schemas.microsoft.com/office/drawing/2014/main" id="{BFD9F6FB-2DE5-41DC-BB2E-43AAB0481F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48259</xdr:colOff>
      <xdr:row>11</xdr:row>
      <xdr:rowOff>38108</xdr:rowOff>
    </xdr:from>
    <xdr:to>
      <xdr:col>25</xdr:col>
      <xdr:colOff>942340</xdr:colOff>
      <xdr:row>15</xdr:row>
      <xdr:rowOff>314960</xdr:rowOff>
    </xdr:to>
    <xdr:graphicFrame macro="">
      <xdr:nvGraphicFramePr>
        <xdr:cNvPr id="15" name="Chart 14">
          <a:extLst>
            <a:ext uri="{FF2B5EF4-FFF2-40B4-BE49-F238E27FC236}">
              <a16:creationId xmlns:a16="http://schemas.microsoft.com/office/drawing/2014/main" id="{D30EEC4C-F907-4F52-9E50-7D6EA55E24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38100</xdr:colOff>
      <xdr:row>4</xdr:row>
      <xdr:rowOff>38108</xdr:rowOff>
    </xdr:from>
    <xdr:to>
      <xdr:col>39</xdr:col>
      <xdr:colOff>711200</xdr:colOff>
      <xdr:row>12</xdr:row>
      <xdr:rowOff>1272540</xdr:rowOff>
    </xdr:to>
    <xdr:graphicFrame macro="">
      <xdr:nvGraphicFramePr>
        <xdr:cNvPr id="16" name="Chart 15">
          <a:extLst>
            <a:ext uri="{FF2B5EF4-FFF2-40B4-BE49-F238E27FC236}">
              <a16:creationId xmlns:a16="http://schemas.microsoft.com/office/drawing/2014/main" id="{F4940AD4-FAB4-4A9B-9A1C-256453767B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54</xdr:col>
      <xdr:colOff>15240</xdr:colOff>
      <xdr:row>5</xdr:row>
      <xdr:rowOff>129548</xdr:rowOff>
    </xdr:from>
    <xdr:to>
      <xdr:col>56</xdr:col>
      <xdr:colOff>784860</xdr:colOff>
      <xdr:row>12</xdr:row>
      <xdr:rowOff>1219200</xdr:rowOff>
    </xdr:to>
    <xdr:graphicFrame macro="">
      <xdr:nvGraphicFramePr>
        <xdr:cNvPr id="17" name="Chart 16">
          <a:extLst>
            <a:ext uri="{FF2B5EF4-FFF2-40B4-BE49-F238E27FC236}">
              <a16:creationId xmlns:a16="http://schemas.microsoft.com/office/drawing/2014/main" id="{A61AA453-A037-460B-A8F9-0D64B24069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70</xdr:col>
      <xdr:colOff>114299</xdr:colOff>
      <xdr:row>9</xdr:row>
      <xdr:rowOff>15248</xdr:rowOff>
    </xdr:from>
    <xdr:to>
      <xdr:col>74</xdr:col>
      <xdr:colOff>30478</xdr:colOff>
      <xdr:row>14</xdr:row>
      <xdr:rowOff>152400</xdr:rowOff>
    </xdr:to>
    <xdr:graphicFrame macro="">
      <xdr:nvGraphicFramePr>
        <xdr:cNvPr id="18" name="Chart 17">
          <a:extLst>
            <a:ext uri="{FF2B5EF4-FFF2-40B4-BE49-F238E27FC236}">
              <a16:creationId xmlns:a16="http://schemas.microsoft.com/office/drawing/2014/main" id="{D5E354C1-1A2C-4B6A-89C1-998A156007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65</xdr:col>
      <xdr:colOff>582022</xdr:colOff>
      <xdr:row>14</xdr:row>
      <xdr:rowOff>199753</xdr:rowOff>
    </xdr:from>
    <xdr:to>
      <xdr:col>70</xdr:col>
      <xdr:colOff>2540</xdr:colOff>
      <xdr:row>24</xdr:row>
      <xdr:rowOff>76200</xdr:rowOff>
    </xdr:to>
    <xdr:graphicFrame macro="">
      <xdr:nvGraphicFramePr>
        <xdr:cNvPr id="19" name="Chart 18">
          <a:extLst>
            <a:ext uri="{FF2B5EF4-FFF2-40B4-BE49-F238E27FC236}">
              <a16:creationId xmlns:a16="http://schemas.microsoft.com/office/drawing/2014/main" id="{AB3BF497-FF48-4CFB-BEEB-83F8F32C8E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45</xdr:col>
      <xdr:colOff>66675</xdr:colOff>
      <xdr:row>4</xdr:row>
      <xdr:rowOff>85724</xdr:rowOff>
    </xdr:from>
    <xdr:to>
      <xdr:col>46</xdr:col>
      <xdr:colOff>819149</xdr:colOff>
      <xdr:row>12</xdr:row>
      <xdr:rowOff>1054100</xdr:rowOff>
    </xdr:to>
    <xdr:graphicFrame macro="">
      <xdr:nvGraphicFramePr>
        <xdr:cNvPr id="2" name="Chart 1">
          <a:extLst>
            <a:ext uri="{FF2B5EF4-FFF2-40B4-BE49-F238E27FC236}">
              <a16:creationId xmlns:a16="http://schemas.microsoft.com/office/drawing/2014/main" id="{CC712F6E-013B-4CB2-8CA4-B69B6070E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72</xdr:col>
      <xdr:colOff>38099</xdr:colOff>
      <xdr:row>6</xdr:row>
      <xdr:rowOff>19049</xdr:rowOff>
    </xdr:from>
    <xdr:to>
      <xdr:col>73</xdr:col>
      <xdr:colOff>539750</xdr:colOff>
      <xdr:row>12</xdr:row>
      <xdr:rowOff>1193800</xdr:rowOff>
    </xdr:to>
    <xdr:graphicFrame macro="">
      <xdr:nvGraphicFramePr>
        <xdr:cNvPr id="3" name="Chart 2">
          <a:extLst>
            <a:ext uri="{FF2B5EF4-FFF2-40B4-BE49-F238E27FC236}">
              <a16:creationId xmlns:a16="http://schemas.microsoft.com/office/drawing/2014/main" id="{1B771E53-5640-473C-BADE-EAC833D29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38100</xdr:colOff>
      <xdr:row>11</xdr:row>
      <xdr:rowOff>46037</xdr:rowOff>
    </xdr:from>
    <xdr:to>
      <xdr:col>22</xdr:col>
      <xdr:colOff>301625</xdr:colOff>
      <xdr:row>12</xdr:row>
      <xdr:rowOff>1903412</xdr:rowOff>
    </xdr:to>
    <xdr:graphicFrame macro="">
      <xdr:nvGraphicFramePr>
        <xdr:cNvPr id="7" name="Chart 6">
          <a:extLst>
            <a:ext uri="{FF2B5EF4-FFF2-40B4-BE49-F238E27FC236}">
              <a16:creationId xmlns:a16="http://schemas.microsoft.com/office/drawing/2014/main" id="{029F7252-92FC-4250-A7D1-CB62ED36E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69</xdr:col>
      <xdr:colOff>57150</xdr:colOff>
      <xdr:row>14</xdr:row>
      <xdr:rowOff>104775</xdr:rowOff>
    </xdr:from>
    <xdr:to>
      <xdr:col>72</xdr:col>
      <xdr:colOff>1038225</xdr:colOff>
      <xdr:row>23</xdr:row>
      <xdr:rowOff>95250</xdr:rowOff>
    </xdr:to>
    <xdr:graphicFrame macro="">
      <xdr:nvGraphicFramePr>
        <xdr:cNvPr id="9" name="Chart 8">
          <a:extLst>
            <a:ext uri="{FF2B5EF4-FFF2-40B4-BE49-F238E27FC236}">
              <a16:creationId xmlns:a16="http://schemas.microsoft.com/office/drawing/2014/main" id="{9A45A038-09E0-45E8-BE00-2EFB21BF7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389890</xdr:colOff>
      <xdr:row>10</xdr:row>
      <xdr:rowOff>134625</xdr:rowOff>
    </xdr:from>
    <xdr:to>
      <xdr:col>31</xdr:col>
      <xdr:colOff>246380</xdr:colOff>
      <xdr:row>15</xdr:row>
      <xdr:rowOff>152400</xdr:rowOff>
    </xdr:to>
    <xdr:graphicFrame macro="">
      <xdr:nvGraphicFramePr>
        <xdr:cNvPr id="11" name="Chart 10">
          <a:extLst>
            <a:ext uri="{FF2B5EF4-FFF2-40B4-BE49-F238E27FC236}">
              <a16:creationId xmlns:a16="http://schemas.microsoft.com/office/drawing/2014/main" id="{B0A38988-F02C-46D1-BAB3-FBD5D5BD8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88265</xdr:colOff>
      <xdr:row>4</xdr:row>
      <xdr:rowOff>88270</xdr:rowOff>
    </xdr:from>
    <xdr:to>
      <xdr:col>55</xdr:col>
      <xdr:colOff>30480</xdr:colOff>
      <xdr:row>12</xdr:row>
      <xdr:rowOff>1523999</xdr:rowOff>
    </xdr:to>
    <xdr:graphicFrame macro="">
      <xdr:nvGraphicFramePr>
        <xdr:cNvPr id="12" name="Chart 11">
          <a:extLst>
            <a:ext uri="{FF2B5EF4-FFF2-40B4-BE49-F238E27FC236}">
              <a16:creationId xmlns:a16="http://schemas.microsoft.com/office/drawing/2014/main" id="{05C56DBE-7CB6-4DF7-AF4A-7DF1C7BEA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74</xdr:col>
      <xdr:colOff>51752</xdr:colOff>
      <xdr:row>5</xdr:row>
      <xdr:rowOff>111131</xdr:rowOff>
    </xdr:from>
    <xdr:to>
      <xdr:col>82</xdr:col>
      <xdr:colOff>579120</xdr:colOff>
      <xdr:row>12</xdr:row>
      <xdr:rowOff>1475105</xdr:rowOff>
    </xdr:to>
    <xdr:graphicFrame macro="">
      <xdr:nvGraphicFramePr>
        <xdr:cNvPr id="13" name="Chart 12">
          <a:extLst>
            <a:ext uri="{FF2B5EF4-FFF2-40B4-BE49-F238E27FC236}">
              <a16:creationId xmlns:a16="http://schemas.microsoft.com/office/drawing/2014/main" id="{FA28414A-6BA2-47C6-B180-B664C0407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83</xdr:col>
      <xdr:colOff>35560</xdr:colOff>
      <xdr:row>6</xdr:row>
      <xdr:rowOff>15248</xdr:rowOff>
    </xdr:from>
    <xdr:to>
      <xdr:col>88</xdr:col>
      <xdr:colOff>548640</xdr:colOff>
      <xdr:row>12</xdr:row>
      <xdr:rowOff>1454150</xdr:rowOff>
    </xdr:to>
    <xdr:graphicFrame macro="">
      <xdr:nvGraphicFramePr>
        <xdr:cNvPr id="15" name="Chart 14">
          <a:extLst>
            <a:ext uri="{FF2B5EF4-FFF2-40B4-BE49-F238E27FC236}">
              <a16:creationId xmlns:a16="http://schemas.microsoft.com/office/drawing/2014/main" id="{B89B3297-13A3-44F8-867E-1F3EEDA2AD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89</xdr:col>
      <xdr:colOff>50800</xdr:colOff>
      <xdr:row>6</xdr:row>
      <xdr:rowOff>20328</xdr:rowOff>
    </xdr:from>
    <xdr:to>
      <xdr:col>95</xdr:col>
      <xdr:colOff>579120</xdr:colOff>
      <xdr:row>12</xdr:row>
      <xdr:rowOff>1485900</xdr:rowOff>
    </xdr:to>
    <xdr:graphicFrame macro="">
      <xdr:nvGraphicFramePr>
        <xdr:cNvPr id="16" name="Chart 15">
          <a:extLst>
            <a:ext uri="{FF2B5EF4-FFF2-40B4-BE49-F238E27FC236}">
              <a16:creationId xmlns:a16="http://schemas.microsoft.com/office/drawing/2014/main" id="{68D738A7-7FC3-40DD-9EEF-1FF1276E76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32</xdr:col>
      <xdr:colOff>67309</xdr:colOff>
      <xdr:row>11</xdr:row>
      <xdr:rowOff>17788</xdr:rowOff>
    </xdr:from>
    <xdr:to>
      <xdr:col>37</xdr:col>
      <xdr:colOff>17780</xdr:colOff>
      <xdr:row>14</xdr:row>
      <xdr:rowOff>284480</xdr:rowOff>
    </xdr:to>
    <xdr:graphicFrame macro="">
      <xdr:nvGraphicFramePr>
        <xdr:cNvPr id="17" name="Chart 16">
          <a:extLst>
            <a:ext uri="{FF2B5EF4-FFF2-40B4-BE49-F238E27FC236}">
              <a16:creationId xmlns:a16="http://schemas.microsoft.com/office/drawing/2014/main" id="{B350F3D6-7045-46E9-BAEC-3443A9AC1D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38</xdr:col>
      <xdr:colOff>55880</xdr:colOff>
      <xdr:row>11</xdr:row>
      <xdr:rowOff>17788</xdr:rowOff>
    </xdr:from>
    <xdr:to>
      <xdr:col>44</xdr:col>
      <xdr:colOff>251460</xdr:colOff>
      <xdr:row>14</xdr:row>
      <xdr:rowOff>325120</xdr:rowOff>
    </xdr:to>
    <xdr:graphicFrame macro="">
      <xdr:nvGraphicFramePr>
        <xdr:cNvPr id="18" name="Chart 17">
          <a:extLst>
            <a:ext uri="{FF2B5EF4-FFF2-40B4-BE49-F238E27FC236}">
              <a16:creationId xmlns:a16="http://schemas.microsoft.com/office/drawing/2014/main" id="{9CF8BC04-5E94-44E0-9EED-54A4FE14DC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56</xdr:col>
      <xdr:colOff>88900</xdr:colOff>
      <xdr:row>4</xdr:row>
      <xdr:rowOff>127008</xdr:rowOff>
    </xdr:from>
    <xdr:to>
      <xdr:col>61</xdr:col>
      <xdr:colOff>12700</xdr:colOff>
      <xdr:row>12</xdr:row>
      <xdr:rowOff>1358900</xdr:rowOff>
    </xdr:to>
    <xdr:graphicFrame macro="">
      <xdr:nvGraphicFramePr>
        <xdr:cNvPr id="19" name="Chart 18">
          <a:extLst>
            <a:ext uri="{FF2B5EF4-FFF2-40B4-BE49-F238E27FC236}">
              <a16:creationId xmlns:a16="http://schemas.microsoft.com/office/drawing/2014/main" id="{26224421-2117-4778-BA7F-B302760E24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62</xdr:col>
      <xdr:colOff>58419</xdr:colOff>
      <xdr:row>4</xdr:row>
      <xdr:rowOff>38108</xdr:rowOff>
    </xdr:from>
    <xdr:to>
      <xdr:col>67</xdr:col>
      <xdr:colOff>497841</xdr:colOff>
      <xdr:row>12</xdr:row>
      <xdr:rowOff>1391920</xdr:rowOff>
    </xdr:to>
    <xdr:graphicFrame macro="">
      <xdr:nvGraphicFramePr>
        <xdr:cNvPr id="20" name="Chart 19">
          <a:extLst>
            <a:ext uri="{FF2B5EF4-FFF2-40B4-BE49-F238E27FC236}">
              <a16:creationId xmlns:a16="http://schemas.microsoft.com/office/drawing/2014/main" id="{0312BCAE-743E-431E-B349-61BB842F96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7</xdr:col>
      <xdr:colOff>561975</xdr:colOff>
      <xdr:row>12</xdr:row>
      <xdr:rowOff>1066800</xdr:rowOff>
    </xdr:to>
    <xdr:graphicFrame macro="">
      <xdr:nvGraphicFramePr>
        <xdr:cNvPr id="2" name="Chart 1">
          <a:extLst>
            <a:ext uri="{FF2B5EF4-FFF2-40B4-BE49-F238E27FC236}">
              <a16:creationId xmlns:a16="http://schemas.microsoft.com/office/drawing/2014/main" id="{9E0830B1-5F15-4B6B-897E-A091B3048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76200</xdr:colOff>
      <xdr:row>7</xdr:row>
      <xdr:rowOff>95250</xdr:rowOff>
    </xdr:from>
    <xdr:to>
      <xdr:col>40</xdr:col>
      <xdr:colOff>590550</xdr:colOff>
      <xdr:row>14</xdr:row>
      <xdr:rowOff>104775</xdr:rowOff>
    </xdr:to>
    <xdr:graphicFrame macro="">
      <xdr:nvGraphicFramePr>
        <xdr:cNvPr id="3" name="Chart 2">
          <a:extLst>
            <a:ext uri="{FF2B5EF4-FFF2-40B4-BE49-F238E27FC236}">
              <a16:creationId xmlns:a16="http://schemas.microsoft.com/office/drawing/2014/main" id="{55D49CE4-8C4F-4705-9E7D-C9114E93C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169065</xdr:colOff>
      <xdr:row>3</xdr:row>
      <xdr:rowOff>400980</xdr:rowOff>
    </xdr:from>
    <xdr:to>
      <xdr:col>12</xdr:col>
      <xdr:colOff>515471</xdr:colOff>
      <xdr:row>12</xdr:row>
      <xdr:rowOff>851646</xdr:rowOff>
    </xdr:to>
    <xdr:graphicFrame macro="">
      <xdr:nvGraphicFramePr>
        <xdr:cNvPr id="4" name="Chart 3">
          <a:extLst>
            <a:ext uri="{FF2B5EF4-FFF2-40B4-BE49-F238E27FC236}">
              <a16:creationId xmlns:a16="http://schemas.microsoft.com/office/drawing/2014/main" id="{D5933A43-D8F0-4985-8700-92F03DEA4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135657</xdr:colOff>
      <xdr:row>15</xdr:row>
      <xdr:rowOff>146068</xdr:rowOff>
    </xdr:from>
    <xdr:to>
      <xdr:col>24</xdr:col>
      <xdr:colOff>1683204</xdr:colOff>
      <xdr:row>26</xdr:row>
      <xdr:rowOff>957943</xdr:rowOff>
    </xdr:to>
    <xdr:graphicFrame macro="">
      <xdr:nvGraphicFramePr>
        <xdr:cNvPr id="7" name="Chart 6">
          <a:extLst>
            <a:ext uri="{FF2B5EF4-FFF2-40B4-BE49-F238E27FC236}">
              <a16:creationId xmlns:a16="http://schemas.microsoft.com/office/drawing/2014/main" id="{0666ABC5-26F1-4024-AF5B-6CB14F297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66038</xdr:colOff>
      <xdr:row>3</xdr:row>
      <xdr:rowOff>379558</xdr:rowOff>
    </xdr:from>
    <xdr:to>
      <xdr:col>21</xdr:col>
      <xdr:colOff>138248</xdr:colOff>
      <xdr:row>13</xdr:row>
      <xdr:rowOff>10887</xdr:rowOff>
    </xdr:to>
    <xdr:graphicFrame macro="">
      <xdr:nvGraphicFramePr>
        <xdr:cNvPr id="8" name="Chart 7">
          <a:extLst>
            <a:ext uri="{FF2B5EF4-FFF2-40B4-BE49-F238E27FC236}">
              <a16:creationId xmlns:a16="http://schemas.microsoft.com/office/drawing/2014/main" id="{DE70A0C4-5DAD-4DDC-A53A-86114D702C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41</xdr:col>
      <xdr:colOff>427918</xdr:colOff>
      <xdr:row>6</xdr:row>
      <xdr:rowOff>101532</xdr:rowOff>
    </xdr:from>
    <xdr:to>
      <xdr:col>45</xdr:col>
      <xdr:colOff>708841</xdr:colOff>
      <xdr:row>15</xdr:row>
      <xdr:rowOff>21771</xdr:rowOff>
    </xdr:to>
    <xdr:graphicFrame macro="">
      <xdr:nvGraphicFramePr>
        <xdr:cNvPr id="10" name="Chart 9">
          <a:extLst>
            <a:ext uri="{FF2B5EF4-FFF2-40B4-BE49-F238E27FC236}">
              <a16:creationId xmlns:a16="http://schemas.microsoft.com/office/drawing/2014/main" id="{4358F2AD-9F45-4F95-AAAB-D47244F368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46</xdr:col>
      <xdr:colOff>172420</xdr:colOff>
      <xdr:row>6</xdr:row>
      <xdr:rowOff>60885</xdr:rowOff>
    </xdr:from>
    <xdr:to>
      <xdr:col>54</xdr:col>
      <xdr:colOff>138248</xdr:colOff>
      <xdr:row>15</xdr:row>
      <xdr:rowOff>108857</xdr:rowOff>
    </xdr:to>
    <xdr:graphicFrame macro="">
      <xdr:nvGraphicFramePr>
        <xdr:cNvPr id="5" name="Chart 4">
          <a:extLst>
            <a:ext uri="{FF2B5EF4-FFF2-40B4-BE49-F238E27FC236}">
              <a16:creationId xmlns:a16="http://schemas.microsoft.com/office/drawing/2014/main" id="{B38ED155-9239-40E0-BE67-76B5A9900D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61109</xdr:colOff>
      <xdr:row>15</xdr:row>
      <xdr:rowOff>60885</xdr:rowOff>
    </xdr:from>
    <xdr:to>
      <xdr:col>28</xdr:col>
      <xdr:colOff>1036681</xdr:colOff>
      <xdr:row>28</xdr:row>
      <xdr:rowOff>76200</xdr:rowOff>
    </xdr:to>
    <xdr:graphicFrame macro="">
      <xdr:nvGraphicFramePr>
        <xdr:cNvPr id="11" name="Chart 10">
          <a:extLst>
            <a:ext uri="{FF2B5EF4-FFF2-40B4-BE49-F238E27FC236}">
              <a16:creationId xmlns:a16="http://schemas.microsoft.com/office/drawing/2014/main" id="{A5970EA3-A30D-47A5-AC52-D066F5624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122463</xdr:colOff>
      <xdr:row>15</xdr:row>
      <xdr:rowOff>108856</xdr:rowOff>
    </xdr:from>
    <xdr:to>
      <xdr:col>39</xdr:col>
      <xdr:colOff>1292678</xdr:colOff>
      <xdr:row>28</xdr:row>
      <xdr:rowOff>124171</xdr:rowOff>
    </xdr:to>
    <xdr:graphicFrame macro="">
      <xdr:nvGraphicFramePr>
        <xdr:cNvPr id="12" name="Chart 11">
          <a:extLst>
            <a:ext uri="{FF2B5EF4-FFF2-40B4-BE49-F238E27FC236}">
              <a16:creationId xmlns:a16="http://schemas.microsoft.com/office/drawing/2014/main" id="{8557BA26-8F84-49F0-ABAE-23D6A1852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28575</xdr:colOff>
      <xdr:row>5</xdr:row>
      <xdr:rowOff>85724</xdr:rowOff>
    </xdr:from>
    <xdr:to>
      <xdr:col>18</xdr:col>
      <xdr:colOff>590550</xdr:colOff>
      <xdr:row>15</xdr:row>
      <xdr:rowOff>95249</xdr:rowOff>
    </xdr:to>
    <xdr:graphicFrame macro="">
      <xdr:nvGraphicFramePr>
        <xdr:cNvPr id="2" name="Chart 1">
          <a:extLst>
            <a:ext uri="{FF2B5EF4-FFF2-40B4-BE49-F238E27FC236}">
              <a16:creationId xmlns:a16="http://schemas.microsoft.com/office/drawing/2014/main" id="{87591DA8-3ABD-43BA-8FE8-12272D5F8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57151</xdr:colOff>
      <xdr:row>7</xdr:row>
      <xdr:rowOff>34925</xdr:rowOff>
    </xdr:from>
    <xdr:to>
      <xdr:col>34</xdr:col>
      <xdr:colOff>571500</xdr:colOff>
      <xdr:row>15</xdr:row>
      <xdr:rowOff>152400</xdr:rowOff>
    </xdr:to>
    <xdr:graphicFrame macro="">
      <xdr:nvGraphicFramePr>
        <xdr:cNvPr id="5" name="Chart 4">
          <a:extLst>
            <a:ext uri="{FF2B5EF4-FFF2-40B4-BE49-F238E27FC236}">
              <a16:creationId xmlns:a16="http://schemas.microsoft.com/office/drawing/2014/main" id="{CED2766A-BD33-44E3-99F0-90C071EFA4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285750</xdr:colOff>
      <xdr:row>18</xdr:row>
      <xdr:rowOff>166687</xdr:rowOff>
    </xdr:from>
    <xdr:to>
      <xdr:col>17</xdr:col>
      <xdr:colOff>1885950</xdr:colOff>
      <xdr:row>27</xdr:row>
      <xdr:rowOff>28575</xdr:rowOff>
    </xdr:to>
    <xdr:graphicFrame macro="">
      <xdr:nvGraphicFramePr>
        <xdr:cNvPr id="6" name="Chart 5">
          <a:extLst>
            <a:ext uri="{FF2B5EF4-FFF2-40B4-BE49-F238E27FC236}">
              <a16:creationId xmlns:a16="http://schemas.microsoft.com/office/drawing/2014/main" id="{9B3A6BDE-8D8B-40C2-B9FA-EB0CEA68F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100328</xdr:colOff>
      <xdr:row>5</xdr:row>
      <xdr:rowOff>114308</xdr:rowOff>
    </xdr:from>
    <xdr:to>
      <xdr:col>31</xdr:col>
      <xdr:colOff>609599</xdr:colOff>
      <xdr:row>17</xdr:row>
      <xdr:rowOff>132080</xdr:rowOff>
    </xdr:to>
    <xdr:graphicFrame macro="">
      <xdr:nvGraphicFramePr>
        <xdr:cNvPr id="7" name="Chart 6">
          <a:extLst>
            <a:ext uri="{FF2B5EF4-FFF2-40B4-BE49-F238E27FC236}">
              <a16:creationId xmlns:a16="http://schemas.microsoft.com/office/drawing/2014/main" id="{81AAE565-573A-4FF0-8FBD-F1719CCECD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73660</xdr:colOff>
      <xdr:row>7</xdr:row>
      <xdr:rowOff>66048</xdr:rowOff>
    </xdr:from>
    <xdr:to>
      <xdr:col>48</xdr:col>
      <xdr:colOff>10160</xdr:colOff>
      <xdr:row>17</xdr:row>
      <xdr:rowOff>609600</xdr:rowOff>
    </xdr:to>
    <xdr:graphicFrame macro="">
      <xdr:nvGraphicFramePr>
        <xdr:cNvPr id="8" name="Chart 7">
          <a:extLst>
            <a:ext uri="{FF2B5EF4-FFF2-40B4-BE49-F238E27FC236}">
              <a16:creationId xmlns:a16="http://schemas.microsoft.com/office/drawing/2014/main" id="{C212CD89-B2ED-4D4D-8F0D-629D90949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91440</xdr:colOff>
      <xdr:row>7</xdr:row>
      <xdr:rowOff>60968</xdr:rowOff>
    </xdr:from>
    <xdr:to>
      <xdr:col>39</xdr:col>
      <xdr:colOff>441960</xdr:colOff>
      <xdr:row>17</xdr:row>
      <xdr:rowOff>579120</xdr:rowOff>
    </xdr:to>
    <xdr:graphicFrame macro="">
      <xdr:nvGraphicFramePr>
        <xdr:cNvPr id="9" name="Chart 8">
          <a:extLst>
            <a:ext uri="{FF2B5EF4-FFF2-40B4-BE49-F238E27FC236}">
              <a16:creationId xmlns:a16="http://schemas.microsoft.com/office/drawing/2014/main" id="{BE4EBECC-059A-4EFA-B97E-8ADFC80F50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478790</xdr:colOff>
      <xdr:row>5</xdr:row>
      <xdr:rowOff>138430</xdr:rowOff>
    </xdr:from>
    <xdr:to>
      <xdr:col>23</xdr:col>
      <xdr:colOff>581660</xdr:colOff>
      <xdr:row>17</xdr:row>
      <xdr:rowOff>101600</xdr:rowOff>
    </xdr:to>
    <xdr:graphicFrame macro="">
      <xdr:nvGraphicFramePr>
        <xdr:cNvPr id="10" name="Chart 9">
          <a:extLst>
            <a:ext uri="{FF2B5EF4-FFF2-40B4-BE49-F238E27FC236}">
              <a16:creationId xmlns:a16="http://schemas.microsoft.com/office/drawing/2014/main" id="{804C20F5-7CFF-49BF-8652-B146BBB6A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22</xdr:col>
      <xdr:colOff>101599</xdr:colOff>
      <xdr:row>7</xdr:row>
      <xdr:rowOff>98425</xdr:rowOff>
    </xdr:from>
    <xdr:to>
      <xdr:col>24</xdr:col>
      <xdr:colOff>1987550</xdr:colOff>
      <xdr:row>24</xdr:row>
      <xdr:rowOff>47625</xdr:rowOff>
    </xdr:to>
    <xdr:graphicFrame macro="">
      <xdr:nvGraphicFramePr>
        <xdr:cNvPr id="2" name="Chart 1">
          <a:extLst>
            <a:ext uri="{FF2B5EF4-FFF2-40B4-BE49-F238E27FC236}">
              <a16:creationId xmlns:a16="http://schemas.microsoft.com/office/drawing/2014/main" id="{88F58B40-6B1D-41DD-BEED-1E7449362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545465</xdr:colOff>
      <xdr:row>6</xdr:row>
      <xdr:rowOff>12065</xdr:rowOff>
    </xdr:from>
    <xdr:to>
      <xdr:col>8</xdr:col>
      <xdr:colOff>586740</xdr:colOff>
      <xdr:row>24</xdr:row>
      <xdr:rowOff>50800</xdr:rowOff>
    </xdr:to>
    <xdr:graphicFrame macro="">
      <xdr:nvGraphicFramePr>
        <xdr:cNvPr id="3" name="Chart 2">
          <a:extLst>
            <a:ext uri="{FF2B5EF4-FFF2-40B4-BE49-F238E27FC236}">
              <a16:creationId xmlns:a16="http://schemas.microsoft.com/office/drawing/2014/main" id="{3E42F753-0C66-4EA7-8F5C-4F68C624C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43179</xdr:colOff>
      <xdr:row>7</xdr:row>
      <xdr:rowOff>97472</xdr:rowOff>
    </xdr:from>
    <xdr:to>
      <xdr:col>54</xdr:col>
      <xdr:colOff>1175385</xdr:colOff>
      <xdr:row>24</xdr:row>
      <xdr:rowOff>34925</xdr:rowOff>
    </xdr:to>
    <xdr:graphicFrame macro="">
      <xdr:nvGraphicFramePr>
        <xdr:cNvPr id="4" name="Chart 3">
          <a:extLst>
            <a:ext uri="{FF2B5EF4-FFF2-40B4-BE49-F238E27FC236}">
              <a16:creationId xmlns:a16="http://schemas.microsoft.com/office/drawing/2014/main" id="{2686D03B-A507-4FDC-AE12-4F7F5DABC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29211</xdr:colOff>
      <xdr:row>7</xdr:row>
      <xdr:rowOff>111131</xdr:rowOff>
    </xdr:from>
    <xdr:to>
      <xdr:col>28</xdr:col>
      <xdr:colOff>708660</xdr:colOff>
      <xdr:row>27</xdr:row>
      <xdr:rowOff>0</xdr:rowOff>
    </xdr:to>
    <xdr:graphicFrame macro="">
      <xdr:nvGraphicFramePr>
        <xdr:cNvPr id="5" name="Chart 4">
          <a:extLst>
            <a:ext uri="{FF2B5EF4-FFF2-40B4-BE49-F238E27FC236}">
              <a16:creationId xmlns:a16="http://schemas.microsoft.com/office/drawing/2014/main" id="{3F7471A2-9F48-4702-A91D-94AFFB68C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39</xdr:col>
      <xdr:colOff>190500</xdr:colOff>
      <xdr:row>7</xdr:row>
      <xdr:rowOff>43815</xdr:rowOff>
    </xdr:from>
    <xdr:to>
      <xdr:col>43</xdr:col>
      <xdr:colOff>539750</xdr:colOff>
      <xdr:row>27</xdr:row>
      <xdr:rowOff>0</xdr:rowOff>
    </xdr:to>
    <xdr:graphicFrame macro="">
      <xdr:nvGraphicFramePr>
        <xdr:cNvPr id="6" name="Chart 5">
          <a:extLst>
            <a:ext uri="{FF2B5EF4-FFF2-40B4-BE49-F238E27FC236}">
              <a16:creationId xmlns:a16="http://schemas.microsoft.com/office/drawing/2014/main" id="{E1A066FF-07ED-4B6D-8B2E-68ACCD4AC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1319530</xdr:colOff>
      <xdr:row>7</xdr:row>
      <xdr:rowOff>100970</xdr:rowOff>
    </xdr:from>
    <xdr:to>
      <xdr:col>58</xdr:col>
      <xdr:colOff>789939</xdr:colOff>
      <xdr:row>27</xdr:row>
      <xdr:rowOff>0</xdr:rowOff>
    </xdr:to>
    <xdr:graphicFrame macro="">
      <xdr:nvGraphicFramePr>
        <xdr:cNvPr id="7" name="Chart 6">
          <a:extLst>
            <a:ext uri="{FF2B5EF4-FFF2-40B4-BE49-F238E27FC236}">
              <a16:creationId xmlns:a16="http://schemas.microsoft.com/office/drawing/2014/main" id="{8F266301-2688-48C4-8957-13DC3DB76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123188</xdr:colOff>
      <xdr:row>7</xdr:row>
      <xdr:rowOff>96528</xdr:rowOff>
    </xdr:from>
    <xdr:to>
      <xdr:col>36</xdr:col>
      <xdr:colOff>633730</xdr:colOff>
      <xdr:row>26</xdr:row>
      <xdr:rowOff>142240</xdr:rowOff>
    </xdr:to>
    <xdr:graphicFrame macro="">
      <xdr:nvGraphicFramePr>
        <xdr:cNvPr id="8" name="Chart 7">
          <a:extLst>
            <a:ext uri="{FF2B5EF4-FFF2-40B4-BE49-F238E27FC236}">
              <a16:creationId xmlns:a16="http://schemas.microsoft.com/office/drawing/2014/main" id="{F95D67AC-A16C-4B9F-A463-6A72BD3760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93980</xdr:colOff>
      <xdr:row>7</xdr:row>
      <xdr:rowOff>17788</xdr:rowOff>
    </xdr:from>
    <xdr:to>
      <xdr:col>51</xdr:col>
      <xdr:colOff>609600</xdr:colOff>
      <xdr:row>26</xdr:row>
      <xdr:rowOff>152400</xdr:rowOff>
    </xdr:to>
    <xdr:graphicFrame macro="">
      <xdr:nvGraphicFramePr>
        <xdr:cNvPr id="9" name="Chart 8">
          <a:extLst>
            <a:ext uri="{FF2B5EF4-FFF2-40B4-BE49-F238E27FC236}">
              <a16:creationId xmlns:a16="http://schemas.microsoft.com/office/drawing/2014/main" id="{2C96A12C-0354-4116-99BA-A65D712B63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59</xdr:col>
      <xdr:colOff>114300</xdr:colOff>
      <xdr:row>7</xdr:row>
      <xdr:rowOff>55888</xdr:rowOff>
    </xdr:from>
    <xdr:to>
      <xdr:col>66</xdr:col>
      <xdr:colOff>609600</xdr:colOff>
      <xdr:row>26</xdr:row>
      <xdr:rowOff>132080</xdr:rowOff>
    </xdr:to>
    <xdr:graphicFrame macro="">
      <xdr:nvGraphicFramePr>
        <xdr:cNvPr id="10" name="Chart 9">
          <a:extLst>
            <a:ext uri="{FF2B5EF4-FFF2-40B4-BE49-F238E27FC236}">
              <a16:creationId xmlns:a16="http://schemas.microsoft.com/office/drawing/2014/main" id="{D26FF4CA-2340-45BF-A31B-DC4AE34775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274320</xdr:colOff>
      <xdr:row>6</xdr:row>
      <xdr:rowOff>38108</xdr:rowOff>
    </xdr:from>
    <xdr:to>
      <xdr:col>13</xdr:col>
      <xdr:colOff>533400</xdr:colOff>
      <xdr:row>25</xdr:row>
      <xdr:rowOff>152400</xdr:rowOff>
    </xdr:to>
    <xdr:graphicFrame macro="">
      <xdr:nvGraphicFramePr>
        <xdr:cNvPr id="11" name="Chart 10">
          <a:extLst>
            <a:ext uri="{FF2B5EF4-FFF2-40B4-BE49-F238E27FC236}">
              <a16:creationId xmlns:a16="http://schemas.microsoft.com/office/drawing/2014/main" id="{833CBE28-195D-4350-AC1E-3331B4B03B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55880</xdr:colOff>
      <xdr:row>6</xdr:row>
      <xdr:rowOff>20328</xdr:rowOff>
    </xdr:from>
    <xdr:to>
      <xdr:col>21</xdr:col>
      <xdr:colOff>593090</xdr:colOff>
      <xdr:row>25</xdr:row>
      <xdr:rowOff>152400</xdr:rowOff>
    </xdr:to>
    <xdr:graphicFrame macro="">
      <xdr:nvGraphicFramePr>
        <xdr:cNvPr id="12" name="Chart 11">
          <a:extLst>
            <a:ext uri="{FF2B5EF4-FFF2-40B4-BE49-F238E27FC236}">
              <a16:creationId xmlns:a16="http://schemas.microsoft.com/office/drawing/2014/main" id="{662F31E9-3B2F-4D69-9EF7-F72E2B2656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52</xdr:col>
      <xdr:colOff>66675</xdr:colOff>
      <xdr:row>7</xdr:row>
      <xdr:rowOff>95250</xdr:rowOff>
    </xdr:from>
    <xdr:to>
      <xdr:col>54</xdr:col>
      <xdr:colOff>790575</xdr:colOff>
      <xdr:row>24</xdr:row>
      <xdr:rowOff>123825</xdr:rowOff>
    </xdr:to>
    <xdr:graphicFrame macro="">
      <xdr:nvGraphicFramePr>
        <xdr:cNvPr id="2" name="Chart 1">
          <a:extLst>
            <a:ext uri="{FF2B5EF4-FFF2-40B4-BE49-F238E27FC236}">
              <a16:creationId xmlns:a16="http://schemas.microsoft.com/office/drawing/2014/main" id="{6800925A-DEAA-4583-8BA2-8530D1995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32067</xdr:colOff>
      <xdr:row>7</xdr:row>
      <xdr:rowOff>60958</xdr:rowOff>
    </xdr:from>
    <xdr:to>
      <xdr:col>58</xdr:col>
      <xdr:colOff>812165</xdr:colOff>
      <xdr:row>26</xdr:row>
      <xdr:rowOff>60959</xdr:rowOff>
    </xdr:to>
    <xdr:graphicFrame macro="">
      <xdr:nvGraphicFramePr>
        <xdr:cNvPr id="3" name="Chart 2">
          <a:extLst>
            <a:ext uri="{FF2B5EF4-FFF2-40B4-BE49-F238E27FC236}">
              <a16:creationId xmlns:a16="http://schemas.microsoft.com/office/drawing/2014/main" id="{D5CC20E7-7479-4558-95EC-523484EAC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60</xdr:col>
      <xdr:colOff>16827</xdr:colOff>
      <xdr:row>7</xdr:row>
      <xdr:rowOff>26034</xdr:rowOff>
    </xdr:from>
    <xdr:to>
      <xdr:col>62</xdr:col>
      <xdr:colOff>774065</xdr:colOff>
      <xdr:row>26</xdr:row>
      <xdr:rowOff>71120</xdr:rowOff>
    </xdr:to>
    <xdr:graphicFrame macro="">
      <xdr:nvGraphicFramePr>
        <xdr:cNvPr id="4" name="Chart 3">
          <a:extLst>
            <a:ext uri="{FF2B5EF4-FFF2-40B4-BE49-F238E27FC236}">
              <a16:creationId xmlns:a16="http://schemas.microsoft.com/office/drawing/2014/main" id="{8EA198EE-6A7C-49DB-A59C-93BD9BAAF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38099</xdr:colOff>
      <xdr:row>5</xdr:row>
      <xdr:rowOff>47626</xdr:rowOff>
    </xdr:from>
    <xdr:to>
      <xdr:col>16</xdr:col>
      <xdr:colOff>561975</xdr:colOff>
      <xdr:row>23</xdr:row>
      <xdr:rowOff>9525</xdr:rowOff>
    </xdr:to>
    <xdr:graphicFrame macro="">
      <xdr:nvGraphicFramePr>
        <xdr:cNvPr id="5" name="Chart 4">
          <a:extLst>
            <a:ext uri="{FF2B5EF4-FFF2-40B4-BE49-F238E27FC236}">
              <a16:creationId xmlns:a16="http://schemas.microsoft.com/office/drawing/2014/main" id="{B0F954EB-92B1-415B-B8B3-7CD53D0B6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19050</xdr:colOff>
      <xdr:row>5</xdr:row>
      <xdr:rowOff>38100</xdr:rowOff>
    </xdr:from>
    <xdr:to>
      <xdr:col>31</xdr:col>
      <xdr:colOff>595311</xdr:colOff>
      <xdr:row>21</xdr:row>
      <xdr:rowOff>142875</xdr:rowOff>
    </xdr:to>
    <xdr:graphicFrame macro="">
      <xdr:nvGraphicFramePr>
        <xdr:cNvPr id="6" name="Chart 5">
          <a:extLst>
            <a:ext uri="{FF2B5EF4-FFF2-40B4-BE49-F238E27FC236}">
              <a16:creationId xmlns:a16="http://schemas.microsoft.com/office/drawing/2014/main" id="{8F4E6F10-2C90-47AD-9264-05355D5A44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28574</xdr:colOff>
      <xdr:row>5</xdr:row>
      <xdr:rowOff>38100</xdr:rowOff>
    </xdr:from>
    <xdr:to>
      <xdr:col>49</xdr:col>
      <xdr:colOff>571500</xdr:colOff>
      <xdr:row>20</xdr:row>
      <xdr:rowOff>76200</xdr:rowOff>
    </xdr:to>
    <xdr:graphicFrame macro="">
      <xdr:nvGraphicFramePr>
        <xdr:cNvPr id="7" name="Chart 6">
          <a:extLst>
            <a:ext uri="{FF2B5EF4-FFF2-40B4-BE49-F238E27FC236}">
              <a16:creationId xmlns:a16="http://schemas.microsoft.com/office/drawing/2014/main" id="{51CFF72C-DF6D-405B-9632-9BB39A08E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222250</xdr:colOff>
      <xdr:row>23</xdr:row>
      <xdr:rowOff>38100</xdr:rowOff>
    </xdr:from>
    <xdr:to>
      <xdr:col>48</xdr:col>
      <xdr:colOff>841375</xdr:colOff>
      <xdr:row>37</xdr:row>
      <xdr:rowOff>47626</xdr:rowOff>
    </xdr:to>
    <xdr:graphicFrame macro="">
      <xdr:nvGraphicFramePr>
        <xdr:cNvPr id="8" name="Chart 7">
          <a:extLst>
            <a:ext uri="{FF2B5EF4-FFF2-40B4-BE49-F238E27FC236}">
              <a16:creationId xmlns:a16="http://schemas.microsoft.com/office/drawing/2014/main" id="{AFFD68EB-382D-4E43-8A4D-DAB2DA8DC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241300</xdr:colOff>
      <xdr:row>37</xdr:row>
      <xdr:rowOff>117474</xdr:rowOff>
    </xdr:from>
    <xdr:to>
      <xdr:col>48</xdr:col>
      <xdr:colOff>777875</xdr:colOff>
      <xdr:row>56</xdr:row>
      <xdr:rowOff>136072</xdr:rowOff>
    </xdr:to>
    <xdr:graphicFrame macro="">
      <xdr:nvGraphicFramePr>
        <xdr:cNvPr id="9" name="Chart 8">
          <a:extLst>
            <a:ext uri="{FF2B5EF4-FFF2-40B4-BE49-F238E27FC236}">
              <a16:creationId xmlns:a16="http://schemas.microsoft.com/office/drawing/2014/main" id="{7500DEE2-8EC3-4FDA-A58B-36771380E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57150</xdr:colOff>
      <xdr:row>5</xdr:row>
      <xdr:rowOff>66681</xdr:rowOff>
    </xdr:from>
    <xdr:to>
      <xdr:col>20</xdr:col>
      <xdr:colOff>469900</xdr:colOff>
      <xdr:row>23</xdr:row>
      <xdr:rowOff>88900</xdr:rowOff>
    </xdr:to>
    <xdr:graphicFrame macro="">
      <xdr:nvGraphicFramePr>
        <xdr:cNvPr id="10" name="Chart 9">
          <a:extLst>
            <a:ext uri="{FF2B5EF4-FFF2-40B4-BE49-F238E27FC236}">
              <a16:creationId xmlns:a16="http://schemas.microsoft.com/office/drawing/2014/main" id="{04B970D0-24CA-41E1-BF1D-01480B9DF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32</xdr:col>
      <xdr:colOff>68579</xdr:colOff>
      <xdr:row>5</xdr:row>
      <xdr:rowOff>15240</xdr:rowOff>
    </xdr:from>
    <xdr:to>
      <xdr:col>35</xdr:col>
      <xdr:colOff>556260</xdr:colOff>
      <xdr:row>23</xdr:row>
      <xdr:rowOff>142240</xdr:rowOff>
    </xdr:to>
    <xdr:graphicFrame macro="">
      <xdr:nvGraphicFramePr>
        <xdr:cNvPr id="11" name="Chart 10">
          <a:extLst>
            <a:ext uri="{FF2B5EF4-FFF2-40B4-BE49-F238E27FC236}">
              <a16:creationId xmlns:a16="http://schemas.microsoft.com/office/drawing/2014/main" id="{743BC659-9364-4FAB-996E-6A46FA9EB2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132080</xdr:colOff>
      <xdr:row>5</xdr:row>
      <xdr:rowOff>76208</xdr:rowOff>
    </xdr:from>
    <xdr:to>
      <xdr:col>28</xdr:col>
      <xdr:colOff>436880</xdr:colOff>
      <xdr:row>24</xdr:row>
      <xdr:rowOff>152400</xdr:rowOff>
    </xdr:to>
    <xdr:graphicFrame macro="">
      <xdr:nvGraphicFramePr>
        <xdr:cNvPr id="12" name="Chart 11">
          <a:extLst>
            <a:ext uri="{FF2B5EF4-FFF2-40B4-BE49-F238E27FC236}">
              <a16:creationId xmlns:a16="http://schemas.microsoft.com/office/drawing/2014/main" id="{2CBA522C-7739-4143-8B56-BC38320B88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36</xdr:col>
      <xdr:colOff>205740</xdr:colOff>
      <xdr:row>5</xdr:row>
      <xdr:rowOff>53348</xdr:rowOff>
    </xdr:from>
    <xdr:to>
      <xdr:col>43</xdr:col>
      <xdr:colOff>510540</xdr:colOff>
      <xdr:row>24</xdr:row>
      <xdr:rowOff>152400</xdr:rowOff>
    </xdr:to>
    <xdr:graphicFrame macro="">
      <xdr:nvGraphicFramePr>
        <xdr:cNvPr id="13" name="Chart 12">
          <a:extLst>
            <a:ext uri="{FF2B5EF4-FFF2-40B4-BE49-F238E27FC236}">
              <a16:creationId xmlns:a16="http://schemas.microsoft.com/office/drawing/2014/main" id="{D3AFDFAB-D4AE-40B1-AA38-DBDF4F24E5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bin"/><Relationship Id="rId1" Type="http://schemas.openxmlformats.org/officeDocument/2006/relationships/hyperlink" Target="https://checkcif.iucr.org/"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87546-A29A-4839-92EF-2ED43DF3DE5D}">
  <dimension ref="B2:D28"/>
  <sheetViews>
    <sheetView tabSelected="1" workbookViewId="0"/>
  </sheetViews>
  <sheetFormatPr defaultRowHeight="12.75" x14ac:dyDescent="0.2"/>
  <cols>
    <col min="1" max="1" width="5.7109375" customWidth="1"/>
    <col min="2" max="2" width="37.5703125" bestFit="1" customWidth="1"/>
    <col min="3" max="3" width="9.140625" style="16"/>
    <col min="4" max="4" width="105.140625" bestFit="1" customWidth="1"/>
  </cols>
  <sheetData>
    <row r="2" spans="2:4" x14ac:dyDescent="0.2">
      <c r="B2" s="35" t="s">
        <v>3577</v>
      </c>
    </row>
    <row r="4" spans="2:4" x14ac:dyDescent="0.2">
      <c r="B4" t="s">
        <v>3572</v>
      </c>
      <c r="C4" s="16">
        <v>12.2019</v>
      </c>
      <c r="D4" t="s">
        <v>3574</v>
      </c>
    </row>
    <row r="6" spans="2:4" x14ac:dyDescent="0.2">
      <c r="B6" t="s">
        <v>3573</v>
      </c>
      <c r="C6" s="16" t="s">
        <v>1915</v>
      </c>
      <c r="D6" t="s">
        <v>3575</v>
      </c>
    </row>
    <row r="8" spans="2:4" x14ac:dyDescent="0.2">
      <c r="D8" t="s">
        <v>4237</v>
      </c>
    </row>
    <row r="10" spans="2:4" x14ac:dyDescent="0.2">
      <c r="B10" t="s">
        <v>3578</v>
      </c>
      <c r="D10" t="s">
        <v>4012</v>
      </c>
    </row>
    <row r="14" spans="2:4" x14ac:dyDescent="0.2">
      <c r="B14" s="35" t="s">
        <v>1918</v>
      </c>
    </row>
    <row r="16" spans="2:4" x14ac:dyDescent="0.2">
      <c r="B16" s="10" t="s">
        <v>1916</v>
      </c>
    </row>
    <row r="17" spans="2:3" x14ac:dyDescent="0.2">
      <c r="B17" s="12"/>
      <c r="C17" s="30"/>
    </row>
    <row r="18" spans="2:3" x14ac:dyDescent="0.2">
      <c r="B18" s="29" t="s">
        <v>4013</v>
      </c>
    </row>
    <row r="19" spans="2:3" x14ac:dyDescent="0.2">
      <c r="B19" s="12"/>
      <c r="C19" s="30"/>
    </row>
    <row r="20" spans="2:3" x14ac:dyDescent="0.2">
      <c r="B20" s="26" t="s">
        <v>3576</v>
      </c>
      <c r="C20" s="26"/>
    </row>
    <row r="21" spans="2:3" x14ac:dyDescent="0.2">
      <c r="B21" s="26"/>
      <c r="C21" s="26"/>
    </row>
    <row r="22" spans="2:3" x14ac:dyDescent="0.2">
      <c r="B22" s="25" t="s">
        <v>3924</v>
      </c>
      <c r="C22" s="25"/>
    </row>
    <row r="23" spans="2:3" x14ac:dyDescent="0.2">
      <c r="B23" s="12"/>
      <c r="C23" s="30"/>
    </row>
    <row r="24" spans="2:3" x14ac:dyDescent="0.2">
      <c r="B24" s="31" t="s">
        <v>1917</v>
      </c>
    </row>
    <row r="26" spans="2:3" x14ac:dyDescent="0.2">
      <c r="B26" s="38" t="s">
        <v>1921</v>
      </c>
    </row>
    <row r="28" spans="2:3" x14ac:dyDescent="0.2">
      <c r="B28" s="1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7AAE0-E50C-4B93-8E3A-B4C33D0D92D1}">
  <dimension ref="A1:BR277"/>
  <sheetViews>
    <sheetView topLeftCell="E1" zoomScale="70" zoomScaleNormal="70" workbookViewId="0">
      <pane ySplit="1" topLeftCell="A2" activePane="bottomLeft" state="frozen"/>
      <selection activeCell="F1" sqref="F1"/>
      <selection pane="bottomLeft" activeCell="G1" sqref="G1"/>
    </sheetView>
  </sheetViews>
  <sheetFormatPr defaultColWidth="9.140625" defaultRowHeight="12.75" x14ac:dyDescent="0.2"/>
  <cols>
    <col min="1" max="1" width="9.140625" style="9"/>
    <col min="2" max="2" width="18.140625" style="9" customWidth="1"/>
    <col min="3" max="3" width="16.28515625" style="9" customWidth="1"/>
    <col min="4" max="4" width="18.140625" style="9" customWidth="1"/>
    <col min="5" max="5" width="17.5703125" style="9" customWidth="1"/>
    <col min="6" max="6" width="20" style="9" customWidth="1"/>
    <col min="7" max="7" width="9.140625" style="9"/>
    <col min="8" max="8" width="18.42578125" style="9" customWidth="1"/>
    <col min="9" max="23" width="9.140625" style="9"/>
    <col min="24" max="24" width="22.85546875" style="9" customWidth="1"/>
    <col min="25" max="25" width="30.140625" style="9" customWidth="1"/>
    <col min="26" max="28" width="9.140625" style="9"/>
    <col min="29" max="29" width="11" style="9" customWidth="1"/>
    <col min="30" max="38" width="9.140625" style="9"/>
    <col min="39" max="39" width="19.85546875" style="9" customWidth="1"/>
    <col min="40" max="53" width="9.140625" style="9"/>
    <col min="54" max="54" width="21.140625" style="9" customWidth="1"/>
    <col min="55" max="55" width="21.42578125" style="9" customWidth="1"/>
    <col min="56" max="58" width="9.140625" style="9"/>
    <col min="59" max="59" width="12.140625" style="9" customWidth="1"/>
    <col min="60" max="16384" width="9.140625" style="9"/>
  </cols>
  <sheetData>
    <row r="1" spans="1:70" s="2" customFormat="1" ht="51" x14ac:dyDescent="0.2">
      <c r="B1" s="2" t="s">
        <v>649</v>
      </c>
      <c r="C1" s="2" t="s">
        <v>3609</v>
      </c>
      <c r="D1" s="2" t="s">
        <v>646</v>
      </c>
      <c r="E1" s="2" t="s">
        <v>647</v>
      </c>
      <c r="F1" s="2" t="s">
        <v>648</v>
      </c>
      <c r="H1" s="8" t="s">
        <v>649</v>
      </c>
      <c r="I1" s="8" t="s">
        <v>3570</v>
      </c>
      <c r="J1" s="8"/>
      <c r="K1" s="8" t="s">
        <v>4002</v>
      </c>
      <c r="L1" s="8" t="s">
        <v>4014</v>
      </c>
      <c r="M1" s="8" t="s">
        <v>4003</v>
      </c>
      <c r="N1" s="8"/>
      <c r="O1" s="8" t="s">
        <v>105</v>
      </c>
      <c r="P1" s="8" t="s">
        <v>324</v>
      </c>
      <c r="Q1" s="8" t="s">
        <v>309</v>
      </c>
      <c r="R1" s="8" t="s">
        <v>443</v>
      </c>
      <c r="S1" s="8" t="s">
        <v>107</v>
      </c>
      <c r="T1" s="8" t="s">
        <v>3959</v>
      </c>
      <c r="U1" s="8" t="s">
        <v>377</v>
      </c>
      <c r="V1" s="8" t="s">
        <v>161</v>
      </c>
      <c r="W1" s="8"/>
      <c r="X1" s="8" t="s">
        <v>646</v>
      </c>
      <c r="Y1" s="8" t="s">
        <v>650</v>
      </c>
      <c r="Z1" s="8" t="s">
        <v>4002</v>
      </c>
      <c r="AA1" s="8" t="s">
        <v>4014</v>
      </c>
      <c r="AB1" s="8" t="s">
        <v>4003</v>
      </c>
      <c r="AC1" s="8"/>
      <c r="AD1" s="8" t="s">
        <v>105</v>
      </c>
      <c r="AE1" s="8" t="s">
        <v>324</v>
      </c>
      <c r="AF1" s="8" t="s">
        <v>309</v>
      </c>
      <c r="AG1" s="8" t="s">
        <v>443</v>
      </c>
      <c r="AH1" s="8" t="s">
        <v>107</v>
      </c>
      <c r="AI1" s="8" t="s">
        <v>3959</v>
      </c>
      <c r="AJ1" s="8" t="s">
        <v>377</v>
      </c>
      <c r="AK1" s="8" t="s">
        <v>161</v>
      </c>
      <c r="AL1" s="8"/>
      <c r="AM1" s="8" t="s">
        <v>647</v>
      </c>
      <c r="AN1" s="8" t="s">
        <v>651</v>
      </c>
      <c r="AO1" s="8" t="s">
        <v>4002</v>
      </c>
      <c r="AP1" s="8" t="s">
        <v>4014</v>
      </c>
      <c r="AQ1" s="8" t="s">
        <v>4003</v>
      </c>
      <c r="AR1" s="8"/>
      <c r="AS1" s="8" t="s">
        <v>105</v>
      </c>
      <c r="AT1" s="8" t="s">
        <v>324</v>
      </c>
      <c r="AU1" s="8" t="s">
        <v>309</v>
      </c>
      <c r="AV1" s="8" t="s">
        <v>443</v>
      </c>
      <c r="AW1" s="8" t="s">
        <v>107</v>
      </c>
      <c r="AX1" s="8" t="s">
        <v>3959</v>
      </c>
      <c r="AY1" s="8" t="s">
        <v>377</v>
      </c>
      <c r="AZ1" s="8" t="s">
        <v>161</v>
      </c>
      <c r="BA1" s="8"/>
      <c r="BB1" s="8" t="s">
        <v>648</v>
      </c>
      <c r="BC1" s="8" t="s">
        <v>3570</v>
      </c>
      <c r="BD1" s="8" t="s">
        <v>4002</v>
      </c>
      <c r="BE1" s="8" t="s">
        <v>4014</v>
      </c>
      <c r="BF1" s="8" t="s">
        <v>4003</v>
      </c>
      <c r="BG1" s="8"/>
      <c r="BH1" s="8" t="s">
        <v>105</v>
      </c>
      <c r="BI1" s="8" t="s">
        <v>324</v>
      </c>
      <c r="BJ1" s="8" t="s">
        <v>309</v>
      </c>
      <c r="BK1" s="8" t="s">
        <v>443</v>
      </c>
      <c r="BL1" s="8" t="s">
        <v>107</v>
      </c>
      <c r="BM1" s="8" t="s">
        <v>3959</v>
      </c>
      <c r="BN1" s="8" t="s">
        <v>377</v>
      </c>
      <c r="BO1" s="8" t="s">
        <v>161</v>
      </c>
      <c r="BP1" s="8"/>
      <c r="BQ1" s="37"/>
      <c r="BR1" s="37"/>
    </row>
    <row r="2" spans="1:70" x14ac:dyDescent="0.2">
      <c r="A2" s="9">
        <v>1</v>
      </c>
      <c r="B2" s="9" t="s">
        <v>84</v>
      </c>
      <c r="C2" s="9" t="s">
        <v>80</v>
      </c>
      <c r="D2" s="9" t="s">
        <v>93</v>
      </c>
      <c r="E2" s="9" t="s">
        <v>93</v>
      </c>
      <c r="F2" s="9" t="s">
        <v>82</v>
      </c>
      <c r="H2" s="9" t="s">
        <v>84</v>
      </c>
      <c r="I2" s="11">
        <f>COUNTIF(B$2:B$496,"Yes")</f>
        <v>263</v>
      </c>
      <c r="J2" s="11"/>
      <c r="K2" s="11">
        <f>COUNTIFS($B$2:$B$496,"Yes",'1'!$F$2:$F$496,"*staff*")</f>
        <v>71</v>
      </c>
      <c r="L2" s="11">
        <f>COUNTIFS($B$2:$B$496,"Yes",'1'!$F$2:$F$496,"*both*")</f>
        <v>166</v>
      </c>
      <c r="M2" s="11">
        <f>COUNTIFS($B$2:$B$496,"Yes",'1'!$F$2:$F$496,"*users work*")</f>
        <v>26</v>
      </c>
      <c r="N2" s="11"/>
      <c r="O2" s="11">
        <f>COUNTIFS($B$2:$B$496,"Yes",'1'!$B$2:$B$496,"*flow cytometry*")</f>
        <v>48</v>
      </c>
      <c r="P2" s="11">
        <f>COUNTIFS($B$2:$B$496,"Yes",'1'!$B$2:$B$496,"*genomics*")</f>
        <v>32</v>
      </c>
      <c r="Q2" s="11">
        <f>COUNTIFS($B$2:$B$496,"Yes",'1'!$B$2:$B$496,"*histology*")</f>
        <v>11</v>
      </c>
      <c r="R2" s="11">
        <f>COUNTIFS($B$2:$B$496,"Yes",'1'!$B$2:$B$496,"*metabolomics*")</f>
        <v>8</v>
      </c>
      <c r="S2" s="11">
        <f>COUNTIFS($B$2:$B$496,"Yes",'1'!$B$2:$B$496,"*microscopy*")</f>
        <v>62</v>
      </c>
      <c r="T2" s="11">
        <f>COUNTIFS($B$2:$B$496,"Yes",'1'!$B$2:$B$496,"*mouse*")</f>
        <v>15</v>
      </c>
      <c r="U2" s="11">
        <f>COUNTIFS($B$2:$B$496,"Yes",'1'!$B$2:$B$496,"*protein expression*")</f>
        <v>8</v>
      </c>
      <c r="V2" s="11">
        <f>COUNTIFS($B$2:$B$496,"Yes",'1'!$B$2:$B$496,"*proteomics*")</f>
        <v>35</v>
      </c>
      <c r="X2" s="9" t="s">
        <v>340</v>
      </c>
      <c r="Y2" s="11">
        <f>COUNTIF($D$2:$D$496,"never")</f>
        <v>3</v>
      </c>
      <c r="Z2" s="11">
        <f>COUNTIFS($D$2:$D$496,"never",'1'!$F$2:$F$496,"*staff*")</f>
        <v>1</v>
      </c>
      <c r="AA2" s="11">
        <f>COUNTIFS($D$2:$D$496,"never",'1'!$F$2:$F$496,"*both*")</f>
        <v>1</v>
      </c>
      <c r="AB2" s="11">
        <f>COUNTIFS($D$2:$D$496,"never",'1'!$F$2:$F$496,"*users work*")</f>
        <v>1</v>
      </c>
      <c r="AD2" s="11">
        <f>COUNTIFS($D$2:$D$496,"never",'1'!$B$2:$B$496,"*flow cytometry*")</f>
        <v>0</v>
      </c>
      <c r="AE2" s="11">
        <f>COUNTIFS($D$2:$D$496,"never",'1'!$B$2:$B$496,"*genomics*")</f>
        <v>0</v>
      </c>
      <c r="AF2" s="11">
        <f>COUNTIFS($D$2:$D$496,"never",'1'!$B$2:$B$496,"*histology*")</f>
        <v>0</v>
      </c>
      <c r="AG2" s="11">
        <f>COUNTIFS($D$2:$D$496,"never",'1'!$B$2:$B$496,"*metabolomics*")</f>
        <v>0</v>
      </c>
      <c r="AH2" s="11">
        <f>COUNTIFS($D$2:$D$496,"never",'1'!$B$2:$B$496,"*microscopy*")</f>
        <v>0</v>
      </c>
      <c r="AI2" s="11">
        <f>COUNTIFS($D$2:$D$496,"never",'1'!$B$2:$B$496,"*mouse*")</f>
        <v>0</v>
      </c>
      <c r="AJ2" s="11">
        <f>COUNTIFS($D$2:$D$496,"never",'1'!$B$2:$B$496,"*protein expression*")</f>
        <v>0</v>
      </c>
      <c r="AK2" s="11">
        <f>COUNTIFS($D$2:$D$496,"never",'1'!$B$2:$B$496,"*proteomics*")</f>
        <v>0</v>
      </c>
      <c r="AM2" s="9" t="s">
        <v>340</v>
      </c>
      <c r="AN2" s="11">
        <f>COUNTIF($E$2:$E$496,"never")</f>
        <v>3</v>
      </c>
      <c r="AO2" s="11">
        <f>COUNTIFS($E$2:$E$496,"never",'1'!$F$2:$F$496,"*staff*")</f>
        <v>2</v>
      </c>
      <c r="AP2" s="11">
        <f>COUNTIFS($E$2:$E$496,"never",'1'!$F$2:$F$496,"*both*")</f>
        <v>1</v>
      </c>
      <c r="AQ2" s="11">
        <f>COUNTIFS($E$2:$E$496,"never",'1'!$F$2:$F$496,"*users work*")</f>
        <v>0</v>
      </c>
      <c r="AS2" s="11">
        <f>COUNTIFS($E$2:$E$496,"never",'1'!$B$2:$B$496,"*flow cytometry*")</f>
        <v>0</v>
      </c>
      <c r="AT2" s="11">
        <f>COUNTIFS($E$2:$E$496,"never",'1'!$B$2:$B$496,"*genomics*")</f>
        <v>0</v>
      </c>
      <c r="AU2" s="11">
        <f>COUNTIFS($E$2:$E$496,"never",'1'!$B$2:$B$496,"*histology*")</f>
        <v>0</v>
      </c>
      <c r="AV2" s="11">
        <f>COUNTIFS($E$2:$E$496,"never",'1'!$B$2:$B$496,"*metabolomics*")</f>
        <v>0</v>
      </c>
      <c r="AW2" s="11">
        <f>COUNTIFS($E$2:$E$496,"never",'1'!$B$2:$B$496,"*microscopy*")</f>
        <v>0</v>
      </c>
      <c r="AX2" s="11">
        <f>COUNTIFS($E$2:$E$496,"never",'1'!$B$2:$B$496,"*mouse*")</f>
        <v>0</v>
      </c>
      <c r="AY2" s="11">
        <f>COUNTIFS($E$2:$E$496,"never",'1'!$B$2:$B$496,"*protein expression*")</f>
        <v>0</v>
      </c>
      <c r="AZ2" s="11">
        <f>COUNTIFS($E$2:$E$496,"never",'1'!$B$2:$B$496,"*proteomics*")</f>
        <v>0</v>
      </c>
      <c r="BB2" s="9" t="s">
        <v>340</v>
      </c>
      <c r="BC2" s="11">
        <f>COUNTIF($F$2:$F$496,"never")</f>
        <v>25</v>
      </c>
      <c r="BD2" s="11">
        <f>COUNTIFS($F$2:$F$496,"never",'1'!$F$2:$F$496,"*staff*")</f>
        <v>9</v>
      </c>
      <c r="BE2" s="11">
        <f>COUNTIFS($F$2:$F$496,"never",'1'!$F$2:$F$496,"*both*")</f>
        <v>15</v>
      </c>
      <c r="BF2" s="11">
        <f>COUNTIFS($F$2:$F$496,"never",'1'!$F$2:$F$496,"*users work*")</f>
        <v>1</v>
      </c>
      <c r="BH2" s="11">
        <f>COUNTIFS($F$2:$F$496,"never",'1'!$B$2:$B$496,"*flow cytometry*")</f>
        <v>2</v>
      </c>
      <c r="BI2" s="11">
        <f>COUNTIFS($F$2:$F$496,"never",'1'!$B$2:$B$496,"*genomics*")</f>
        <v>3</v>
      </c>
      <c r="BJ2" s="11">
        <f>COUNTIFS($F$2:$F$496,"never",'1'!$B$2:$B$496,"*histology*")</f>
        <v>0</v>
      </c>
      <c r="BK2" s="11">
        <f>COUNTIFS($F$2:$F$496,"never",'1'!$B$2:$B$496,"*metabolomics*")</f>
        <v>1</v>
      </c>
      <c r="BL2" s="11">
        <f>COUNTIFS($F$2:$F$496,"never",'1'!$B$2:$B$496,"*microscopy*")</f>
        <v>5</v>
      </c>
      <c r="BM2" s="11">
        <f>COUNTIFS($F$2:$F$496,"never",'1'!$B$2:$B$496,"*mouse*")</f>
        <v>3</v>
      </c>
      <c r="BN2" s="11">
        <f>COUNTIFS($F$2:$F$496,"never",'1'!$B$2:$B$496,"*protein expression*")</f>
        <v>2</v>
      </c>
      <c r="BO2" s="11">
        <f>COUNTIFS($F$2:$F$496,"never",'1'!$B$2:$B$496,"*proteomics*")</f>
        <v>2</v>
      </c>
    </row>
    <row r="3" spans="1:70" x14ac:dyDescent="0.2">
      <c r="A3" s="9">
        <v>2</v>
      </c>
      <c r="B3" s="9" t="s">
        <v>84</v>
      </c>
      <c r="C3" s="9" t="s">
        <v>80</v>
      </c>
      <c r="D3" s="9" t="s">
        <v>112</v>
      </c>
      <c r="E3" s="9" t="s">
        <v>113</v>
      </c>
      <c r="F3" s="9" t="s">
        <v>82</v>
      </c>
      <c r="H3" s="9" t="s">
        <v>82</v>
      </c>
      <c r="I3" s="11">
        <f>COUNTIF(B$2:B$496,"No")</f>
        <v>12</v>
      </c>
      <c r="J3" s="11"/>
      <c r="K3" s="11">
        <f>COUNTIFS(C$2:C$496,"No",'1'!G$2:G$496,"*staff*")</f>
        <v>0</v>
      </c>
      <c r="L3" s="11">
        <f>COUNTIFS($B$2:$B$496,"No",'1'!$F$2:$F$496,"*both*")</f>
        <v>9</v>
      </c>
      <c r="M3" s="11">
        <f>COUNTIFS($B$2:$B$496,"No",'1'!$F$2:$F$496,"*users work*")</f>
        <v>2</v>
      </c>
      <c r="N3" s="11"/>
      <c r="O3" s="11">
        <f>COUNTIFS($B$2:$B$496,"No",'1'!$B$2:$B$496,"*flow cytometry*")</f>
        <v>2</v>
      </c>
      <c r="P3" s="11">
        <f>COUNTIFS($B$2:$B$496,"No",'1'!$B$2:$B$496,"*genomics*")</f>
        <v>1</v>
      </c>
      <c r="Q3" s="11">
        <f>COUNTIFS($B$2:$B$496,"No",'1'!$B$2:$B$496,"*histology*")</f>
        <v>0</v>
      </c>
      <c r="R3" s="11">
        <f>COUNTIFS($B$2:$B$496,"No",'1'!$B$2:$B$496,"*metabolomics*")</f>
        <v>0</v>
      </c>
      <c r="S3" s="11">
        <f>COUNTIFS($B$2:$B$496,"No",'1'!$B$2:$B$496,"*microscopy*")</f>
        <v>0</v>
      </c>
      <c r="T3" s="11">
        <f>COUNTIFS($B$2:$B$496,"No",'1'!$B$2:$B$496,"*mouse*")</f>
        <v>1</v>
      </c>
      <c r="U3" s="11">
        <f>COUNTIFS($B$2:$B$496,"No",'1'!$B$2:$B$496,"*protein expression*")</f>
        <v>0</v>
      </c>
      <c r="V3" s="11">
        <f>COUNTIFS($B$2:$B$496,"No",'1'!$B$2:$B$496,"*proteomics*")</f>
        <v>0</v>
      </c>
      <c r="X3" s="9" t="s">
        <v>112</v>
      </c>
      <c r="Y3" s="11">
        <f>COUNTIF($D$2:$D$496,"rarely")</f>
        <v>15</v>
      </c>
      <c r="Z3" s="11">
        <f>COUNTIFS($D$2:$D$496,"rarely",'1'!$F$2:$F$496,"*staff*")</f>
        <v>6</v>
      </c>
      <c r="AA3" s="11">
        <f>COUNTIFS($D$2:$D$496,"rarely",'1'!$F$2:$F$496,"*both*")</f>
        <v>6</v>
      </c>
      <c r="AB3" s="11">
        <f>COUNTIFS($D$2:$D$496,"rarely",'1'!$F$2:$F$496,"*users work*")</f>
        <v>3</v>
      </c>
      <c r="AD3" s="11">
        <f>COUNTIFS($D$2:$D$496,"rarely",'1'!$B$2:$B$496,"*flow cytometry*")</f>
        <v>1</v>
      </c>
      <c r="AE3" s="11">
        <f>COUNTIFS($D$2:$D$496,"rarely",'1'!$B$2:$B$496,"*genomics*")</f>
        <v>1</v>
      </c>
      <c r="AF3" s="11">
        <f>COUNTIFS($D$2:$D$496,"rarely",'1'!$B$2:$B$496,"*histology*")</f>
        <v>0</v>
      </c>
      <c r="AG3" s="11">
        <f>COUNTIFS($D$2:$D$496,"rarely",'1'!$B$2:$B$496,"*metabolomics*")</f>
        <v>0</v>
      </c>
      <c r="AH3" s="11">
        <f>COUNTIFS($D$2:$D$496,"rarely",'1'!$B$2:$B$496,"*microscopy*")</f>
        <v>5</v>
      </c>
      <c r="AI3" s="11">
        <f>COUNTIFS($D$2:$D$496,"rarely",'1'!$B$2:$B$496,"*mouse*")</f>
        <v>3</v>
      </c>
      <c r="AJ3" s="11">
        <f>COUNTIFS($D$2:$D$496,"rarely",'1'!$B$2:$B$496,"*protein expression*")</f>
        <v>1</v>
      </c>
      <c r="AK3" s="11">
        <f>COUNTIFS($D$2:$D$496,"rarely",'1'!$B$2:$B$496,"*proteomics*")</f>
        <v>1</v>
      </c>
      <c r="AM3" s="9" t="s">
        <v>112</v>
      </c>
      <c r="AN3" s="11">
        <f>COUNTIF($E$2:$E$496,"rarely")</f>
        <v>15</v>
      </c>
      <c r="AO3" s="11">
        <f>COUNTIFS($E$2:$E$496,"rarely",'1'!$F$2:$F$496,"*staff*")</f>
        <v>1</v>
      </c>
      <c r="AP3" s="11">
        <f>COUNTIFS($E$2:$E$496,"rarely",'1'!$F$2:$F$496,"*both*")</f>
        <v>11</v>
      </c>
      <c r="AQ3" s="11">
        <f>COUNTIFS($E$2:$E$496,"rarely",'1'!$F$2:$F$496,"*users work*")</f>
        <v>3</v>
      </c>
      <c r="AS3" s="11">
        <f>COUNTIFS($E$2:$E$496,"rarely",'1'!$B$2:$B$496,"*flow cytometry*")</f>
        <v>5</v>
      </c>
      <c r="AT3" s="11">
        <f>COUNTIFS($E$2:$E$496,"rarely",'1'!$B$2:$B$496,"*genomics*")</f>
        <v>0</v>
      </c>
      <c r="AU3" s="11">
        <f>COUNTIFS($E$2:$E$496,"rarely",'1'!$B$2:$B$496,"*histology*")</f>
        <v>0</v>
      </c>
      <c r="AV3" s="11">
        <f>COUNTIFS($E$2:$E$496,"rarely",'1'!$B$2:$B$496,"*metabolomics*")</f>
        <v>0</v>
      </c>
      <c r="AW3" s="11">
        <f>COUNTIFS($E$2:$E$496,"rarely",'1'!$B$2:$B$496,"*microscopy*")</f>
        <v>6</v>
      </c>
      <c r="AX3" s="11">
        <f>COUNTIFS($E$2:$E$496,"rarely",'1'!$B$2:$B$496,"*mouse*")</f>
        <v>1</v>
      </c>
      <c r="AY3" s="11">
        <f>COUNTIFS($E$2:$E$496,"rarely",'1'!$B$2:$B$496,"*protein expression*")</f>
        <v>0</v>
      </c>
      <c r="AZ3" s="11">
        <f>COUNTIFS($E$2:$E$496,"rarely",'1'!$B$2:$B$496,"*proteomics*")</f>
        <v>1</v>
      </c>
      <c r="BB3" s="9" t="s">
        <v>112</v>
      </c>
      <c r="BC3" s="11">
        <f>COUNTIF($F$2:$F$496,"rarely")</f>
        <v>81</v>
      </c>
      <c r="BD3" s="11">
        <f>COUNTIFS($F$2:$F$496,"rarely",'1'!$F$2:$F$496,"*staff*")</f>
        <v>34</v>
      </c>
      <c r="BE3" s="11">
        <f>COUNTIFS($F$2:$F$496,"rarely",'1'!$F$2:$F$496,"*both*")</f>
        <v>46</v>
      </c>
      <c r="BF3" s="11">
        <f>COUNTIFS($F$2:$F$496,"rarely",'1'!$F$2:$F$496,"*users work*")</f>
        <v>1</v>
      </c>
      <c r="BH3" s="11">
        <f>COUNTIFS($F$2:$F$496,"rarely",'1'!$B$2:$B$496,"*flow cytometry*")</f>
        <v>13</v>
      </c>
      <c r="BI3" s="11">
        <f>COUNTIFS($F$2:$F$496,"rarely",'1'!$B$2:$B$496,"*genomics*")</f>
        <v>11</v>
      </c>
      <c r="BJ3" s="11">
        <f>COUNTIFS($F$2:$F$496,"rarely",'1'!$B$2:$B$496,"*histology*")</f>
        <v>2</v>
      </c>
      <c r="BK3" s="11">
        <f>COUNTIFS($F$2:$F$496,"rarely",'1'!$B$2:$B$496,"*metabolomics*")</f>
        <v>3</v>
      </c>
      <c r="BL3" s="11">
        <f>COUNTIFS($F$2:$F$496,"rarely",'1'!$B$2:$B$496,"*microscopy*")</f>
        <v>17</v>
      </c>
      <c r="BM3" s="11">
        <f>COUNTIFS($F$2:$F$496,"rarely",'1'!$B$2:$B$496,"*mouse*")</f>
        <v>2</v>
      </c>
      <c r="BN3" s="11">
        <f>COUNTIFS($F$2:$F$496,"rarely",'1'!$B$2:$B$496,"*protein expression*")</f>
        <v>1</v>
      </c>
      <c r="BO3" s="11">
        <f>COUNTIFS($F$2:$F$496,"rarely",'1'!$B$2:$B$496,"*proteomics*")</f>
        <v>19</v>
      </c>
    </row>
    <row r="4" spans="1:70" x14ac:dyDescent="0.2">
      <c r="A4" s="9">
        <v>3</v>
      </c>
      <c r="B4" s="9" t="s">
        <v>84</v>
      </c>
      <c r="C4" s="9" t="s">
        <v>80</v>
      </c>
      <c r="D4" s="9" t="s">
        <v>100</v>
      </c>
      <c r="E4" s="9" t="s">
        <v>100</v>
      </c>
      <c r="F4" s="9" t="s">
        <v>82</v>
      </c>
      <c r="I4" s="9">
        <f>SUM(I2:I3)</f>
        <v>275</v>
      </c>
      <c r="X4" s="9" t="s">
        <v>100</v>
      </c>
      <c r="Y4" s="11">
        <f>COUNTIF($D$2:$D$496,"sometimes")</f>
        <v>88</v>
      </c>
      <c r="Z4" s="11">
        <f>COUNTIFS($D$2:$D$496,"sometimes",'1'!$F$2:$F$496,"*staff*")</f>
        <v>17</v>
      </c>
      <c r="AA4" s="11">
        <f>COUNTIFS($D$2:$D$496,"sometimes",'1'!$F$2:$F$496,"*both*")</f>
        <v>56</v>
      </c>
      <c r="AB4" s="11">
        <f>COUNTIFS($D$2:$D$496,"sometimes",'1'!$F$2:$F$496,"*users work*")</f>
        <v>15</v>
      </c>
      <c r="AD4" s="11">
        <f>COUNTIFS($D$2:$D$496,"sometimes",'1'!$B$2:$B$496,"*flow cytometry*")</f>
        <v>22</v>
      </c>
      <c r="AE4" s="11">
        <f>COUNTIFS($D$2:$D$496,"sometimes",'1'!$B$2:$B$496,"*genomics*")</f>
        <v>14</v>
      </c>
      <c r="AF4" s="11">
        <f>COUNTIFS($D$2:$D$496,"sometimes",'1'!$B$2:$B$496,"*histology*")</f>
        <v>6</v>
      </c>
      <c r="AG4" s="11">
        <f>COUNTIFS($D$2:$D$496,"sometimes",'1'!$B$2:$B$496,"*metabolomics*")</f>
        <v>2</v>
      </c>
      <c r="AH4" s="11">
        <f>COUNTIFS($D$2:$D$496,"sometimes",'1'!$B$2:$B$496,"*microscopy*")</f>
        <v>22</v>
      </c>
      <c r="AI4" s="11">
        <f>COUNTIFS($D$2:$D$496,"sometimes",'1'!$B$2:$B$496,"*mouse*")</f>
        <v>3</v>
      </c>
      <c r="AJ4" s="11">
        <f>COUNTIFS($D$2:$D$496,"sometimes",'1'!$B$2:$B$496,"*protein expression*")</f>
        <v>4</v>
      </c>
      <c r="AK4" s="11">
        <f>COUNTIFS($D$2:$D$496,"sometimes",'1'!$B$2:$B$496,"*proteomics*")</f>
        <v>3</v>
      </c>
      <c r="AM4" s="9" t="s">
        <v>100</v>
      </c>
      <c r="AN4" s="11">
        <f>COUNTIF($E$2:$E$496,"sometimes")</f>
        <v>83</v>
      </c>
      <c r="AO4" s="11">
        <f>COUNTIFS($E$2:$E$496,"sometimes",'1'!$F$2:$F$496,"*staff*")</f>
        <v>14</v>
      </c>
      <c r="AP4" s="11">
        <f>COUNTIFS($E$2:$E$496,"sometimes",'1'!$F$2:$F$496,"*both*")</f>
        <v>55</v>
      </c>
      <c r="AQ4" s="11">
        <f>COUNTIFS($E$2:$E$496,"sometimes",'1'!$F$2:$F$496,"*users work*")</f>
        <v>14</v>
      </c>
      <c r="AS4" s="11">
        <f>COUNTIFS($E$2:$E$496,"sometimes",'1'!$B$2:$B$496,"*flow cytometry*")</f>
        <v>25</v>
      </c>
      <c r="AT4" s="11">
        <f>COUNTIFS($E$2:$E$496,"sometimes",'1'!$B$2:$B$496,"*genomics*")</f>
        <v>10</v>
      </c>
      <c r="AU4" s="11">
        <f>COUNTIFS($E$2:$E$496,"sometimes",'1'!$B$2:$B$496,"*histology*")</f>
        <v>3</v>
      </c>
      <c r="AV4" s="11">
        <f>COUNTIFS($E$2:$E$496,"sometimes",'1'!$B$2:$B$496,"*metabolomics*")</f>
        <v>0</v>
      </c>
      <c r="AW4" s="11">
        <f>COUNTIFS($E$2:$E$496,"sometimes",'1'!$B$2:$B$496,"*microscopy*")</f>
        <v>20</v>
      </c>
      <c r="AX4" s="11">
        <f>COUNTIFS($E$2:$E$496,"sometimes",'1'!$B$2:$B$496,"*mouse*")</f>
        <v>6</v>
      </c>
      <c r="AY4" s="11">
        <f>COUNTIFS($E$2:$E$496,"sometimes",'1'!$B$2:$B$496,"*protein expression*")</f>
        <v>5</v>
      </c>
      <c r="AZ4" s="11">
        <f>COUNTIFS($E$2:$E$496,"sometimes",'1'!$B$2:$B$496,"*proteomics*")</f>
        <v>3</v>
      </c>
      <c r="BB4" s="9" t="s">
        <v>100</v>
      </c>
      <c r="BC4" s="11">
        <f>COUNTIF($F$2:$F$496,"sometimes")</f>
        <v>74</v>
      </c>
      <c r="BD4" s="11">
        <f>COUNTIFS($F$2:$F$496,"sometimes",'1'!$F$2:$F$496,"*staff*")</f>
        <v>8</v>
      </c>
      <c r="BE4" s="11">
        <f>COUNTIFS($F$2:$F$496,"sometimes",'1'!$F$2:$F$496,"*both*")</f>
        <v>63</v>
      </c>
      <c r="BF4" s="11">
        <f>COUNTIFS($F$2:$F$496,"sometimes",'1'!$F$2:$F$496,"*users work*")</f>
        <v>3</v>
      </c>
      <c r="BH4" s="11">
        <f>COUNTIFS($F$2:$F$496,"sometimes",'1'!$B$2:$B$496,"*flow cytometry*")</f>
        <v>16</v>
      </c>
      <c r="BI4" s="11">
        <f>COUNTIFS($F$2:$F$496,"sometimes",'1'!$B$2:$B$496,"*genomics*")</f>
        <v>7</v>
      </c>
      <c r="BJ4" s="11">
        <f>COUNTIFS($F$2:$F$496,"sometimes",'1'!$B$2:$B$496,"*histology*")</f>
        <v>4</v>
      </c>
      <c r="BK4" s="11">
        <f>COUNTIFS($F$2:$F$496,"sometimes",'1'!$B$2:$B$496,"*metabolomics*")</f>
        <v>1</v>
      </c>
      <c r="BL4" s="11">
        <f>COUNTIFS($F$2:$F$496,"sometimes",'1'!$B$2:$B$496,"*microscopy*")</f>
        <v>22</v>
      </c>
      <c r="BM4" s="11">
        <f>COUNTIFS($F$2:$F$496,"sometimes",'1'!$B$2:$B$496,"*mouse*")</f>
        <v>4</v>
      </c>
      <c r="BN4" s="11">
        <f>COUNTIFS($F$2:$F$496,"sometimes",'1'!$B$2:$B$496,"*protein expression*")</f>
        <v>4</v>
      </c>
      <c r="BO4" s="11">
        <f>COUNTIFS($F$2:$F$496,"sometimes",'1'!$B$2:$B$496,"*proteomics*")</f>
        <v>5</v>
      </c>
    </row>
    <row r="5" spans="1:70" x14ac:dyDescent="0.2">
      <c r="A5" s="9">
        <v>4</v>
      </c>
      <c r="B5" s="9" t="s">
        <v>84</v>
      </c>
      <c r="C5" s="9" t="s">
        <v>80</v>
      </c>
      <c r="D5" s="9" t="s">
        <v>93</v>
      </c>
      <c r="E5" s="9" t="s">
        <v>113</v>
      </c>
      <c r="F5" s="9" t="s">
        <v>84</v>
      </c>
      <c r="X5" s="9" t="s">
        <v>113</v>
      </c>
      <c r="Y5" s="11">
        <f>COUNTIF($D$2:$D$496,"often")</f>
        <v>94</v>
      </c>
      <c r="Z5" s="11">
        <f>COUNTIFS($D$2:$D$496,"often",'1'!$F$2:$F$496,"*staff*")</f>
        <v>20</v>
      </c>
      <c r="AA5" s="11">
        <f>COUNTIFS($D$2:$D$496,"often",'1'!$F$2:$F$496,"*both*")</f>
        <v>65</v>
      </c>
      <c r="AB5" s="11">
        <f>COUNTIFS($D$2:$D$496,"often",'1'!$F$2:$F$496,"*users work*")</f>
        <v>9</v>
      </c>
      <c r="AD5" s="11">
        <f>COUNTIFS($D$2:$D$496,"often",'1'!$B$2:$B$496,"*flow cytometry*")</f>
        <v>21</v>
      </c>
      <c r="AE5" s="11">
        <f>COUNTIFS($D$2:$D$496,"often",'1'!$B$2:$B$496,"*genomics*")</f>
        <v>8</v>
      </c>
      <c r="AF5" s="11">
        <f>COUNTIFS($D$2:$D$496,"often",'1'!$B$2:$B$496,"*histology*")</f>
        <v>2</v>
      </c>
      <c r="AG5" s="11">
        <f>COUNTIFS($D$2:$D$496,"often",'1'!$B$2:$B$496,"*metabolomics*")</f>
        <v>3</v>
      </c>
      <c r="AH5" s="11">
        <f>COUNTIFS($D$2:$D$496,"often",'1'!$B$2:$B$496,"*microscopy*")</f>
        <v>26</v>
      </c>
      <c r="AI5" s="11">
        <f>COUNTIFS($D$2:$D$496,"often",'1'!$B$2:$B$496,"*mouse*")</f>
        <v>5</v>
      </c>
      <c r="AJ5" s="11">
        <f>COUNTIFS($D$2:$D$496,"often",'1'!$B$2:$B$496,"*protein expression*")</f>
        <v>1</v>
      </c>
      <c r="AK5" s="11">
        <f>COUNTIFS($D$2:$D$496,"often",'1'!$B$2:$B$496,"*proteomics*")</f>
        <v>13</v>
      </c>
      <c r="AM5" s="9" t="s">
        <v>113</v>
      </c>
      <c r="AN5" s="11">
        <f>COUNTIF($E$2:$E$496,"often")</f>
        <v>113</v>
      </c>
      <c r="AO5" s="11">
        <f>COUNTIFS($E$2:$E$496,"often",'1'!$F$2:$F$496,"*staff*")</f>
        <v>33</v>
      </c>
      <c r="AP5" s="11">
        <f>COUNTIFS($E$2:$E$496,"often",'1'!$F$2:$F$496,"*both*")</f>
        <v>70</v>
      </c>
      <c r="AQ5" s="11">
        <f>COUNTIFS($E$2:$E$496,"often",'1'!$F$2:$F$496,"*users work*")</f>
        <v>10</v>
      </c>
      <c r="AS5" s="11">
        <f>COUNTIFS($E$2:$E$496,"often",'1'!$B$2:$B$496,"*flow cytometry*")</f>
        <v>19</v>
      </c>
      <c r="AT5" s="11">
        <f>COUNTIFS($E$2:$E$496,"often",'1'!$B$2:$B$496,"*genomics*")</f>
        <v>17</v>
      </c>
      <c r="AU5" s="11">
        <f>COUNTIFS($E$2:$E$496,"often",'1'!$B$2:$B$496,"*histology*")</f>
        <v>6</v>
      </c>
      <c r="AV5" s="11">
        <f>COUNTIFS($E$2:$E$496,"often",'1'!$B$2:$B$496,"*metabolomics*")</f>
        <v>5</v>
      </c>
      <c r="AW5" s="11">
        <f>COUNTIFS($E$2:$E$496,"often",'1'!$B$2:$B$496,"*microscopy*")</f>
        <v>26</v>
      </c>
      <c r="AX5" s="11">
        <f>COUNTIFS($E$2:$E$496,"often",'1'!$B$2:$B$496,"*mouse*")</f>
        <v>3</v>
      </c>
      <c r="AY5" s="11">
        <f>COUNTIFS($E$2:$E$496,"often",'1'!$B$2:$B$496,"*protein expression*")</f>
        <v>2</v>
      </c>
      <c r="AZ5" s="11">
        <f>COUNTIFS($E$2:$E$496,"often",'1'!$B$2:$B$496,"*proteomics*")</f>
        <v>15</v>
      </c>
      <c r="BB5" s="9" t="s">
        <v>113</v>
      </c>
      <c r="BC5" s="11">
        <f>COUNTIF($F$2:$F$496,"often")</f>
        <v>19</v>
      </c>
      <c r="BD5" s="11">
        <f>COUNTIFS($F$2:$F$496,"often",'1'!$F$2:$F$496,"*staff*")</f>
        <v>5</v>
      </c>
      <c r="BE5" s="11">
        <f>COUNTIFS($F$2:$F$496,"often",'1'!$F$2:$F$496,"*both*")</f>
        <v>10</v>
      </c>
      <c r="BF5" s="11">
        <f>COUNTIFS($F$2:$F$496,"often",'1'!$F$2:$F$496,"*users work*")</f>
        <v>4</v>
      </c>
      <c r="BH5" s="11">
        <f>COUNTIFS($F$2:$F$496,"often",'1'!$B$2:$B$496,"*flow cytometry*")</f>
        <v>8</v>
      </c>
      <c r="BI5" s="11">
        <f>COUNTIFS($F$2:$F$496,"often",'1'!$B$2:$B$496,"*genomics*")</f>
        <v>4</v>
      </c>
      <c r="BJ5" s="11">
        <f>COUNTIFS($F$2:$F$496,"often",'1'!$B$2:$B$496,"*histology*")</f>
        <v>1</v>
      </c>
      <c r="BK5" s="11">
        <f>COUNTIFS($F$2:$F$496,"often",'1'!$B$2:$B$496,"*metabolomics*")</f>
        <v>0</v>
      </c>
      <c r="BL5" s="11">
        <f>COUNTIFS($F$2:$F$496,"often",'1'!$B$2:$B$496,"*microscopy*")</f>
        <v>4</v>
      </c>
      <c r="BM5" s="11">
        <f>COUNTIFS($F$2:$F$496,"often",'1'!$B$2:$B$496,"*mouse*")</f>
        <v>0</v>
      </c>
      <c r="BN5" s="11">
        <f>COUNTIFS($F$2:$F$496,"often",'1'!$B$2:$B$496,"*protein expression*")</f>
        <v>0</v>
      </c>
      <c r="BO5" s="11">
        <f>COUNTIFS($F$2:$F$496,"often",'1'!$B$2:$B$496,"*proteomics*")</f>
        <v>1</v>
      </c>
    </row>
    <row r="6" spans="1:70" x14ac:dyDescent="0.2">
      <c r="A6" s="9">
        <v>5</v>
      </c>
      <c r="B6" s="9" t="s">
        <v>84</v>
      </c>
      <c r="C6" s="9" t="s">
        <v>80</v>
      </c>
      <c r="D6" s="9" t="s">
        <v>113</v>
      </c>
      <c r="E6" s="9" t="s">
        <v>113</v>
      </c>
      <c r="F6" s="9" t="s">
        <v>84</v>
      </c>
      <c r="X6" s="9" t="s">
        <v>93</v>
      </c>
      <c r="Y6" s="11">
        <f>COUNTIF($D$2:$D$496,"always")</f>
        <v>75</v>
      </c>
      <c r="Z6" s="11">
        <f>COUNTIFS($D$2:$D$496,"always",'1'!$F$2:$F$496,"*staff*")</f>
        <v>28</v>
      </c>
      <c r="AA6" s="11">
        <f>COUNTIFS($D$2:$D$496,"always",'1'!$F$2:$F$496,"*both*")</f>
        <v>47</v>
      </c>
      <c r="AB6" s="11">
        <f>COUNTIFS($D$2:$D$496,"always",'1'!$F$2:$F$496,"*users work*")</f>
        <v>0</v>
      </c>
      <c r="AD6" s="11">
        <f>COUNTIFS($D$2:$D$496,"always",'1'!$B$2:$B$496,"*flow cytometry*")</f>
        <v>6</v>
      </c>
      <c r="AE6" s="11">
        <f>COUNTIFS($D$2:$D$496,"always",'1'!$B$2:$B$496,"*genomics*")</f>
        <v>10</v>
      </c>
      <c r="AF6" s="11">
        <f>COUNTIFS($D$2:$D$496,"always",'1'!$B$2:$B$496,"*histology*")</f>
        <v>3</v>
      </c>
      <c r="AG6" s="11">
        <f>COUNTIFS($D$2:$D$496,"always",'1'!$B$2:$B$496,"*metabolomics*")</f>
        <v>3</v>
      </c>
      <c r="AH6" s="11">
        <f>COUNTIFS($D$2:$D$496,"always",'1'!$B$2:$B$496,"*microscopy*")</f>
        <v>9</v>
      </c>
      <c r="AI6" s="11">
        <f>COUNTIFS($D$2:$D$496,"always",'1'!$B$2:$B$496,"*mouse*")</f>
        <v>5</v>
      </c>
      <c r="AJ6" s="11">
        <f>COUNTIFS($D$2:$D$496,"always",'1'!$B$2:$B$496,"*protein expression*")</f>
        <v>2</v>
      </c>
      <c r="AK6" s="11">
        <f>COUNTIFS($D$2:$D$496,"always",'1'!$B$2:$B$496,"*proteomics*")</f>
        <v>18</v>
      </c>
      <c r="AM6" s="9" t="s">
        <v>93</v>
      </c>
      <c r="AN6" s="11">
        <f>COUNTIF($E$2:$E$496,"always")</f>
        <v>61</v>
      </c>
      <c r="AO6" s="11">
        <f>COUNTIFS($E$2:$E$496,"always",'1'!$F$2:$F$496,"*staff*")</f>
        <v>22</v>
      </c>
      <c r="AP6" s="11">
        <f>COUNTIFS($E$2:$E$496,"always",'1'!$F$2:$F$496,"*both*")</f>
        <v>38</v>
      </c>
      <c r="AQ6" s="11">
        <f>COUNTIFS($E$2:$E$496,"always",'1'!$F$2:$F$496,"*users work*")</f>
        <v>1</v>
      </c>
      <c r="AS6" s="11">
        <f>COUNTIFS($E$2:$E$496,"always",'1'!$B$2:$B$496,"*flow cytometry*")</f>
        <v>1</v>
      </c>
      <c r="AT6" s="11">
        <f>COUNTIFS($E$2:$E$496,"always",'1'!$B$2:$B$496,"*genomics*")</f>
        <v>6</v>
      </c>
      <c r="AU6" s="11">
        <f>COUNTIFS($E$2:$E$496,"always",'1'!$B$2:$B$496,"*histology*")</f>
        <v>2</v>
      </c>
      <c r="AV6" s="11">
        <f>COUNTIFS($E$2:$E$496,"always",'1'!$B$2:$B$496,"*metabolomics*")</f>
        <v>3</v>
      </c>
      <c r="AW6" s="11">
        <f>COUNTIFS($E$2:$E$496,"always",'1'!$B$2:$B$496,"*microscopy*")</f>
        <v>10</v>
      </c>
      <c r="AX6" s="11">
        <f>COUNTIFS($E$2:$E$496,"always",'1'!$B$2:$B$496,"*mouse*")</f>
        <v>6</v>
      </c>
      <c r="AY6" s="11">
        <f>COUNTIFS($E$2:$E$496,"always",'1'!$B$2:$B$496,"*protein expression*")</f>
        <v>1</v>
      </c>
      <c r="AZ6" s="11">
        <f>COUNTIFS($E$2:$E$496,"always",'1'!$B$2:$B$496,"*proteomics*")</f>
        <v>16</v>
      </c>
      <c r="BB6" s="9" t="s">
        <v>93</v>
      </c>
      <c r="BC6" s="11">
        <f>COUNTIF($F$2:$F$496,"always")</f>
        <v>16</v>
      </c>
      <c r="BD6" s="11">
        <f>COUNTIFS($F$2:$F$496,"always",'1'!$F$2:$F$496,"*staff*")</f>
        <v>3</v>
      </c>
      <c r="BE6" s="11">
        <f>COUNTIFS($F$2:$F$496,"always",'1'!$F$2:$F$496,"*both*")</f>
        <v>12</v>
      </c>
      <c r="BF6" s="11">
        <f>COUNTIFS($F$2:$F$496,"always",'1'!$F$2:$F$496,"*users work*")</f>
        <v>1</v>
      </c>
      <c r="BH6" s="11">
        <f>COUNTIFS($F$2:$F$496,"always",'1'!$B$2:$B$496,"*flow cytometry*")</f>
        <v>4</v>
      </c>
      <c r="BI6" s="11">
        <f>COUNTIFS($F$2:$F$496,"always",'1'!$B$2:$B$496,"*genomics*")</f>
        <v>2</v>
      </c>
      <c r="BJ6" s="11">
        <f>COUNTIFS($F$2:$F$496,"always",'1'!$B$2:$B$496,"*histology*")</f>
        <v>0</v>
      </c>
      <c r="BK6" s="11">
        <f>COUNTIFS($F$2:$F$496,"always",'1'!$B$2:$B$496,"*metabolomics*")</f>
        <v>0</v>
      </c>
      <c r="BL6" s="11">
        <f>COUNTIFS($F$2:$F$496,"always",'1'!$B$2:$B$496,"*microscopy*")</f>
        <v>4</v>
      </c>
      <c r="BM6" s="11">
        <f>COUNTIFS($F$2:$F$496,"always",'1'!$B$2:$B$496,"*mouse*")</f>
        <v>1</v>
      </c>
      <c r="BN6" s="11">
        <f>COUNTIFS($F$2:$F$496,"always",'1'!$B$2:$B$496,"*protein expression*")</f>
        <v>0</v>
      </c>
      <c r="BO6" s="11">
        <f>COUNTIFS($F$2:$F$496,"always",'1'!$B$2:$B$496,"*proteomics*")</f>
        <v>0</v>
      </c>
    </row>
    <row r="7" spans="1:70" x14ac:dyDescent="0.2">
      <c r="A7" s="9">
        <v>6</v>
      </c>
      <c r="B7" s="9" t="s">
        <v>84</v>
      </c>
      <c r="C7" s="9" t="s">
        <v>80</v>
      </c>
      <c r="D7" s="9" t="s">
        <v>93</v>
      </c>
      <c r="E7" s="9" t="s">
        <v>93</v>
      </c>
      <c r="F7" s="9" t="s">
        <v>82</v>
      </c>
      <c r="Y7" s="9">
        <f>SUM(Y2:Y6)</f>
        <v>275</v>
      </c>
      <c r="AN7" s="9">
        <f>SUM(AN2:AN6)</f>
        <v>275</v>
      </c>
      <c r="BC7" s="9">
        <f>SUM(BC2:BC6)</f>
        <v>215</v>
      </c>
    </row>
    <row r="8" spans="1:70" x14ac:dyDescent="0.2">
      <c r="A8" s="9">
        <v>7</v>
      </c>
      <c r="B8" s="9" t="s">
        <v>84</v>
      </c>
      <c r="C8" s="9" t="s">
        <v>80</v>
      </c>
      <c r="D8" s="9" t="s">
        <v>100</v>
      </c>
      <c r="E8" s="9" t="s">
        <v>93</v>
      </c>
      <c r="F8" s="9" t="s">
        <v>82</v>
      </c>
    </row>
    <row r="9" spans="1:70" x14ac:dyDescent="0.2">
      <c r="A9" s="9">
        <v>8</v>
      </c>
      <c r="B9" s="9" t="s">
        <v>84</v>
      </c>
      <c r="C9" s="9" t="s">
        <v>80</v>
      </c>
      <c r="D9" s="9" t="s">
        <v>100</v>
      </c>
      <c r="E9" s="9" t="s">
        <v>113</v>
      </c>
      <c r="F9" s="9" t="s">
        <v>82</v>
      </c>
    </row>
    <row r="10" spans="1:70" x14ac:dyDescent="0.2">
      <c r="A10" s="9">
        <v>9</v>
      </c>
      <c r="B10" s="9" t="s">
        <v>84</v>
      </c>
      <c r="C10" s="9" t="s">
        <v>80</v>
      </c>
      <c r="D10" s="9" t="s">
        <v>100</v>
      </c>
      <c r="E10" s="9" t="s">
        <v>100</v>
      </c>
      <c r="F10" s="9" t="s">
        <v>82</v>
      </c>
    </row>
    <row r="11" spans="1:70" x14ac:dyDescent="0.2">
      <c r="A11" s="9">
        <v>10</v>
      </c>
      <c r="B11" s="9" t="s">
        <v>84</v>
      </c>
      <c r="C11" s="9" t="s">
        <v>80</v>
      </c>
      <c r="D11" s="9" t="s">
        <v>113</v>
      </c>
      <c r="E11" s="9" t="s">
        <v>113</v>
      </c>
      <c r="F11" s="9" t="s">
        <v>84</v>
      </c>
    </row>
    <row r="12" spans="1:70" x14ac:dyDescent="0.2">
      <c r="A12" s="9">
        <v>11</v>
      </c>
      <c r="B12" s="9" t="s">
        <v>84</v>
      </c>
      <c r="C12" s="9" t="s">
        <v>80</v>
      </c>
      <c r="D12" s="9" t="s">
        <v>100</v>
      </c>
      <c r="E12" s="9" t="s">
        <v>113</v>
      </c>
      <c r="F12" s="9" t="s">
        <v>84</v>
      </c>
    </row>
    <row r="13" spans="1:70" x14ac:dyDescent="0.2">
      <c r="A13" s="9">
        <v>12</v>
      </c>
      <c r="B13" s="9" t="s">
        <v>84</v>
      </c>
      <c r="C13" s="9" t="s">
        <v>80</v>
      </c>
      <c r="D13" s="9" t="s">
        <v>93</v>
      </c>
      <c r="E13" s="9" t="s">
        <v>93</v>
      </c>
      <c r="F13" s="9" t="s">
        <v>82</v>
      </c>
    </row>
    <row r="14" spans="1:70" x14ac:dyDescent="0.2">
      <c r="A14" s="9">
        <v>13</v>
      </c>
      <c r="B14" s="9" t="s">
        <v>84</v>
      </c>
      <c r="C14" s="9" t="s">
        <v>80</v>
      </c>
      <c r="D14" s="9" t="s">
        <v>113</v>
      </c>
      <c r="E14" s="9" t="s">
        <v>100</v>
      </c>
      <c r="F14" s="9" t="s">
        <v>84</v>
      </c>
    </row>
    <row r="15" spans="1:70" x14ac:dyDescent="0.2">
      <c r="A15" s="9">
        <v>14</v>
      </c>
      <c r="B15" s="9" t="s">
        <v>84</v>
      </c>
      <c r="C15" s="9" t="s">
        <v>80</v>
      </c>
      <c r="D15" s="9" t="s">
        <v>113</v>
      </c>
      <c r="E15" s="9" t="s">
        <v>93</v>
      </c>
      <c r="F15" s="9" t="s">
        <v>82</v>
      </c>
    </row>
    <row r="16" spans="1:70" x14ac:dyDescent="0.2">
      <c r="A16" s="9">
        <v>15</v>
      </c>
      <c r="B16" s="9" t="s">
        <v>84</v>
      </c>
      <c r="C16" s="9" t="s">
        <v>80</v>
      </c>
      <c r="D16" s="9" t="s">
        <v>93</v>
      </c>
      <c r="E16" s="9" t="s">
        <v>113</v>
      </c>
      <c r="F16" s="9" t="s">
        <v>84</v>
      </c>
    </row>
    <row r="17" spans="1:6" x14ac:dyDescent="0.2">
      <c r="A17" s="9">
        <v>16</v>
      </c>
      <c r="B17" s="9" t="s">
        <v>84</v>
      </c>
      <c r="C17" s="9" t="s">
        <v>80</v>
      </c>
      <c r="D17" s="9" t="s">
        <v>113</v>
      </c>
      <c r="E17" s="9" t="s">
        <v>113</v>
      </c>
      <c r="F17" s="9" t="s">
        <v>84</v>
      </c>
    </row>
    <row r="18" spans="1:6" x14ac:dyDescent="0.2">
      <c r="A18" s="9">
        <v>17</v>
      </c>
      <c r="B18" s="9" t="s">
        <v>82</v>
      </c>
      <c r="C18" s="9" t="s">
        <v>82</v>
      </c>
      <c r="D18" s="9" t="s">
        <v>340</v>
      </c>
      <c r="E18" s="9" t="s">
        <v>100</v>
      </c>
      <c r="F18" s="9" t="s">
        <v>82</v>
      </c>
    </row>
    <row r="19" spans="1:6" x14ac:dyDescent="0.2">
      <c r="A19" s="9">
        <v>18</v>
      </c>
      <c r="B19" s="9" t="s">
        <v>84</v>
      </c>
      <c r="C19" s="9" t="s">
        <v>80</v>
      </c>
      <c r="D19" s="9" t="s">
        <v>100</v>
      </c>
      <c r="E19" s="9" t="s">
        <v>113</v>
      </c>
      <c r="F19" s="9" t="s">
        <v>82</v>
      </c>
    </row>
    <row r="20" spans="1:6" x14ac:dyDescent="0.2">
      <c r="A20" s="9">
        <v>19</v>
      </c>
      <c r="B20" s="32" t="s">
        <v>82</v>
      </c>
      <c r="C20" s="32" t="s">
        <v>82</v>
      </c>
      <c r="D20" s="32" t="s">
        <v>113</v>
      </c>
      <c r="E20" s="32" t="s">
        <v>113</v>
      </c>
      <c r="F20" s="32" t="s">
        <v>82</v>
      </c>
    </row>
    <row r="21" spans="1:6" x14ac:dyDescent="0.2">
      <c r="A21" s="9">
        <v>20</v>
      </c>
      <c r="B21" s="32" t="s">
        <v>84</v>
      </c>
      <c r="C21" s="32" t="s">
        <v>80</v>
      </c>
      <c r="D21" s="32" t="s">
        <v>113</v>
      </c>
      <c r="E21" s="32" t="s">
        <v>93</v>
      </c>
      <c r="F21" s="32" t="s">
        <v>82</v>
      </c>
    </row>
    <row r="22" spans="1:6" x14ac:dyDescent="0.2">
      <c r="A22" s="9">
        <v>21</v>
      </c>
      <c r="B22" s="9" t="s">
        <v>84</v>
      </c>
      <c r="C22" s="9" t="s">
        <v>80</v>
      </c>
      <c r="D22" s="9" t="s">
        <v>100</v>
      </c>
      <c r="E22" s="9" t="s">
        <v>93</v>
      </c>
      <c r="F22" s="9" t="s">
        <v>82</v>
      </c>
    </row>
    <row r="23" spans="1:6" x14ac:dyDescent="0.2">
      <c r="A23" s="9">
        <v>22</v>
      </c>
      <c r="B23" s="9" t="s">
        <v>84</v>
      </c>
      <c r="C23" s="9" t="s">
        <v>80</v>
      </c>
      <c r="D23" s="9" t="s">
        <v>100</v>
      </c>
      <c r="E23" s="9" t="s">
        <v>100</v>
      </c>
      <c r="F23" s="9" t="s">
        <v>82</v>
      </c>
    </row>
    <row r="24" spans="1:6" x14ac:dyDescent="0.2">
      <c r="A24" s="9">
        <v>23</v>
      </c>
      <c r="B24" s="9" t="s">
        <v>84</v>
      </c>
      <c r="C24" s="9" t="s">
        <v>80</v>
      </c>
      <c r="D24" s="9" t="s">
        <v>112</v>
      </c>
      <c r="E24" s="9" t="s">
        <v>100</v>
      </c>
      <c r="F24" s="9" t="s">
        <v>84</v>
      </c>
    </row>
    <row r="25" spans="1:6" x14ac:dyDescent="0.2">
      <c r="A25" s="9">
        <v>24</v>
      </c>
      <c r="B25" s="9" t="s">
        <v>84</v>
      </c>
      <c r="C25" s="9" t="s">
        <v>80</v>
      </c>
      <c r="D25" s="9" t="s">
        <v>113</v>
      </c>
      <c r="E25" s="9" t="s">
        <v>113</v>
      </c>
      <c r="F25" s="9" t="s">
        <v>84</v>
      </c>
    </row>
    <row r="26" spans="1:6" x14ac:dyDescent="0.2">
      <c r="A26" s="9">
        <v>25</v>
      </c>
      <c r="B26" s="9" t="s">
        <v>84</v>
      </c>
      <c r="C26" s="9" t="s">
        <v>80</v>
      </c>
      <c r="D26" s="9" t="s">
        <v>100</v>
      </c>
      <c r="E26" s="9" t="s">
        <v>100</v>
      </c>
      <c r="F26" s="9" t="s">
        <v>84</v>
      </c>
    </row>
    <row r="27" spans="1:6" x14ac:dyDescent="0.2">
      <c r="A27" s="9">
        <v>26</v>
      </c>
      <c r="B27" s="9" t="s">
        <v>84</v>
      </c>
      <c r="C27" s="9" t="s">
        <v>80</v>
      </c>
      <c r="D27" s="9" t="s">
        <v>93</v>
      </c>
      <c r="E27" s="9" t="s">
        <v>113</v>
      </c>
      <c r="F27" s="9" t="s">
        <v>84</v>
      </c>
    </row>
    <row r="28" spans="1:6" x14ac:dyDescent="0.2">
      <c r="A28" s="9">
        <v>27</v>
      </c>
      <c r="B28" s="9" t="s">
        <v>84</v>
      </c>
      <c r="C28" s="9" t="s">
        <v>80</v>
      </c>
      <c r="D28" s="9" t="s">
        <v>100</v>
      </c>
      <c r="E28" s="9" t="s">
        <v>113</v>
      </c>
      <c r="F28" s="9" t="s">
        <v>84</v>
      </c>
    </row>
    <row r="29" spans="1:6" x14ac:dyDescent="0.2">
      <c r="A29" s="9">
        <v>28</v>
      </c>
      <c r="B29" s="9" t="s">
        <v>84</v>
      </c>
      <c r="C29" s="9" t="s">
        <v>80</v>
      </c>
      <c r="D29" s="9" t="s">
        <v>113</v>
      </c>
      <c r="E29" s="9" t="s">
        <v>113</v>
      </c>
      <c r="F29" s="9" t="s">
        <v>82</v>
      </c>
    </row>
    <row r="30" spans="1:6" x14ac:dyDescent="0.2">
      <c r="A30" s="9">
        <v>29</v>
      </c>
      <c r="B30" s="9" t="s">
        <v>84</v>
      </c>
      <c r="C30" s="9" t="s">
        <v>80</v>
      </c>
      <c r="D30" s="9" t="s">
        <v>93</v>
      </c>
      <c r="E30" s="9" t="s">
        <v>93</v>
      </c>
      <c r="F30" s="9" t="s">
        <v>82</v>
      </c>
    </row>
    <row r="31" spans="1:6" x14ac:dyDescent="0.2">
      <c r="A31" s="9">
        <v>30</v>
      </c>
      <c r="B31" s="9" t="s">
        <v>84</v>
      </c>
      <c r="C31" s="9" t="s">
        <v>80</v>
      </c>
      <c r="D31" s="9" t="s">
        <v>113</v>
      </c>
      <c r="E31" s="9" t="s">
        <v>113</v>
      </c>
      <c r="F31" s="9" t="s">
        <v>82</v>
      </c>
    </row>
    <row r="32" spans="1:6" x14ac:dyDescent="0.2">
      <c r="A32" s="9">
        <v>31</v>
      </c>
      <c r="B32" s="9" t="s">
        <v>84</v>
      </c>
      <c r="C32" s="9" t="s">
        <v>80</v>
      </c>
      <c r="D32" s="9" t="s">
        <v>112</v>
      </c>
      <c r="E32" s="9" t="s">
        <v>100</v>
      </c>
      <c r="F32" s="9" t="s">
        <v>82</v>
      </c>
    </row>
    <row r="33" spans="1:6" x14ac:dyDescent="0.2">
      <c r="A33" s="9">
        <v>32</v>
      </c>
      <c r="B33" s="9" t="s">
        <v>84</v>
      </c>
      <c r="C33" s="9" t="s">
        <v>80</v>
      </c>
      <c r="D33" s="9" t="s">
        <v>93</v>
      </c>
      <c r="E33" s="9" t="s">
        <v>93</v>
      </c>
      <c r="F33" s="9" t="s">
        <v>82</v>
      </c>
    </row>
    <row r="34" spans="1:6" x14ac:dyDescent="0.2">
      <c r="A34" s="9">
        <v>33</v>
      </c>
      <c r="B34" s="9" t="s">
        <v>84</v>
      </c>
      <c r="C34" s="9" t="s">
        <v>80</v>
      </c>
      <c r="D34" s="9" t="s">
        <v>100</v>
      </c>
      <c r="E34" s="9" t="s">
        <v>100</v>
      </c>
      <c r="F34" s="9" t="s">
        <v>82</v>
      </c>
    </row>
    <row r="35" spans="1:6" x14ac:dyDescent="0.2">
      <c r="A35" s="9">
        <v>34</v>
      </c>
      <c r="B35" s="9" t="s">
        <v>84</v>
      </c>
      <c r="C35" s="9" t="s">
        <v>80</v>
      </c>
      <c r="D35" s="9" t="s">
        <v>113</v>
      </c>
      <c r="E35" s="9" t="s">
        <v>113</v>
      </c>
      <c r="F35" s="9" t="s">
        <v>84</v>
      </c>
    </row>
    <row r="36" spans="1:6" x14ac:dyDescent="0.2">
      <c r="A36" s="9">
        <v>35</v>
      </c>
      <c r="B36" s="9" t="s">
        <v>84</v>
      </c>
      <c r="C36" s="9" t="s">
        <v>80</v>
      </c>
      <c r="D36" s="9" t="s">
        <v>93</v>
      </c>
      <c r="E36" s="9" t="s">
        <v>93</v>
      </c>
      <c r="F36" s="9" t="s">
        <v>82</v>
      </c>
    </row>
    <row r="37" spans="1:6" x14ac:dyDescent="0.2">
      <c r="A37" s="9">
        <v>36</v>
      </c>
      <c r="B37" s="9" t="s">
        <v>84</v>
      </c>
      <c r="C37" s="9" t="s">
        <v>80</v>
      </c>
      <c r="D37" s="9" t="s">
        <v>100</v>
      </c>
      <c r="E37" s="9" t="s">
        <v>113</v>
      </c>
      <c r="F37" s="9" t="s">
        <v>84</v>
      </c>
    </row>
    <row r="38" spans="1:6" x14ac:dyDescent="0.2">
      <c r="A38" s="9">
        <v>37</v>
      </c>
      <c r="B38" s="9" t="s">
        <v>84</v>
      </c>
      <c r="C38" s="9" t="s">
        <v>80</v>
      </c>
      <c r="D38" s="9" t="s">
        <v>113</v>
      </c>
      <c r="E38" s="9" t="s">
        <v>113</v>
      </c>
      <c r="F38" s="9" t="s">
        <v>84</v>
      </c>
    </row>
    <row r="39" spans="1:6" x14ac:dyDescent="0.2">
      <c r="A39" s="9">
        <v>38</v>
      </c>
      <c r="B39" s="9" t="s">
        <v>84</v>
      </c>
      <c r="C39" s="9" t="s">
        <v>80</v>
      </c>
      <c r="D39" s="9" t="s">
        <v>112</v>
      </c>
      <c r="E39" s="9" t="s">
        <v>100</v>
      </c>
      <c r="F39" s="9" t="s">
        <v>82</v>
      </c>
    </row>
    <row r="40" spans="1:6" x14ac:dyDescent="0.2">
      <c r="A40" s="9">
        <v>39</v>
      </c>
      <c r="B40" s="9" t="s">
        <v>84</v>
      </c>
      <c r="C40" s="9" t="s">
        <v>80</v>
      </c>
      <c r="D40" s="9" t="s">
        <v>93</v>
      </c>
      <c r="E40" s="9" t="s">
        <v>93</v>
      </c>
      <c r="F40" s="9" t="s">
        <v>82</v>
      </c>
    </row>
    <row r="41" spans="1:6" x14ac:dyDescent="0.2">
      <c r="A41" s="9">
        <v>40</v>
      </c>
      <c r="B41" s="9" t="s">
        <v>84</v>
      </c>
      <c r="C41" s="9" t="s">
        <v>80</v>
      </c>
      <c r="D41" s="9" t="s">
        <v>113</v>
      </c>
      <c r="E41" s="9" t="s">
        <v>113</v>
      </c>
      <c r="F41" s="9" t="s">
        <v>82</v>
      </c>
    </row>
    <row r="42" spans="1:6" x14ac:dyDescent="0.2">
      <c r="A42" s="9">
        <v>41</v>
      </c>
      <c r="B42" s="9" t="s">
        <v>84</v>
      </c>
      <c r="C42" s="9" t="s">
        <v>80</v>
      </c>
      <c r="D42" s="9" t="s">
        <v>100</v>
      </c>
      <c r="E42" s="9" t="s">
        <v>100</v>
      </c>
      <c r="F42" s="9" t="s">
        <v>84</v>
      </c>
    </row>
    <row r="43" spans="1:6" x14ac:dyDescent="0.2">
      <c r="A43" s="9">
        <v>42</v>
      </c>
      <c r="B43" s="9" t="s">
        <v>84</v>
      </c>
      <c r="C43" s="9" t="s">
        <v>80</v>
      </c>
      <c r="D43" s="9" t="s">
        <v>100</v>
      </c>
      <c r="E43" s="9" t="s">
        <v>113</v>
      </c>
      <c r="F43" s="9" t="s">
        <v>82</v>
      </c>
    </row>
    <row r="44" spans="1:6" x14ac:dyDescent="0.2">
      <c r="A44" s="9">
        <v>43</v>
      </c>
      <c r="B44" s="9" t="s">
        <v>84</v>
      </c>
      <c r="C44" s="9" t="s">
        <v>80</v>
      </c>
      <c r="D44" s="9" t="s">
        <v>100</v>
      </c>
      <c r="E44" s="9" t="s">
        <v>100</v>
      </c>
      <c r="F44" s="9" t="s">
        <v>82</v>
      </c>
    </row>
    <row r="45" spans="1:6" x14ac:dyDescent="0.2">
      <c r="A45" s="9">
        <v>44</v>
      </c>
      <c r="B45" s="32" t="s">
        <v>84</v>
      </c>
      <c r="C45" s="32" t="s">
        <v>80</v>
      </c>
      <c r="D45" s="32" t="s">
        <v>113</v>
      </c>
      <c r="E45" s="32" t="s">
        <v>113</v>
      </c>
      <c r="F45" s="32" t="s">
        <v>82</v>
      </c>
    </row>
    <row r="46" spans="1:6" x14ac:dyDescent="0.2">
      <c r="A46" s="9">
        <v>45</v>
      </c>
      <c r="B46" s="9" t="s">
        <v>84</v>
      </c>
      <c r="C46" s="9" t="s">
        <v>80</v>
      </c>
      <c r="D46" s="9" t="s">
        <v>93</v>
      </c>
      <c r="E46" s="9" t="s">
        <v>93</v>
      </c>
      <c r="F46" s="9" t="s">
        <v>82</v>
      </c>
    </row>
    <row r="47" spans="1:6" x14ac:dyDescent="0.2">
      <c r="A47" s="9">
        <v>46</v>
      </c>
      <c r="B47" s="9" t="s">
        <v>84</v>
      </c>
      <c r="C47" s="9" t="s">
        <v>80</v>
      </c>
      <c r="D47" s="9" t="s">
        <v>100</v>
      </c>
      <c r="E47" s="9" t="s">
        <v>100</v>
      </c>
      <c r="F47" s="9" t="s">
        <v>82</v>
      </c>
    </row>
    <row r="48" spans="1:6" x14ac:dyDescent="0.2">
      <c r="A48" s="9">
        <v>47</v>
      </c>
      <c r="B48" s="9" t="s">
        <v>84</v>
      </c>
      <c r="C48" s="9" t="s">
        <v>80</v>
      </c>
      <c r="D48" s="9" t="s">
        <v>113</v>
      </c>
      <c r="E48" s="9" t="s">
        <v>113</v>
      </c>
      <c r="F48" s="9" t="s">
        <v>82</v>
      </c>
    </row>
    <row r="49" spans="1:6" x14ac:dyDescent="0.2">
      <c r="A49" s="9">
        <v>48</v>
      </c>
      <c r="B49" s="9" t="s">
        <v>84</v>
      </c>
      <c r="C49" s="9" t="s">
        <v>80</v>
      </c>
      <c r="D49" s="9" t="s">
        <v>113</v>
      </c>
      <c r="E49" s="9" t="s">
        <v>113</v>
      </c>
      <c r="F49" s="9" t="s">
        <v>82</v>
      </c>
    </row>
    <row r="50" spans="1:6" x14ac:dyDescent="0.2">
      <c r="A50" s="9">
        <v>49</v>
      </c>
      <c r="B50" s="9" t="s">
        <v>84</v>
      </c>
      <c r="C50" s="9" t="s">
        <v>80</v>
      </c>
      <c r="D50" s="9" t="s">
        <v>100</v>
      </c>
      <c r="E50" s="9" t="s">
        <v>100</v>
      </c>
      <c r="F50" s="9" t="s">
        <v>82</v>
      </c>
    </row>
    <row r="51" spans="1:6" x14ac:dyDescent="0.2">
      <c r="A51" s="9">
        <v>50</v>
      </c>
      <c r="B51" s="9" t="s">
        <v>84</v>
      </c>
      <c r="C51" s="9" t="s">
        <v>80</v>
      </c>
      <c r="D51" s="9" t="s">
        <v>113</v>
      </c>
      <c r="E51" s="9" t="s">
        <v>113</v>
      </c>
      <c r="F51" s="9" t="s">
        <v>82</v>
      </c>
    </row>
    <row r="52" spans="1:6" x14ac:dyDescent="0.2">
      <c r="A52" s="9">
        <v>51</v>
      </c>
      <c r="B52" s="9" t="s">
        <v>84</v>
      </c>
      <c r="C52" s="9" t="s">
        <v>80</v>
      </c>
      <c r="D52" s="9" t="s">
        <v>93</v>
      </c>
      <c r="E52" s="9" t="s">
        <v>113</v>
      </c>
      <c r="F52" s="9" t="s">
        <v>82</v>
      </c>
    </row>
    <row r="53" spans="1:6" x14ac:dyDescent="0.2">
      <c r="A53" s="9">
        <v>52</v>
      </c>
      <c r="B53" s="9" t="s">
        <v>84</v>
      </c>
      <c r="C53" s="9" t="s">
        <v>80</v>
      </c>
      <c r="D53" s="9" t="s">
        <v>113</v>
      </c>
      <c r="E53" s="9" t="s">
        <v>113</v>
      </c>
      <c r="F53" s="9" t="s">
        <v>82</v>
      </c>
    </row>
    <row r="54" spans="1:6" x14ac:dyDescent="0.2">
      <c r="A54" s="9">
        <v>53</v>
      </c>
      <c r="B54" s="9" t="s">
        <v>84</v>
      </c>
      <c r="C54" s="9" t="s">
        <v>80</v>
      </c>
      <c r="D54" s="9" t="s">
        <v>112</v>
      </c>
      <c r="E54" s="9" t="s">
        <v>112</v>
      </c>
      <c r="F54" s="9" t="s">
        <v>82</v>
      </c>
    </row>
    <row r="55" spans="1:6" x14ac:dyDescent="0.2">
      <c r="A55" s="9">
        <v>54</v>
      </c>
      <c r="B55" s="9" t="s">
        <v>84</v>
      </c>
      <c r="C55" s="9" t="s">
        <v>80</v>
      </c>
      <c r="D55" s="9" t="s">
        <v>113</v>
      </c>
      <c r="E55" s="9" t="s">
        <v>113</v>
      </c>
      <c r="F55" s="9" t="s">
        <v>84</v>
      </c>
    </row>
    <row r="56" spans="1:6" x14ac:dyDescent="0.2">
      <c r="A56" s="9">
        <v>55</v>
      </c>
      <c r="B56" s="9" t="s">
        <v>84</v>
      </c>
      <c r="C56" s="9" t="s">
        <v>80</v>
      </c>
      <c r="D56" s="9" t="s">
        <v>100</v>
      </c>
      <c r="E56" s="9" t="s">
        <v>113</v>
      </c>
      <c r="F56" s="9" t="s">
        <v>82</v>
      </c>
    </row>
    <row r="57" spans="1:6" x14ac:dyDescent="0.2">
      <c r="A57" s="9">
        <v>56</v>
      </c>
      <c r="B57" s="9" t="s">
        <v>84</v>
      </c>
      <c r="C57" s="9" t="s">
        <v>80</v>
      </c>
      <c r="D57" s="9" t="s">
        <v>113</v>
      </c>
      <c r="E57" s="9" t="s">
        <v>93</v>
      </c>
      <c r="F57" s="9" t="s">
        <v>84</v>
      </c>
    </row>
    <row r="58" spans="1:6" x14ac:dyDescent="0.2">
      <c r="A58" s="9">
        <v>57</v>
      </c>
      <c r="B58" s="9" t="s">
        <v>84</v>
      </c>
      <c r="C58" s="9" t="s">
        <v>80</v>
      </c>
      <c r="D58" s="9" t="s">
        <v>100</v>
      </c>
      <c r="E58" s="9" t="s">
        <v>113</v>
      </c>
      <c r="F58" s="9" t="s">
        <v>82</v>
      </c>
    </row>
    <row r="59" spans="1:6" x14ac:dyDescent="0.2">
      <c r="A59" s="9">
        <v>58</v>
      </c>
      <c r="B59" s="11" t="s">
        <v>84</v>
      </c>
      <c r="C59" s="11" t="s">
        <v>80</v>
      </c>
      <c r="D59" s="11" t="s">
        <v>113</v>
      </c>
      <c r="E59" s="11" t="s">
        <v>113</v>
      </c>
      <c r="F59" s="11" t="s">
        <v>84</v>
      </c>
    </row>
    <row r="60" spans="1:6" x14ac:dyDescent="0.2">
      <c r="A60" s="9">
        <v>59</v>
      </c>
      <c r="B60" s="11" t="s">
        <v>84</v>
      </c>
      <c r="C60" s="11" t="s">
        <v>80</v>
      </c>
      <c r="D60" s="11" t="s">
        <v>100</v>
      </c>
      <c r="E60" s="11" t="s">
        <v>112</v>
      </c>
      <c r="F60" s="11" t="s">
        <v>84</v>
      </c>
    </row>
    <row r="61" spans="1:6" x14ac:dyDescent="0.2">
      <c r="A61" s="9">
        <v>60</v>
      </c>
      <c r="B61" s="11" t="s">
        <v>84</v>
      </c>
      <c r="C61" s="11" t="s">
        <v>80</v>
      </c>
      <c r="D61" s="11" t="s">
        <v>100</v>
      </c>
      <c r="E61" s="11" t="s">
        <v>100</v>
      </c>
      <c r="F61" s="11" t="s">
        <v>82</v>
      </c>
    </row>
    <row r="62" spans="1:6" x14ac:dyDescent="0.2">
      <c r="A62" s="9">
        <v>61</v>
      </c>
      <c r="B62" s="11" t="s">
        <v>84</v>
      </c>
      <c r="C62" s="11" t="s">
        <v>80</v>
      </c>
      <c r="D62" s="11" t="s">
        <v>93</v>
      </c>
      <c r="E62" s="11" t="s">
        <v>93</v>
      </c>
      <c r="F62" s="11" t="s">
        <v>112</v>
      </c>
    </row>
    <row r="63" spans="1:6" x14ac:dyDescent="0.2">
      <c r="A63" s="9">
        <v>62</v>
      </c>
      <c r="B63" s="11" t="s">
        <v>84</v>
      </c>
      <c r="C63" s="11" t="s">
        <v>80</v>
      </c>
      <c r="D63" s="11" t="s">
        <v>113</v>
      </c>
      <c r="E63" s="11" t="s">
        <v>100</v>
      </c>
      <c r="F63" s="11" t="s">
        <v>340</v>
      </c>
    </row>
    <row r="64" spans="1:6" x14ac:dyDescent="0.2">
      <c r="A64" s="9">
        <v>63</v>
      </c>
      <c r="B64" s="11" t="s">
        <v>84</v>
      </c>
      <c r="C64" s="11" t="s">
        <v>80</v>
      </c>
      <c r="D64" s="11" t="s">
        <v>112</v>
      </c>
      <c r="E64" s="11" t="s">
        <v>112</v>
      </c>
      <c r="F64" s="11" t="s">
        <v>100</v>
      </c>
    </row>
    <row r="65" spans="1:6" x14ac:dyDescent="0.2">
      <c r="A65" s="9">
        <v>64</v>
      </c>
      <c r="B65" s="33" t="s">
        <v>84</v>
      </c>
      <c r="C65" s="33" t="s">
        <v>80</v>
      </c>
      <c r="D65" s="33" t="s">
        <v>93</v>
      </c>
      <c r="E65" s="33" t="s">
        <v>113</v>
      </c>
      <c r="F65" s="33" t="s">
        <v>112</v>
      </c>
    </row>
    <row r="66" spans="1:6" x14ac:dyDescent="0.2">
      <c r="A66" s="9">
        <v>65</v>
      </c>
      <c r="B66" s="11" t="s">
        <v>84</v>
      </c>
      <c r="C66" s="11" t="s">
        <v>80</v>
      </c>
      <c r="D66" s="11" t="s">
        <v>113</v>
      </c>
      <c r="E66" s="11" t="s">
        <v>113</v>
      </c>
      <c r="F66" s="11" t="s">
        <v>112</v>
      </c>
    </row>
    <row r="67" spans="1:6" x14ac:dyDescent="0.2">
      <c r="A67" s="9">
        <v>66</v>
      </c>
      <c r="B67" s="11" t="s">
        <v>84</v>
      </c>
      <c r="C67" s="11" t="s">
        <v>80</v>
      </c>
      <c r="D67" s="11" t="s">
        <v>100</v>
      </c>
      <c r="E67" s="11" t="s">
        <v>100</v>
      </c>
      <c r="F67" s="11" t="s">
        <v>112</v>
      </c>
    </row>
    <row r="68" spans="1:6" x14ac:dyDescent="0.2">
      <c r="A68" s="9">
        <v>67</v>
      </c>
      <c r="B68" s="11" t="s">
        <v>84</v>
      </c>
      <c r="C68" s="11" t="s">
        <v>80</v>
      </c>
      <c r="D68" s="11" t="s">
        <v>113</v>
      </c>
      <c r="E68" s="11" t="s">
        <v>113</v>
      </c>
      <c r="F68" s="11" t="s">
        <v>340</v>
      </c>
    </row>
    <row r="69" spans="1:6" x14ac:dyDescent="0.2">
      <c r="A69" s="9">
        <v>68</v>
      </c>
      <c r="B69" s="11" t="s">
        <v>84</v>
      </c>
      <c r="C69" s="11" t="s">
        <v>80</v>
      </c>
      <c r="D69" s="11" t="s">
        <v>93</v>
      </c>
      <c r="E69" s="11" t="s">
        <v>93</v>
      </c>
      <c r="F69" s="11" t="s">
        <v>340</v>
      </c>
    </row>
    <row r="70" spans="1:6" x14ac:dyDescent="0.2">
      <c r="A70" s="9">
        <v>69</v>
      </c>
      <c r="B70" s="11" t="s">
        <v>84</v>
      </c>
      <c r="C70" s="11" t="s">
        <v>80</v>
      </c>
      <c r="D70" s="11" t="s">
        <v>100</v>
      </c>
      <c r="E70" s="11" t="s">
        <v>100</v>
      </c>
      <c r="F70" s="11" t="s">
        <v>93</v>
      </c>
    </row>
    <row r="71" spans="1:6" x14ac:dyDescent="0.2">
      <c r="A71" s="9">
        <v>70</v>
      </c>
      <c r="B71" s="11" t="s">
        <v>84</v>
      </c>
      <c r="C71" s="11" t="s">
        <v>80</v>
      </c>
      <c r="D71" s="11" t="s">
        <v>93</v>
      </c>
      <c r="E71" s="11" t="s">
        <v>93</v>
      </c>
      <c r="F71" s="11" t="s">
        <v>100</v>
      </c>
    </row>
    <row r="72" spans="1:6" x14ac:dyDescent="0.2">
      <c r="A72" s="9">
        <v>71</v>
      </c>
      <c r="B72" s="11" t="s">
        <v>84</v>
      </c>
      <c r="C72" s="11" t="s">
        <v>80</v>
      </c>
      <c r="D72" s="11" t="s">
        <v>113</v>
      </c>
      <c r="E72" s="11" t="s">
        <v>113</v>
      </c>
      <c r="F72" s="11" t="s">
        <v>100</v>
      </c>
    </row>
    <row r="73" spans="1:6" x14ac:dyDescent="0.2">
      <c r="A73" s="9">
        <v>72</v>
      </c>
      <c r="B73" s="11" t="s">
        <v>84</v>
      </c>
      <c r="C73" s="11" t="s">
        <v>80</v>
      </c>
      <c r="D73" s="11" t="s">
        <v>100</v>
      </c>
      <c r="E73" s="11" t="s">
        <v>113</v>
      </c>
      <c r="F73" s="11" t="s">
        <v>100</v>
      </c>
    </row>
    <row r="74" spans="1:6" x14ac:dyDescent="0.2">
      <c r="A74" s="9">
        <v>73</v>
      </c>
      <c r="B74" s="33" t="s">
        <v>84</v>
      </c>
      <c r="C74" s="33" t="s">
        <v>80</v>
      </c>
      <c r="D74" s="33" t="s">
        <v>113</v>
      </c>
      <c r="E74" s="33" t="s">
        <v>100</v>
      </c>
      <c r="F74" s="33" t="s">
        <v>100</v>
      </c>
    </row>
    <row r="75" spans="1:6" x14ac:dyDescent="0.2">
      <c r="A75" s="9">
        <v>74</v>
      </c>
      <c r="B75" s="11" t="s">
        <v>84</v>
      </c>
      <c r="C75" s="11" t="s">
        <v>80</v>
      </c>
      <c r="D75" s="11" t="s">
        <v>93</v>
      </c>
      <c r="E75" s="11" t="s">
        <v>93</v>
      </c>
      <c r="F75" s="11" t="s">
        <v>340</v>
      </c>
    </row>
    <row r="76" spans="1:6" x14ac:dyDescent="0.2">
      <c r="A76" s="9">
        <v>75</v>
      </c>
      <c r="B76" s="33" t="s">
        <v>84</v>
      </c>
      <c r="C76" s="33" t="s">
        <v>80</v>
      </c>
      <c r="D76" s="33" t="s">
        <v>100</v>
      </c>
      <c r="E76" s="33" t="s">
        <v>100</v>
      </c>
      <c r="F76" s="33" t="s">
        <v>113</v>
      </c>
    </row>
    <row r="77" spans="1:6" x14ac:dyDescent="0.2">
      <c r="A77" s="9">
        <v>76</v>
      </c>
      <c r="B77" s="11" t="s">
        <v>84</v>
      </c>
      <c r="C77" s="11" t="s">
        <v>80</v>
      </c>
      <c r="D77" s="11" t="s">
        <v>93</v>
      </c>
      <c r="E77" s="11" t="s">
        <v>93</v>
      </c>
      <c r="F77" s="11" t="s">
        <v>340</v>
      </c>
    </row>
    <row r="78" spans="1:6" x14ac:dyDescent="0.2">
      <c r="A78" s="9">
        <v>77</v>
      </c>
      <c r="B78" s="11" t="s">
        <v>84</v>
      </c>
      <c r="C78" s="11" t="s">
        <v>80</v>
      </c>
      <c r="D78" s="11" t="s">
        <v>113</v>
      </c>
      <c r="E78" s="11" t="s">
        <v>100</v>
      </c>
      <c r="F78" s="11" t="s">
        <v>112</v>
      </c>
    </row>
    <row r="79" spans="1:6" x14ac:dyDescent="0.2">
      <c r="A79" s="9">
        <v>78</v>
      </c>
      <c r="B79" s="11" t="s">
        <v>82</v>
      </c>
      <c r="C79" s="11" t="s">
        <v>82</v>
      </c>
      <c r="D79" s="11" t="s">
        <v>93</v>
      </c>
      <c r="E79" s="11" t="s">
        <v>113</v>
      </c>
      <c r="F79" s="11" t="s">
        <v>113</v>
      </c>
    </row>
    <row r="80" spans="1:6" x14ac:dyDescent="0.2">
      <c r="A80" s="9">
        <v>79</v>
      </c>
      <c r="B80" s="11" t="s">
        <v>84</v>
      </c>
      <c r="C80" s="11" t="s">
        <v>80</v>
      </c>
      <c r="D80" s="11" t="s">
        <v>113</v>
      </c>
      <c r="E80" s="11" t="s">
        <v>113</v>
      </c>
      <c r="F80" s="11" t="s">
        <v>93</v>
      </c>
    </row>
    <row r="81" spans="1:6" x14ac:dyDescent="0.2">
      <c r="A81" s="9">
        <v>80</v>
      </c>
      <c r="B81" s="11" t="s">
        <v>84</v>
      </c>
      <c r="C81" s="11" t="s">
        <v>80</v>
      </c>
      <c r="D81" s="11" t="s">
        <v>93</v>
      </c>
      <c r="E81" s="11" t="s">
        <v>113</v>
      </c>
      <c r="F81" s="11" t="s">
        <v>112</v>
      </c>
    </row>
    <row r="82" spans="1:6" x14ac:dyDescent="0.2">
      <c r="A82" s="9">
        <v>81</v>
      </c>
      <c r="B82" s="11" t="s">
        <v>82</v>
      </c>
      <c r="C82" s="11" t="s">
        <v>82</v>
      </c>
      <c r="D82" s="11" t="s">
        <v>340</v>
      </c>
      <c r="E82" s="11" t="s">
        <v>340</v>
      </c>
      <c r="F82" s="11" t="s">
        <v>340</v>
      </c>
    </row>
    <row r="83" spans="1:6" x14ac:dyDescent="0.2">
      <c r="A83" s="9">
        <v>82</v>
      </c>
      <c r="B83" s="11" t="s">
        <v>82</v>
      </c>
      <c r="C83" s="11" t="s">
        <v>82</v>
      </c>
      <c r="D83" s="11" t="s">
        <v>93</v>
      </c>
      <c r="E83" s="11" t="s">
        <v>100</v>
      </c>
      <c r="F83" s="11" t="s">
        <v>100</v>
      </c>
    </row>
    <row r="84" spans="1:6" x14ac:dyDescent="0.2">
      <c r="A84" s="9">
        <v>83</v>
      </c>
      <c r="B84" s="11" t="s">
        <v>84</v>
      </c>
      <c r="C84" s="11" t="s">
        <v>80</v>
      </c>
      <c r="D84" s="11" t="s">
        <v>93</v>
      </c>
      <c r="E84" s="11" t="s">
        <v>113</v>
      </c>
      <c r="F84" s="11" t="s">
        <v>112</v>
      </c>
    </row>
    <row r="85" spans="1:6" x14ac:dyDescent="0.2">
      <c r="A85" s="9">
        <v>84</v>
      </c>
      <c r="B85" s="11" t="s">
        <v>84</v>
      </c>
      <c r="C85" s="11" t="s">
        <v>80</v>
      </c>
      <c r="D85" s="11" t="s">
        <v>113</v>
      </c>
      <c r="E85" s="11" t="s">
        <v>100</v>
      </c>
      <c r="F85" s="11" t="s">
        <v>112</v>
      </c>
    </row>
    <row r="86" spans="1:6" x14ac:dyDescent="0.2">
      <c r="A86" s="9">
        <v>85</v>
      </c>
      <c r="B86" s="11" t="s">
        <v>84</v>
      </c>
      <c r="C86" s="11" t="s">
        <v>80</v>
      </c>
      <c r="D86" s="11" t="s">
        <v>93</v>
      </c>
      <c r="E86" s="11" t="s">
        <v>93</v>
      </c>
      <c r="F86" s="11" t="s">
        <v>100</v>
      </c>
    </row>
    <row r="87" spans="1:6" x14ac:dyDescent="0.2">
      <c r="A87" s="9">
        <v>86</v>
      </c>
      <c r="B87" s="33" t="s">
        <v>84</v>
      </c>
      <c r="C87" s="33" t="s">
        <v>80</v>
      </c>
      <c r="D87" s="33" t="s">
        <v>100</v>
      </c>
      <c r="E87" s="33" t="s">
        <v>100</v>
      </c>
      <c r="F87" s="33" t="s">
        <v>93</v>
      </c>
    </row>
    <row r="88" spans="1:6" x14ac:dyDescent="0.2">
      <c r="A88" s="9">
        <v>87</v>
      </c>
      <c r="B88" s="11" t="s">
        <v>84</v>
      </c>
      <c r="C88" s="11" t="s">
        <v>80</v>
      </c>
      <c r="D88" s="11" t="s">
        <v>100</v>
      </c>
      <c r="E88" s="11" t="s">
        <v>100</v>
      </c>
      <c r="F88" s="11" t="s">
        <v>340</v>
      </c>
    </row>
    <row r="89" spans="1:6" x14ac:dyDescent="0.2">
      <c r="A89" s="9">
        <v>88</v>
      </c>
      <c r="B89" s="11" t="s">
        <v>84</v>
      </c>
      <c r="C89" s="11" t="s">
        <v>80</v>
      </c>
      <c r="D89" s="11" t="s">
        <v>100</v>
      </c>
      <c r="E89" s="11" t="s">
        <v>100</v>
      </c>
      <c r="F89" s="11" t="s">
        <v>93</v>
      </c>
    </row>
    <row r="90" spans="1:6" x14ac:dyDescent="0.2">
      <c r="A90" s="9">
        <v>89</v>
      </c>
      <c r="B90" s="11" t="s">
        <v>84</v>
      </c>
      <c r="C90" s="11" t="s">
        <v>80</v>
      </c>
      <c r="D90" s="11" t="s">
        <v>113</v>
      </c>
      <c r="E90" s="11" t="s">
        <v>113</v>
      </c>
      <c r="F90" s="11" t="s">
        <v>340</v>
      </c>
    </row>
    <row r="91" spans="1:6" x14ac:dyDescent="0.2">
      <c r="A91" s="9">
        <v>90</v>
      </c>
      <c r="B91" s="11" t="s">
        <v>84</v>
      </c>
      <c r="C91" s="11" t="s">
        <v>80</v>
      </c>
      <c r="D91" s="11" t="s">
        <v>113</v>
      </c>
      <c r="E91" s="11" t="s">
        <v>100</v>
      </c>
      <c r="F91" s="11" t="s">
        <v>100</v>
      </c>
    </row>
    <row r="92" spans="1:6" x14ac:dyDescent="0.2">
      <c r="A92" s="9">
        <v>91</v>
      </c>
      <c r="B92" s="33" t="s">
        <v>84</v>
      </c>
      <c r="C92" s="33" t="s">
        <v>80</v>
      </c>
      <c r="D92" s="33" t="s">
        <v>100</v>
      </c>
      <c r="E92" s="33" t="s">
        <v>100</v>
      </c>
      <c r="F92" s="33" t="s">
        <v>100</v>
      </c>
    </row>
    <row r="93" spans="1:6" x14ac:dyDescent="0.2">
      <c r="A93" s="9">
        <v>92</v>
      </c>
      <c r="B93" s="11" t="s">
        <v>84</v>
      </c>
      <c r="C93" s="11" t="s">
        <v>80</v>
      </c>
      <c r="D93" s="11" t="s">
        <v>93</v>
      </c>
      <c r="E93" s="11" t="s">
        <v>100</v>
      </c>
      <c r="F93" s="11" t="s">
        <v>340</v>
      </c>
    </row>
    <row r="94" spans="1:6" x14ac:dyDescent="0.2">
      <c r="A94" s="9">
        <v>93</v>
      </c>
      <c r="B94" s="11" t="s">
        <v>84</v>
      </c>
      <c r="C94" s="11" t="s">
        <v>80</v>
      </c>
      <c r="D94" s="11" t="s">
        <v>93</v>
      </c>
      <c r="E94" s="11" t="s">
        <v>113</v>
      </c>
      <c r="F94" s="11" t="s">
        <v>100</v>
      </c>
    </row>
    <row r="95" spans="1:6" x14ac:dyDescent="0.2">
      <c r="A95" s="9">
        <v>94</v>
      </c>
      <c r="B95" s="11" t="s">
        <v>84</v>
      </c>
      <c r="C95" s="11" t="s">
        <v>80</v>
      </c>
      <c r="D95" s="11" t="s">
        <v>113</v>
      </c>
      <c r="E95" s="11" t="s">
        <v>113</v>
      </c>
      <c r="F95" s="11" t="s">
        <v>100</v>
      </c>
    </row>
    <row r="96" spans="1:6" x14ac:dyDescent="0.2">
      <c r="A96" s="9">
        <v>95</v>
      </c>
      <c r="B96" s="11" t="s">
        <v>84</v>
      </c>
      <c r="C96" s="11" t="s">
        <v>80</v>
      </c>
      <c r="D96" s="11" t="s">
        <v>100</v>
      </c>
      <c r="E96" s="11" t="s">
        <v>100</v>
      </c>
      <c r="F96" s="11" t="s">
        <v>100</v>
      </c>
    </row>
    <row r="97" spans="1:6" x14ac:dyDescent="0.2">
      <c r="A97" s="9">
        <v>96</v>
      </c>
      <c r="B97" s="11" t="s">
        <v>84</v>
      </c>
      <c r="C97" s="11" t="s">
        <v>80</v>
      </c>
      <c r="D97" s="11" t="s">
        <v>93</v>
      </c>
      <c r="E97" s="11" t="s">
        <v>113</v>
      </c>
      <c r="F97" s="11" t="s">
        <v>112</v>
      </c>
    </row>
    <row r="98" spans="1:6" x14ac:dyDescent="0.2">
      <c r="A98" s="9">
        <v>97</v>
      </c>
      <c r="B98" s="11" t="s">
        <v>84</v>
      </c>
      <c r="C98" s="11" t="s">
        <v>80</v>
      </c>
      <c r="D98" s="11" t="s">
        <v>100</v>
      </c>
      <c r="E98" s="11" t="s">
        <v>100</v>
      </c>
      <c r="F98" s="11" t="s">
        <v>112</v>
      </c>
    </row>
    <row r="99" spans="1:6" x14ac:dyDescent="0.2">
      <c r="A99" s="9">
        <v>98</v>
      </c>
      <c r="B99" s="11" t="s">
        <v>84</v>
      </c>
      <c r="C99" s="11" t="s">
        <v>80</v>
      </c>
      <c r="D99" s="11" t="s">
        <v>113</v>
      </c>
      <c r="E99" s="11" t="s">
        <v>113</v>
      </c>
      <c r="F99" s="11" t="s">
        <v>112</v>
      </c>
    </row>
    <row r="100" spans="1:6" x14ac:dyDescent="0.2">
      <c r="A100" s="9">
        <v>99</v>
      </c>
      <c r="B100" s="11" t="s">
        <v>84</v>
      </c>
      <c r="C100" s="11" t="s">
        <v>80</v>
      </c>
      <c r="D100" s="11" t="s">
        <v>113</v>
      </c>
      <c r="E100" s="11" t="s">
        <v>100</v>
      </c>
      <c r="F100" s="11" t="s">
        <v>112</v>
      </c>
    </row>
    <row r="101" spans="1:6" x14ac:dyDescent="0.2">
      <c r="A101" s="9">
        <v>100</v>
      </c>
      <c r="B101" s="11" t="s">
        <v>84</v>
      </c>
      <c r="C101" s="11" t="s">
        <v>80</v>
      </c>
      <c r="D101" s="11" t="s">
        <v>93</v>
      </c>
      <c r="E101" s="11" t="s">
        <v>113</v>
      </c>
      <c r="F101" s="11" t="s">
        <v>100</v>
      </c>
    </row>
    <row r="102" spans="1:6" x14ac:dyDescent="0.2">
      <c r="A102" s="9">
        <v>101</v>
      </c>
      <c r="B102" s="11" t="s">
        <v>82</v>
      </c>
      <c r="C102" s="11" t="s">
        <v>82</v>
      </c>
      <c r="D102" s="11" t="s">
        <v>100</v>
      </c>
      <c r="E102" s="11" t="s">
        <v>113</v>
      </c>
      <c r="F102" s="11" t="s">
        <v>113</v>
      </c>
    </row>
    <row r="103" spans="1:6" x14ac:dyDescent="0.2">
      <c r="A103" s="9">
        <v>102</v>
      </c>
      <c r="B103" s="11" t="s">
        <v>84</v>
      </c>
      <c r="C103" s="11" t="s">
        <v>80</v>
      </c>
      <c r="D103" s="11" t="s">
        <v>100</v>
      </c>
      <c r="E103" s="11" t="s">
        <v>100</v>
      </c>
      <c r="F103" s="11" t="s">
        <v>100</v>
      </c>
    </row>
    <row r="104" spans="1:6" x14ac:dyDescent="0.2">
      <c r="A104" s="9">
        <v>103</v>
      </c>
      <c r="B104" s="11" t="s">
        <v>84</v>
      </c>
      <c r="C104" s="11" t="s">
        <v>80</v>
      </c>
      <c r="D104" s="11" t="s">
        <v>93</v>
      </c>
      <c r="E104" s="11" t="s">
        <v>93</v>
      </c>
      <c r="F104" s="11" t="s">
        <v>112</v>
      </c>
    </row>
    <row r="105" spans="1:6" x14ac:dyDescent="0.2">
      <c r="A105" s="9">
        <v>104</v>
      </c>
      <c r="B105" s="11" t="s">
        <v>82</v>
      </c>
      <c r="C105" s="11" t="s">
        <v>82</v>
      </c>
      <c r="D105" s="11" t="s">
        <v>340</v>
      </c>
      <c r="E105" s="11" t="s">
        <v>340</v>
      </c>
      <c r="F105" s="11" t="s">
        <v>100</v>
      </c>
    </row>
    <row r="106" spans="1:6" x14ac:dyDescent="0.2">
      <c r="A106" s="9">
        <v>105</v>
      </c>
      <c r="B106" s="11" t="s">
        <v>84</v>
      </c>
      <c r="C106" s="11" t="s">
        <v>80</v>
      </c>
      <c r="D106" s="11" t="s">
        <v>93</v>
      </c>
      <c r="E106" s="11" t="s">
        <v>93</v>
      </c>
      <c r="F106" s="11" t="s">
        <v>112</v>
      </c>
    </row>
    <row r="107" spans="1:6" x14ac:dyDescent="0.2">
      <c r="A107" s="9">
        <v>106</v>
      </c>
      <c r="B107" s="11" t="s">
        <v>84</v>
      </c>
      <c r="C107" s="11" t="s">
        <v>80</v>
      </c>
      <c r="D107" s="11" t="s">
        <v>93</v>
      </c>
      <c r="E107" s="11" t="s">
        <v>93</v>
      </c>
      <c r="F107" s="11" t="s">
        <v>100</v>
      </c>
    </row>
    <row r="108" spans="1:6" x14ac:dyDescent="0.2">
      <c r="A108" s="9">
        <v>107</v>
      </c>
      <c r="B108" s="11" t="s">
        <v>84</v>
      </c>
      <c r="C108" s="11" t="s">
        <v>80</v>
      </c>
      <c r="D108" s="11" t="s">
        <v>100</v>
      </c>
      <c r="E108" s="11" t="s">
        <v>100</v>
      </c>
      <c r="F108" s="11" t="s">
        <v>100</v>
      </c>
    </row>
    <row r="109" spans="1:6" x14ac:dyDescent="0.2">
      <c r="A109" s="9">
        <v>108</v>
      </c>
      <c r="B109" s="11" t="s">
        <v>84</v>
      </c>
      <c r="C109" s="11" t="s">
        <v>80</v>
      </c>
      <c r="D109" s="11" t="s">
        <v>93</v>
      </c>
      <c r="E109" s="11" t="s">
        <v>93</v>
      </c>
      <c r="F109" s="11" t="s">
        <v>340</v>
      </c>
    </row>
    <row r="110" spans="1:6" x14ac:dyDescent="0.2">
      <c r="A110" s="9">
        <v>109</v>
      </c>
      <c r="B110" s="11" t="s">
        <v>84</v>
      </c>
      <c r="C110" s="11" t="s">
        <v>80</v>
      </c>
      <c r="D110" s="11" t="s">
        <v>113</v>
      </c>
      <c r="E110" s="11" t="s">
        <v>113</v>
      </c>
      <c r="F110" s="11" t="s">
        <v>112</v>
      </c>
    </row>
    <row r="111" spans="1:6" x14ac:dyDescent="0.2">
      <c r="A111" s="9">
        <v>110</v>
      </c>
      <c r="B111" s="11" t="s">
        <v>84</v>
      </c>
      <c r="C111" s="11" t="s">
        <v>80</v>
      </c>
      <c r="D111" s="11" t="s">
        <v>113</v>
      </c>
      <c r="E111" s="11" t="s">
        <v>113</v>
      </c>
      <c r="F111" s="11" t="s">
        <v>100</v>
      </c>
    </row>
    <row r="112" spans="1:6" x14ac:dyDescent="0.2">
      <c r="A112" s="9">
        <v>111</v>
      </c>
      <c r="B112" s="11" t="s">
        <v>84</v>
      </c>
      <c r="C112" s="11" t="s">
        <v>80</v>
      </c>
      <c r="D112" s="11" t="s">
        <v>93</v>
      </c>
      <c r="E112" s="11" t="s">
        <v>93</v>
      </c>
      <c r="F112" s="11" t="s">
        <v>112</v>
      </c>
    </row>
    <row r="113" spans="1:6" x14ac:dyDescent="0.2">
      <c r="A113" s="9">
        <v>112</v>
      </c>
      <c r="B113" s="11" t="s">
        <v>84</v>
      </c>
      <c r="C113" s="11" t="s">
        <v>80</v>
      </c>
      <c r="D113" s="11" t="s">
        <v>113</v>
      </c>
      <c r="E113" s="11" t="s">
        <v>113</v>
      </c>
      <c r="F113" s="11" t="s">
        <v>112</v>
      </c>
    </row>
    <row r="114" spans="1:6" x14ac:dyDescent="0.2">
      <c r="A114" s="9">
        <v>113</v>
      </c>
      <c r="B114" s="33" t="s">
        <v>84</v>
      </c>
      <c r="C114" s="33" t="s">
        <v>80</v>
      </c>
      <c r="D114" s="33" t="s">
        <v>113</v>
      </c>
      <c r="E114" s="33" t="s">
        <v>113</v>
      </c>
      <c r="F114" s="33" t="s">
        <v>112</v>
      </c>
    </row>
    <row r="115" spans="1:6" x14ac:dyDescent="0.2">
      <c r="A115" s="9">
        <v>114</v>
      </c>
      <c r="B115" s="11" t="s">
        <v>84</v>
      </c>
      <c r="C115" s="11" t="s">
        <v>80</v>
      </c>
      <c r="D115" s="11" t="s">
        <v>100</v>
      </c>
      <c r="E115" s="11" t="s">
        <v>100</v>
      </c>
      <c r="F115" s="11" t="s">
        <v>112</v>
      </c>
    </row>
    <row r="116" spans="1:6" x14ac:dyDescent="0.2">
      <c r="A116" s="9">
        <v>115</v>
      </c>
      <c r="B116" s="11" t="s">
        <v>84</v>
      </c>
      <c r="C116" s="11" t="s">
        <v>80</v>
      </c>
      <c r="D116" s="11" t="s">
        <v>113</v>
      </c>
      <c r="E116" s="11" t="s">
        <v>113</v>
      </c>
      <c r="F116" s="11" t="s">
        <v>100</v>
      </c>
    </row>
    <row r="117" spans="1:6" x14ac:dyDescent="0.2">
      <c r="A117" s="9">
        <v>116</v>
      </c>
      <c r="B117" s="11" t="s">
        <v>84</v>
      </c>
      <c r="C117" s="11" t="s">
        <v>80</v>
      </c>
      <c r="D117" s="11" t="s">
        <v>93</v>
      </c>
      <c r="E117" s="11" t="s">
        <v>93</v>
      </c>
      <c r="F117" s="11" t="s">
        <v>112</v>
      </c>
    </row>
    <row r="118" spans="1:6" x14ac:dyDescent="0.2">
      <c r="A118" s="9">
        <v>117</v>
      </c>
      <c r="B118" s="11" t="s">
        <v>84</v>
      </c>
      <c r="C118" s="11" t="s">
        <v>80</v>
      </c>
      <c r="D118" s="11" t="s">
        <v>113</v>
      </c>
      <c r="E118" s="11" t="s">
        <v>100</v>
      </c>
      <c r="F118" s="11" t="s">
        <v>113</v>
      </c>
    </row>
    <row r="119" spans="1:6" x14ac:dyDescent="0.2">
      <c r="A119" s="9">
        <v>118</v>
      </c>
      <c r="B119" s="11" t="s">
        <v>84</v>
      </c>
      <c r="C119" s="11" t="s">
        <v>80</v>
      </c>
      <c r="D119" s="11" t="s">
        <v>93</v>
      </c>
      <c r="E119" s="11" t="s">
        <v>100</v>
      </c>
      <c r="F119" s="11" t="s">
        <v>112</v>
      </c>
    </row>
    <row r="120" spans="1:6" x14ac:dyDescent="0.2">
      <c r="A120" s="9">
        <v>119</v>
      </c>
      <c r="B120" s="11" t="s">
        <v>84</v>
      </c>
      <c r="C120" s="11" t="s">
        <v>80</v>
      </c>
      <c r="D120" s="11" t="s">
        <v>100</v>
      </c>
      <c r="E120" s="11" t="s">
        <v>100</v>
      </c>
      <c r="F120" s="11" t="s">
        <v>100</v>
      </c>
    </row>
    <row r="121" spans="1:6" x14ac:dyDescent="0.2">
      <c r="A121" s="9">
        <v>120</v>
      </c>
      <c r="B121" s="11" t="s">
        <v>84</v>
      </c>
      <c r="C121" s="11" t="s">
        <v>80</v>
      </c>
      <c r="D121" s="11" t="s">
        <v>93</v>
      </c>
      <c r="E121" s="11" t="s">
        <v>113</v>
      </c>
      <c r="F121" s="11" t="s">
        <v>112</v>
      </c>
    </row>
    <row r="122" spans="1:6" x14ac:dyDescent="0.2">
      <c r="A122" s="9">
        <v>121</v>
      </c>
      <c r="B122" s="11" t="s">
        <v>84</v>
      </c>
      <c r="C122" s="11" t="s">
        <v>80</v>
      </c>
      <c r="D122" s="11" t="s">
        <v>100</v>
      </c>
      <c r="E122" s="11" t="s">
        <v>113</v>
      </c>
      <c r="F122" s="11" t="s">
        <v>112</v>
      </c>
    </row>
    <row r="123" spans="1:6" x14ac:dyDescent="0.2">
      <c r="A123" s="9">
        <v>122</v>
      </c>
      <c r="B123" s="11" t="s">
        <v>84</v>
      </c>
      <c r="C123" s="11" t="s">
        <v>80</v>
      </c>
      <c r="D123" s="11" t="s">
        <v>113</v>
      </c>
      <c r="E123" s="11" t="s">
        <v>113</v>
      </c>
      <c r="F123" s="11" t="s">
        <v>112</v>
      </c>
    </row>
    <row r="124" spans="1:6" x14ac:dyDescent="0.2">
      <c r="A124" s="9">
        <v>123</v>
      </c>
      <c r="B124" s="11" t="s">
        <v>84</v>
      </c>
      <c r="C124" s="11" t="s">
        <v>80</v>
      </c>
      <c r="D124" s="11" t="s">
        <v>113</v>
      </c>
      <c r="E124" s="11" t="s">
        <v>113</v>
      </c>
      <c r="F124" s="11" t="s">
        <v>112</v>
      </c>
    </row>
    <row r="125" spans="1:6" x14ac:dyDescent="0.2">
      <c r="A125" s="9">
        <v>124</v>
      </c>
      <c r="B125" s="11" t="s">
        <v>84</v>
      </c>
      <c r="C125" s="11" t="s">
        <v>80</v>
      </c>
      <c r="D125" s="11" t="s">
        <v>100</v>
      </c>
      <c r="E125" s="11" t="s">
        <v>100</v>
      </c>
      <c r="F125" s="11" t="s">
        <v>112</v>
      </c>
    </row>
    <row r="126" spans="1:6" x14ac:dyDescent="0.2">
      <c r="A126" s="9">
        <v>125</v>
      </c>
      <c r="B126" s="11" t="s">
        <v>84</v>
      </c>
      <c r="C126" s="11" t="s">
        <v>80</v>
      </c>
      <c r="D126" s="11" t="s">
        <v>113</v>
      </c>
      <c r="E126" s="11" t="s">
        <v>100</v>
      </c>
      <c r="F126" s="11" t="s">
        <v>112</v>
      </c>
    </row>
    <row r="127" spans="1:6" x14ac:dyDescent="0.2">
      <c r="A127" s="9">
        <v>126</v>
      </c>
      <c r="B127" s="11" t="s">
        <v>84</v>
      </c>
      <c r="C127" s="11" t="s">
        <v>80</v>
      </c>
      <c r="D127" s="11" t="s">
        <v>112</v>
      </c>
      <c r="E127" s="11" t="s">
        <v>112</v>
      </c>
      <c r="F127" s="11" t="s">
        <v>93</v>
      </c>
    </row>
    <row r="128" spans="1:6" x14ac:dyDescent="0.2">
      <c r="A128" s="9">
        <v>127</v>
      </c>
      <c r="B128" s="11" t="s">
        <v>84</v>
      </c>
      <c r="C128" s="11" t="s">
        <v>80</v>
      </c>
      <c r="D128" s="11" t="s">
        <v>100</v>
      </c>
      <c r="E128" s="11" t="s">
        <v>113</v>
      </c>
      <c r="F128" s="11" t="s">
        <v>112</v>
      </c>
    </row>
    <row r="129" spans="1:6" x14ac:dyDescent="0.2">
      <c r="A129" s="9">
        <v>128</v>
      </c>
      <c r="B129" s="11" t="s">
        <v>84</v>
      </c>
      <c r="C129" s="11" t="s">
        <v>80</v>
      </c>
      <c r="D129" s="11" t="s">
        <v>113</v>
      </c>
      <c r="E129" s="11" t="s">
        <v>113</v>
      </c>
      <c r="F129" s="11" t="s">
        <v>100</v>
      </c>
    </row>
    <row r="130" spans="1:6" x14ac:dyDescent="0.2">
      <c r="A130" s="9">
        <v>129</v>
      </c>
      <c r="B130" s="11" t="s">
        <v>84</v>
      </c>
      <c r="C130" s="11" t="s">
        <v>80</v>
      </c>
      <c r="D130" s="11" t="s">
        <v>113</v>
      </c>
      <c r="E130" s="11" t="s">
        <v>113</v>
      </c>
      <c r="F130" s="11" t="s">
        <v>100</v>
      </c>
    </row>
    <row r="131" spans="1:6" x14ac:dyDescent="0.2">
      <c r="A131" s="9">
        <v>130</v>
      </c>
      <c r="B131" s="11" t="s">
        <v>84</v>
      </c>
      <c r="C131" s="11" t="s">
        <v>80</v>
      </c>
      <c r="D131" s="11" t="s">
        <v>113</v>
      </c>
      <c r="E131" s="11" t="s">
        <v>113</v>
      </c>
      <c r="F131" s="11" t="s">
        <v>100</v>
      </c>
    </row>
    <row r="132" spans="1:6" x14ac:dyDescent="0.2">
      <c r="A132" s="9">
        <v>131</v>
      </c>
      <c r="B132" s="11" t="s">
        <v>84</v>
      </c>
      <c r="C132" s="11" t="s">
        <v>80</v>
      </c>
      <c r="D132" s="11" t="s">
        <v>113</v>
      </c>
      <c r="E132" s="11" t="s">
        <v>100</v>
      </c>
      <c r="F132" s="11" t="s">
        <v>112</v>
      </c>
    </row>
    <row r="133" spans="1:6" x14ac:dyDescent="0.2">
      <c r="A133" s="9">
        <v>132</v>
      </c>
      <c r="B133" s="11" t="s">
        <v>84</v>
      </c>
      <c r="C133" s="11" t="s">
        <v>80</v>
      </c>
      <c r="D133" s="11" t="s">
        <v>100</v>
      </c>
      <c r="E133" s="11" t="s">
        <v>113</v>
      </c>
      <c r="F133" s="11" t="s">
        <v>113</v>
      </c>
    </row>
    <row r="134" spans="1:6" x14ac:dyDescent="0.2">
      <c r="A134" s="9">
        <v>133</v>
      </c>
      <c r="B134" s="11" t="s">
        <v>84</v>
      </c>
      <c r="C134" s="11" t="s">
        <v>80</v>
      </c>
      <c r="D134" s="11" t="s">
        <v>100</v>
      </c>
      <c r="E134" s="11" t="s">
        <v>100</v>
      </c>
      <c r="F134" s="11" t="s">
        <v>112</v>
      </c>
    </row>
    <row r="135" spans="1:6" x14ac:dyDescent="0.2">
      <c r="A135" s="9">
        <v>134</v>
      </c>
      <c r="B135" s="11" t="s">
        <v>84</v>
      </c>
      <c r="C135" s="11" t="s">
        <v>80</v>
      </c>
      <c r="D135" s="11" t="s">
        <v>93</v>
      </c>
      <c r="E135" s="11" t="s">
        <v>113</v>
      </c>
      <c r="F135" s="11" t="s">
        <v>112</v>
      </c>
    </row>
    <row r="136" spans="1:6" x14ac:dyDescent="0.2">
      <c r="A136" s="9">
        <v>135</v>
      </c>
      <c r="B136" s="9" t="s">
        <v>84</v>
      </c>
      <c r="C136" s="9" t="s">
        <v>80</v>
      </c>
      <c r="D136" s="9" t="s">
        <v>113</v>
      </c>
      <c r="E136" s="9" t="s">
        <v>100</v>
      </c>
      <c r="F136" s="9" t="s">
        <v>100</v>
      </c>
    </row>
    <row r="137" spans="1:6" x14ac:dyDescent="0.2">
      <c r="A137" s="9">
        <v>136</v>
      </c>
      <c r="B137" s="9" t="s">
        <v>84</v>
      </c>
      <c r="C137" s="9" t="s">
        <v>80</v>
      </c>
      <c r="D137" s="9" t="s">
        <v>113</v>
      </c>
      <c r="E137" s="9" t="s">
        <v>113</v>
      </c>
      <c r="F137" s="9" t="s">
        <v>100</v>
      </c>
    </row>
    <row r="138" spans="1:6" x14ac:dyDescent="0.2">
      <c r="A138" s="9">
        <v>137</v>
      </c>
      <c r="B138" s="9" t="s">
        <v>84</v>
      </c>
      <c r="C138" s="9" t="s">
        <v>80</v>
      </c>
      <c r="D138" s="9" t="s">
        <v>100</v>
      </c>
      <c r="E138" s="9" t="s">
        <v>100</v>
      </c>
      <c r="F138" s="9" t="s">
        <v>100</v>
      </c>
    </row>
    <row r="139" spans="1:6" x14ac:dyDescent="0.2">
      <c r="A139" s="9">
        <v>138</v>
      </c>
      <c r="B139" s="32" t="s">
        <v>84</v>
      </c>
      <c r="C139" s="32" t="s">
        <v>80</v>
      </c>
      <c r="D139" s="32" t="s">
        <v>113</v>
      </c>
      <c r="E139" s="32" t="s">
        <v>112</v>
      </c>
      <c r="F139" s="32" t="s">
        <v>112</v>
      </c>
    </row>
    <row r="140" spans="1:6" x14ac:dyDescent="0.2">
      <c r="A140" s="9">
        <v>139</v>
      </c>
      <c r="B140" s="9" t="s">
        <v>84</v>
      </c>
      <c r="C140" s="9" t="s">
        <v>80</v>
      </c>
      <c r="D140" s="9" t="s">
        <v>100</v>
      </c>
      <c r="E140" s="9" t="s">
        <v>113</v>
      </c>
      <c r="F140" s="9" t="s">
        <v>100</v>
      </c>
    </row>
    <row r="141" spans="1:6" x14ac:dyDescent="0.2">
      <c r="A141" s="9">
        <v>140</v>
      </c>
      <c r="B141" s="9" t="s">
        <v>84</v>
      </c>
      <c r="C141" s="9" t="s">
        <v>80</v>
      </c>
      <c r="D141" s="9" t="s">
        <v>113</v>
      </c>
      <c r="E141" s="9" t="s">
        <v>93</v>
      </c>
      <c r="F141" s="9" t="s">
        <v>100</v>
      </c>
    </row>
    <row r="142" spans="1:6" x14ac:dyDescent="0.2">
      <c r="A142" s="9">
        <v>141</v>
      </c>
      <c r="B142" s="9" t="s">
        <v>84</v>
      </c>
      <c r="C142" s="9" t="s">
        <v>80</v>
      </c>
      <c r="D142" s="9" t="s">
        <v>100</v>
      </c>
      <c r="E142" s="9" t="s">
        <v>100</v>
      </c>
      <c r="F142" s="9" t="s">
        <v>112</v>
      </c>
    </row>
    <row r="143" spans="1:6" x14ac:dyDescent="0.2">
      <c r="A143" s="9">
        <v>142</v>
      </c>
      <c r="B143" s="32" t="s">
        <v>84</v>
      </c>
      <c r="C143" s="32" t="s">
        <v>80</v>
      </c>
      <c r="D143" s="32" t="s">
        <v>113</v>
      </c>
      <c r="E143" s="32" t="s">
        <v>113</v>
      </c>
      <c r="F143" s="32" t="s">
        <v>100</v>
      </c>
    </row>
    <row r="144" spans="1:6" x14ac:dyDescent="0.2">
      <c r="A144" s="9">
        <v>143</v>
      </c>
      <c r="B144" s="9" t="s">
        <v>84</v>
      </c>
      <c r="C144" s="9" t="s">
        <v>80</v>
      </c>
      <c r="D144" s="9" t="s">
        <v>100</v>
      </c>
      <c r="E144" s="9" t="s">
        <v>100</v>
      </c>
      <c r="F144" s="9" t="s">
        <v>112</v>
      </c>
    </row>
    <row r="145" spans="1:6" x14ac:dyDescent="0.2">
      <c r="A145" s="9">
        <v>144</v>
      </c>
      <c r="B145" s="9" t="s">
        <v>84</v>
      </c>
      <c r="C145" s="9" t="s">
        <v>80</v>
      </c>
      <c r="D145" s="9" t="s">
        <v>100</v>
      </c>
      <c r="E145" s="9" t="s">
        <v>100</v>
      </c>
      <c r="F145" s="9" t="s">
        <v>100</v>
      </c>
    </row>
    <row r="146" spans="1:6" x14ac:dyDescent="0.2">
      <c r="A146" s="9">
        <v>145</v>
      </c>
      <c r="B146" s="9" t="s">
        <v>84</v>
      </c>
      <c r="C146" s="9" t="s">
        <v>80</v>
      </c>
      <c r="D146" s="9" t="s">
        <v>93</v>
      </c>
      <c r="E146" s="9" t="s">
        <v>113</v>
      </c>
      <c r="F146" s="9" t="s">
        <v>100</v>
      </c>
    </row>
    <row r="147" spans="1:6" x14ac:dyDescent="0.2">
      <c r="A147" s="9">
        <v>146</v>
      </c>
      <c r="B147" s="9" t="s">
        <v>84</v>
      </c>
      <c r="C147" s="9" t="s">
        <v>80</v>
      </c>
      <c r="D147" s="9" t="s">
        <v>100</v>
      </c>
      <c r="E147" s="9" t="s">
        <v>100</v>
      </c>
      <c r="F147" s="9" t="s">
        <v>340</v>
      </c>
    </row>
    <row r="148" spans="1:6" x14ac:dyDescent="0.2">
      <c r="A148" s="9">
        <v>147</v>
      </c>
      <c r="B148" s="9" t="s">
        <v>84</v>
      </c>
      <c r="C148" s="9" t="s">
        <v>80</v>
      </c>
      <c r="D148" s="9" t="s">
        <v>113</v>
      </c>
      <c r="E148" s="9" t="s">
        <v>100</v>
      </c>
      <c r="F148" s="9" t="s">
        <v>100</v>
      </c>
    </row>
    <row r="149" spans="1:6" x14ac:dyDescent="0.2">
      <c r="A149" s="9">
        <v>148</v>
      </c>
      <c r="B149" s="9" t="s">
        <v>84</v>
      </c>
      <c r="C149" s="9" t="s">
        <v>80</v>
      </c>
      <c r="D149" s="9" t="s">
        <v>100</v>
      </c>
      <c r="E149" s="9" t="s">
        <v>100</v>
      </c>
      <c r="F149" s="9" t="s">
        <v>113</v>
      </c>
    </row>
    <row r="150" spans="1:6" x14ac:dyDescent="0.2">
      <c r="A150" s="9">
        <v>149</v>
      </c>
      <c r="B150" s="9" t="s">
        <v>84</v>
      </c>
      <c r="C150" s="9" t="s">
        <v>80</v>
      </c>
      <c r="D150" s="9" t="s">
        <v>93</v>
      </c>
      <c r="E150" s="9" t="s">
        <v>93</v>
      </c>
      <c r="F150" s="9" t="s">
        <v>112</v>
      </c>
    </row>
    <row r="151" spans="1:6" x14ac:dyDescent="0.2">
      <c r="A151" s="9">
        <v>150</v>
      </c>
      <c r="B151" s="9" t="s">
        <v>84</v>
      </c>
      <c r="C151" s="9" t="s">
        <v>80</v>
      </c>
      <c r="D151" s="9" t="s">
        <v>100</v>
      </c>
      <c r="E151" s="9" t="s">
        <v>100</v>
      </c>
      <c r="F151" s="9" t="s">
        <v>112</v>
      </c>
    </row>
    <row r="152" spans="1:6" x14ac:dyDescent="0.2">
      <c r="A152" s="9">
        <v>151</v>
      </c>
      <c r="B152" s="32" t="s">
        <v>84</v>
      </c>
      <c r="C152" s="32" t="s">
        <v>80</v>
      </c>
      <c r="D152" s="32" t="s">
        <v>113</v>
      </c>
      <c r="E152" s="32" t="s">
        <v>113</v>
      </c>
      <c r="F152" s="32" t="s">
        <v>340</v>
      </c>
    </row>
    <row r="153" spans="1:6" x14ac:dyDescent="0.2">
      <c r="A153" s="9">
        <v>152</v>
      </c>
      <c r="B153" s="9" t="s">
        <v>84</v>
      </c>
      <c r="C153" s="9" t="s">
        <v>80</v>
      </c>
      <c r="D153" s="9" t="s">
        <v>100</v>
      </c>
      <c r="E153" s="9" t="s">
        <v>100</v>
      </c>
      <c r="F153" s="9" t="s">
        <v>100</v>
      </c>
    </row>
    <row r="154" spans="1:6" x14ac:dyDescent="0.2">
      <c r="A154" s="9">
        <v>153</v>
      </c>
      <c r="B154" s="9" t="s">
        <v>84</v>
      </c>
      <c r="C154" s="9" t="s">
        <v>80</v>
      </c>
      <c r="D154" s="9" t="s">
        <v>93</v>
      </c>
      <c r="E154" s="9" t="s">
        <v>113</v>
      </c>
      <c r="F154" s="9" t="s">
        <v>112</v>
      </c>
    </row>
    <row r="155" spans="1:6" x14ac:dyDescent="0.2">
      <c r="A155" s="9">
        <v>154</v>
      </c>
      <c r="B155" s="9" t="s">
        <v>84</v>
      </c>
      <c r="C155" s="9" t="s">
        <v>80</v>
      </c>
      <c r="D155" s="9" t="s">
        <v>100</v>
      </c>
      <c r="E155" s="9" t="s">
        <v>113</v>
      </c>
      <c r="F155" s="9" t="s">
        <v>112</v>
      </c>
    </row>
    <row r="156" spans="1:6" x14ac:dyDescent="0.2">
      <c r="A156" s="9">
        <v>155</v>
      </c>
      <c r="B156" s="9" t="s">
        <v>84</v>
      </c>
      <c r="C156" s="9" t="s">
        <v>80</v>
      </c>
      <c r="D156" s="9" t="s">
        <v>100</v>
      </c>
      <c r="E156" s="9" t="s">
        <v>100</v>
      </c>
      <c r="F156" s="9" t="s">
        <v>112</v>
      </c>
    </row>
    <row r="157" spans="1:6" x14ac:dyDescent="0.2">
      <c r="A157" s="9">
        <v>156</v>
      </c>
      <c r="B157" s="9" t="s">
        <v>84</v>
      </c>
      <c r="C157" s="9" t="s">
        <v>80</v>
      </c>
      <c r="D157" s="9" t="s">
        <v>113</v>
      </c>
      <c r="E157" s="9" t="s">
        <v>113</v>
      </c>
      <c r="F157" s="9" t="s">
        <v>100</v>
      </c>
    </row>
    <row r="158" spans="1:6" x14ac:dyDescent="0.2">
      <c r="A158" s="9">
        <v>157</v>
      </c>
      <c r="B158" s="9" t="s">
        <v>84</v>
      </c>
      <c r="C158" s="9" t="s">
        <v>80</v>
      </c>
      <c r="D158" s="9" t="s">
        <v>113</v>
      </c>
      <c r="E158" s="9" t="s">
        <v>113</v>
      </c>
      <c r="F158" s="9" t="s">
        <v>93</v>
      </c>
    </row>
    <row r="159" spans="1:6" x14ac:dyDescent="0.2">
      <c r="A159" s="9">
        <v>158</v>
      </c>
      <c r="B159" s="9" t="s">
        <v>84</v>
      </c>
      <c r="C159" s="9" t="s">
        <v>80</v>
      </c>
      <c r="D159" s="9" t="s">
        <v>93</v>
      </c>
      <c r="E159" s="9" t="s">
        <v>113</v>
      </c>
      <c r="F159" s="9" t="s">
        <v>100</v>
      </c>
    </row>
    <row r="160" spans="1:6" x14ac:dyDescent="0.2">
      <c r="A160" s="9">
        <v>159</v>
      </c>
      <c r="B160" s="9" t="s">
        <v>84</v>
      </c>
      <c r="C160" s="9" t="s">
        <v>80</v>
      </c>
      <c r="D160" s="9" t="s">
        <v>113</v>
      </c>
      <c r="E160" s="9" t="s">
        <v>100</v>
      </c>
      <c r="F160" s="9" t="s">
        <v>112</v>
      </c>
    </row>
    <row r="161" spans="1:6" x14ac:dyDescent="0.2">
      <c r="A161" s="9">
        <v>160</v>
      </c>
      <c r="B161" s="9" t="s">
        <v>84</v>
      </c>
      <c r="C161" s="9" t="s">
        <v>80</v>
      </c>
      <c r="D161" s="9" t="s">
        <v>93</v>
      </c>
      <c r="E161" s="9" t="s">
        <v>100</v>
      </c>
      <c r="F161" s="9" t="s">
        <v>93</v>
      </c>
    </row>
    <row r="162" spans="1:6" x14ac:dyDescent="0.2">
      <c r="A162" s="9">
        <v>161</v>
      </c>
      <c r="B162" s="9" t="s">
        <v>84</v>
      </c>
      <c r="C162" s="9" t="s">
        <v>80</v>
      </c>
      <c r="D162" s="9" t="s">
        <v>100</v>
      </c>
      <c r="E162" s="9" t="s">
        <v>113</v>
      </c>
      <c r="F162" s="9" t="s">
        <v>100</v>
      </c>
    </row>
    <row r="163" spans="1:6" x14ac:dyDescent="0.2">
      <c r="A163" s="9">
        <v>162</v>
      </c>
      <c r="B163" s="9" t="s">
        <v>84</v>
      </c>
      <c r="C163" s="9" t="s">
        <v>80</v>
      </c>
      <c r="D163" s="9" t="s">
        <v>100</v>
      </c>
      <c r="E163" s="9" t="s">
        <v>113</v>
      </c>
      <c r="F163" s="9" t="s">
        <v>100</v>
      </c>
    </row>
    <row r="164" spans="1:6" x14ac:dyDescent="0.2">
      <c r="A164" s="9">
        <v>163</v>
      </c>
      <c r="B164" s="9" t="s">
        <v>84</v>
      </c>
      <c r="C164" s="9" t="s">
        <v>80</v>
      </c>
      <c r="D164" s="9" t="s">
        <v>93</v>
      </c>
      <c r="E164" s="9" t="s">
        <v>93</v>
      </c>
      <c r="F164" s="9" t="s">
        <v>100</v>
      </c>
    </row>
    <row r="165" spans="1:6" x14ac:dyDescent="0.2">
      <c r="A165" s="9">
        <v>164</v>
      </c>
      <c r="B165" s="9" t="s">
        <v>84</v>
      </c>
      <c r="C165" s="9" t="s">
        <v>80</v>
      </c>
      <c r="D165" s="9" t="s">
        <v>113</v>
      </c>
      <c r="E165" s="9" t="s">
        <v>113</v>
      </c>
      <c r="F165" s="9" t="s">
        <v>100</v>
      </c>
    </row>
    <row r="166" spans="1:6" x14ac:dyDescent="0.2">
      <c r="A166" s="9">
        <v>165</v>
      </c>
      <c r="B166" s="9" t="s">
        <v>84</v>
      </c>
      <c r="C166" s="9" t="s">
        <v>80</v>
      </c>
      <c r="D166" s="9" t="s">
        <v>93</v>
      </c>
      <c r="E166" s="9" t="s">
        <v>93</v>
      </c>
      <c r="F166" s="9" t="s">
        <v>340</v>
      </c>
    </row>
    <row r="167" spans="1:6" x14ac:dyDescent="0.2">
      <c r="A167" s="9">
        <v>166</v>
      </c>
      <c r="B167" s="9" t="s">
        <v>84</v>
      </c>
      <c r="C167" s="9" t="s">
        <v>80</v>
      </c>
      <c r="D167" s="9" t="s">
        <v>113</v>
      </c>
      <c r="E167" s="9" t="s">
        <v>100</v>
      </c>
      <c r="F167" s="9" t="s">
        <v>100</v>
      </c>
    </row>
    <row r="168" spans="1:6" x14ac:dyDescent="0.2">
      <c r="A168" s="9">
        <v>167</v>
      </c>
      <c r="B168" s="9" t="s">
        <v>84</v>
      </c>
      <c r="C168" s="9" t="s">
        <v>80</v>
      </c>
      <c r="D168" s="9" t="s">
        <v>100</v>
      </c>
      <c r="E168" s="9" t="s">
        <v>112</v>
      </c>
      <c r="F168" s="9" t="s">
        <v>100</v>
      </c>
    </row>
    <row r="169" spans="1:6" x14ac:dyDescent="0.2">
      <c r="A169" s="9">
        <v>168</v>
      </c>
      <c r="B169" s="9" t="s">
        <v>84</v>
      </c>
      <c r="C169" s="9" t="s">
        <v>80</v>
      </c>
      <c r="D169" s="9" t="s">
        <v>93</v>
      </c>
      <c r="E169" s="9" t="s">
        <v>93</v>
      </c>
      <c r="F169" s="9" t="s">
        <v>340</v>
      </c>
    </row>
    <row r="170" spans="1:6" x14ac:dyDescent="0.2">
      <c r="A170" s="9">
        <v>169</v>
      </c>
      <c r="B170" s="9" t="s">
        <v>84</v>
      </c>
      <c r="C170" s="9" t="s">
        <v>80</v>
      </c>
      <c r="D170" s="9" t="s">
        <v>100</v>
      </c>
      <c r="E170" s="9" t="s">
        <v>100</v>
      </c>
      <c r="F170" s="9" t="s">
        <v>100</v>
      </c>
    </row>
    <row r="171" spans="1:6" x14ac:dyDescent="0.2">
      <c r="A171" s="9">
        <v>170</v>
      </c>
      <c r="B171" s="9" t="s">
        <v>84</v>
      </c>
      <c r="C171" s="9" t="s">
        <v>80</v>
      </c>
      <c r="D171" s="9" t="s">
        <v>112</v>
      </c>
      <c r="E171" s="9" t="s">
        <v>112</v>
      </c>
      <c r="F171" s="9" t="s">
        <v>113</v>
      </c>
    </row>
    <row r="172" spans="1:6" x14ac:dyDescent="0.2">
      <c r="A172" s="9">
        <v>171</v>
      </c>
      <c r="B172" s="9" t="s">
        <v>84</v>
      </c>
      <c r="C172" s="9" t="s">
        <v>80</v>
      </c>
      <c r="D172" s="9" t="s">
        <v>93</v>
      </c>
      <c r="E172" s="9" t="s">
        <v>93</v>
      </c>
      <c r="F172" s="9" t="s">
        <v>112</v>
      </c>
    </row>
    <row r="173" spans="1:6" x14ac:dyDescent="0.2">
      <c r="A173" s="9">
        <v>172</v>
      </c>
      <c r="B173" s="9" t="s">
        <v>84</v>
      </c>
      <c r="C173" s="9" t="s">
        <v>80</v>
      </c>
      <c r="D173" s="9" t="s">
        <v>113</v>
      </c>
      <c r="E173" s="9" t="s">
        <v>113</v>
      </c>
      <c r="F173" s="9" t="s">
        <v>112</v>
      </c>
    </row>
    <row r="174" spans="1:6" x14ac:dyDescent="0.2">
      <c r="A174" s="9">
        <v>173</v>
      </c>
      <c r="B174" s="9" t="s">
        <v>84</v>
      </c>
      <c r="C174" s="9" t="s">
        <v>80</v>
      </c>
      <c r="D174" s="9" t="s">
        <v>100</v>
      </c>
      <c r="E174" s="9" t="s">
        <v>100</v>
      </c>
      <c r="F174" s="9" t="s">
        <v>112</v>
      </c>
    </row>
    <row r="175" spans="1:6" x14ac:dyDescent="0.2">
      <c r="A175" s="9">
        <v>174</v>
      </c>
      <c r="B175" s="9" t="s">
        <v>84</v>
      </c>
      <c r="C175" s="9" t="s">
        <v>80</v>
      </c>
      <c r="D175" s="9" t="s">
        <v>100</v>
      </c>
      <c r="E175" s="9" t="s">
        <v>112</v>
      </c>
      <c r="F175" s="9" t="s">
        <v>113</v>
      </c>
    </row>
    <row r="176" spans="1:6" x14ac:dyDescent="0.2">
      <c r="A176" s="9">
        <v>175</v>
      </c>
      <c r="B176" s="9" t="s">
        <v>84</v>
      </c>
      <c r="C176" s="9" t="s">
        <v>80</v>
      </c>
      <c r="D176" s="9" t="s">
        <v>100</v>
      </c>
      <c r="E176" s="9" t="s">
        <v>113</v>
      </c>
      <c r="F176" s="9" t="s">
        <v>100</v>
      </c>
    </row>
    <row r="177" spans="1:6" x14ac:dyDescent="0.2">
      <c r="A177" s="9">
        <v>176</v>
      </c>
      <c r="B177" s="9" t="s">
        <v>84</v>
      </c>
      <c r="C177" s="9" t="s">
        <v>80</v>
      </c>
      <c r="D177" s="9" t="s">
        <v>113</v>
      </c>
      <c r="E177" s="9" t="s">
        <v>113</v>
      </c>
      <c r="F177" s="9" t="s">
        <v>112</v>
      </c>
    </row>
    <row r="178" spans="1:6" x14ac:dyDescent="0.2">
      <c r="A178" s="9">
        <v>177</v>
      </c>
      <c r="B178" s="9" t="s">
        <v>84</v>
      </c>
      <c r="C178" s="9" t="s">
        <v>80</v>
      </c>
      <c r="D178" s="9" t="s">
        <v>112</v>
      </c>
      <c r="E178" s="9" t="s">
        <v>112</v>
      </c>
      <c r="F178" s="9" t="s">
        <v>100</v>
      </c>
    </row>
    <row r="179" spans="1:6" x14ac:dyDescent="0.2">
      <c r="A179" s="9">
        <v>178</v>
      </c>
      <c r="B179" s="9" t="s">
        <v>84</v>
      </c>
      <c r="C179" s="9" t="s">
        <v>80</v>
      </c>
      <c r="D179" s="9" t="s">
        <v>113</v>
      </c>
      <c r="E179" s="9" t="s">
        <v>100</v>
      </c>
      <c r="F179" s="9" t="s">
        <v>113</v>
      </c>
    </row>
    <row r="180" spans="1:6" x14ac:dyDescent="0.2">
      <c r="A180" s="9">
        <v>179</v>
      </c>
      <c r="B180" s="9" t="s">
        <v>84</v>
      </c>
      <c r="C180" s="9" t="s">
        <v>80</v>
      </c>
      <c r="D180" s="9" t="s">
        <v>113</v>
      </c>
      <c r="E180" s="9" t="s">
        <v>93</v>
      </c>
      <c r="F180" s="9" t="s">
        <v>112</v>
      </c>
    </row>
    <row r="181" spans="1:6" x14ac:dyDescent="0.2">
      <c r="A181" s="9">
        <v>180</v>
      </c>
      <c r="B181" s="9" t="s">
        <v>84</v>
      </c>
      <c r="C181" s="9" t="s">
        <v>80</v>
      </c>
      <c r="D181" s="9" t="s">
        <v>100</v>
      </c>
      <c r="E181" s="9" t="s">
        <v>100</v>
      </c>
      <c r="F181" s="9" t="s">
        <v>100</v>
      </c>
    </row>
    <row r="182" spans="1:6" x14ac:dyDescent="0.2">
      <c r="A182" s="9">
        <v>181</v>
      </c>
      <c r="B182" s="9" t="s">
        <v>84</v>
      </c>
      <c r="C182" s="9" t="s">
        <v>80</v>
      </c>
      <c r="D182" s="9" t="s">
        <v>112</v>
      </c>
      <c r="E182" s="9" t="s">
        <v>100</v>
      </c>
      <c r="F182" s="9" t="s">
        <v>340</v>
      </c>
    </row>
    <row r="183" spans="1:6" x14ac:dyDescent="0.2">
      <c r="A183" s="9">
        <v>182</v>
      </c>
      <c r="B183" s="9" t="s">
        <v>84</v>
      </c>
      <c r="C183" s="9" t="s">
        <v>80</v>
      </c>
      <c r="D183" s="9" t="s">
        <v>100</v>
      </c>
      <c r="E183" s="9" t="s">
        <v>113</v>
      </c>
      <c r="F183" s="9" t="s">
        <v>340</v>
      </c>
    </row>
    <row r="184" spans="1:6" x14ac:dyDescent="0.2">
      <c r="A184" s="9">
        <v>183</v>
      </c>
      <c r="B184" s="9" t="s">
        <v>84</v>
      </c>
      <c r="C184" s="9" t="s">
        <v>80</v>
      </c>
      <c r="D184" s="9" t="s">
        <v>113</v>
      </c>
      <c r="E184" s="9" t="s">
        <v>113</v>
      </c>
      <c r="F184" s="9" t="s">
        <v>112</v>
      </c>
    </row>
    <row r="185" spans="1:6" x14ac:dyDescent="0.2">
      <c r="A185" s="9">
        <v>184</v>
      </c>
      <c r="B185" s="9" t="s">
        <v>84</v>
      </c>
      <c r="C185" s="9" t="s">
        <v>80</v>
      </c>
      <c r="D185" s="9" t="s">
        <v>113</v>
      </c>
      <c r="E185" s="9" t="s">
        <v>100</v>
      </c>
      <c r="F185" s="9" t="s">
        <v>112</v>
      </c>
    </row>
    <row r="186" spans="1:6" x14ac:dyDescent="0.2">
      <c r="A186" s="9">
        <v>185</v>
      </c>
      <c r="B186" s="9" t="s">
        <v>84</v>
      </c>
      <c r="C186" s="9" t="s">
        <v>80</v>
      </c>
      <c r="D186" s="9" t="s">
        <v>100</v>
      </c>
      <c r="E186" s="9" t="s">
        <v>113</v>
      </c>
      <c r="F186" s="9" t="s">
        <v>113</v>
      </c>
    </row>
    <row r="187" spans="1:6" x14ac:dyDescent="0.2">
      <c r="A187" s="9">
        <v>186</v>
      </c>
      <c r="B187" s="9" t="s">
        <v>84</v>
      </c>
      <c r="C187" s="9" t="s">
        <v>80</v>
      </c>
      <c r="D187" s="9" t="s">
        <v>112</v>
      </c>
      <c r="E187" s="9" t="s">
        <v>93</v>
      </c>
      <c r="F187" s="9" t="s">
        <v>113</v>
      </c>
    </row>
    <row r="188" spans="1:6" x14ac:dyDescent="0.2">
      <c r="A188" s="9">
        <v>187</v>
      </c>
      <c r="B188" s="9" t="s">
        <v>84</v>
      </c>
      <c r="C188" s="9" t="s">
        <v>80</v>
      </c>
      <c r="D188" s="9" t="s">
        <v>113</v>
      </c>
      <c r="E188" s="9" t="s">
        <v>113</v>
      </c>
      <c r="F188" s="9" t="s">
        <v>100</v>
      </c>
    </row>
    <row r="189" spans="1:6" x14ac:dyDescent="0.2">
      <c r="A189" s="9">
        <v>188</v>
      </c>
      <c r="B189" s="9" t="s">
        <v>84</v>
      </c>
      <c r="C189" s="9" t="s">
        <v>80</v>
      </c>
      <c r="D189" s="9" t="s">
        <v>100</v>
      </c>
      <c r="E189" s="9" t="s">
        <v>113</v>
      </c>
      <c r="F189" s="9" t="s">
        <v>112</v>
      </c>
    </row>
    <row r="190" spans="1:6" x14ac:dyDescent="0.2">
      <c r="A190" s="9">
        <v>189</v>
      </c>
      <c r="B190" s="9" t="s">
        <v>84</v>
      </c>
      <c r="C190" s="9" t="s">
        <v>80</v>
      </c>
      <c r="D190" s="9" t="s">
        <v>100</v>
      </c>
      <c r="E190" s="9" t="s">
        <v>100</v>
      </c>
      <c r="F190" s="9" t="s">
        <v>112</v>
      </c>
    </row>
    <row r="191" spans="1:6" x14ac:dyDescent="0.2">
      <c r="A191" s="9">
        <v>190</v>
      </c>
      <c r="B191" s="9" t="s">
        <v>84</v>
      </c>
      <c r="C191" s="9" t="s">
        <v>80</v>
      </c>
      <c r="D191" s="9" t="s">
        <v>93</v>
      </c>
      <c r="E191" s="9" t="s">
        <v>112</v>
      </c>
      <c r="F191" s="9" t="s">
        <v>93</v>
      </c>
    </row>
    <row r="192" spans="1:6" x14ac:dyDescent="0.2">
      <c r="A192" s="9">
        <v>191</v>
      </c>
      <c r="B192" s="9" t="s">
        <v>84</v>
      </c>
      <c r="C192" s="9" t="s">
        <v>80</v>
      </c>
      <c r="D192" s="9" t="s">
        <v>93</v>
      </c>
      <c r="E192" s="9" t="s">
        <v>93</v>
      </c>
      <c r="F192" s="9" t="s">
        <v>112</v>
      </c>
    </row>
    <row r="193" spans="1:6" x14ac:dyDescent="0.2">
      <c r="A193" s="9">
        <v>192</v>
      </c>
      <c r="B193" s="9" t="s">
        <v>84</v>
      </c>
      <c r="C193" s="9" t="s">
        <v>80</v>
      </c>
      <c r="D193" s="9" t="s">
        <v>93</v>
      </c>
      <c r="E193" s="9" t="s">
        <v>93</v>
      </c>
      <c r="F193" s="9" t="s">
        <v>112</v>
      </c>
    </row>
    <row r="194" spans="1:6" x14ac:dyDescent="0.2">
      <c r="A194" s="9">
        <v>193</v>
      </c>
      <c r="B194" s="9" t="s">
        <v>82</v>
      </c>
      <c r="C194" s="9" t="s">
        <v>82</v>
      </c>
      <c r="D194" s="9" t="s">
        <v>112</v>
      </c>
      <c r="E194" s="9" t="s">
        <v>112</v>
      </c>
      <c r="F194" s="9" t="s">
        <v>93</v>
      </c>
    </row>
    <row r="195" spans="1:6" x14ac:dyDescent="0.2">
      <c r="A195" s="9">
        <v>194</v>
      </c>
      <c r="B195" s="9" t="s">
        <v>84</v>
      </c>
      <c r="C195" s="9" t="s">
        <v>80</v>
      </c>
      <c r="D195" s="9" t="s">
        <v>112</v>
      </c>
      <c r="E195" s="9" t="s">
        <v>112</v>
      </c>
      <c r="F195" s="9" t="s">
        <v>113</v>
      </c>
    </row>
    <row r="196" spans="1:6" x14ac:dyDescent="0.2">
      <c r="A196" s="9">
        <v>195</v>
      </c>
      <c r="B196" s="9" t="s">
        <v>82</v>
      </c>
      <c r="C196" s="9" t="s">
        <v>82</v>
      </c>
      <c r="D196" s="9" t="s">
        <v>113</v>
      </c>
      <c r="E196" s="9" t="s">
        <v>100</v>
      </c>
      <c r="F196" s="9" t="s">
        <v>112</v>
      </c>
    </row>
    <row r="197" spans="1:6" x14ac:dyDescent="0.2">
      <c r="A197" s="9">
        <v>196</v>
      </c>
      <c r="B197" s="9" t="s">
        <v>84</v>
      </c>
      <c r="C197" s="9" t="s">
        <v>80</v>
      </c>
      <c r="D197" s="9" t="s">
        <v>93</v>
      </c>
      <c r="E197" s="9" t="s">
        <v>113</v>
      </c>
      <c r="F197" s="9" t="s">
        <v>112</v>
      </c>
    </row>
    <row r="198" spans="1:6" x14ac:dyDescent="0.2">
      <c r="A198" s="9">
        <v>197</v>
      </c>
      <c r="B198" s="32" t="s">
        <v>84</v>
      </c>
      <c r="C198" s="32" t="s">
        <v>80</v>
      </c>
      <c r="D198" s="32" t="s">
        <v>93</v>
      </c>
      <c r="E198" s="32" t="s">
        <v>93</v>
      </c>
      <c r="F198" s="32" t="s">
        <v>112</v>
      </c>
    </row>
    <row r="199" spans="1:6" x14ac:dyDescent="0.2">
      <c r="A199" s="9">
        <v>198</v>
      </c>
      <c r="B199" s="32" t="s">
        <v>84</v>
      </c>
      <c r="C199" s="32" t="s">
        <v>80</v>
      </c>
      <c r="D199" s="32" t="s">
        <v>93</v>
      </c>
      <c r="E199" s="32" t="s">
        <v>113</v>
      </c>
      <c r="F199" s="32" t="s">
        <v>93</v>
      </c>
    </row>
    <row r="200" spans="1:6" x14ac:dyDescent="0.2">
      <c r="A200" s="9">
        <v>199</v>
      </c>
      <c r="B200" s="9" t="s">
        <v>84</v>
      </c>
      <c r="C200" s="9" t="s">
        <v>80</v>
      </c>
      <c r="D200" s="9" t="s">
        <v>93</v>
      </c>
      <c r="E200" s="9" t="s">
        <v>93</v>
      </c>
      <c r="F200" s="9" t="s">
        <v>112</v>
      </c>
    </row>
    <row r="201" spans="1:6" x14ac:dyDescent="0.2">
      <c r="A201" s="9">
        <v>200</v>
      </c>
      <c r="B201" s="9" t="s">
        <v>84</v>
      </c>
      <c r="C201" s="9" t="s">
        <v>80</v>
      </c>
      <c r="D201" s="9" t="s">
        <v>93</v>
      </c>
      <c r="E201" s="9" t="s">
        <v>113</v>
      </c>
      <c r="F201" s="9" t="s">
        <v>113</v>
      </c>
    </row>
    <row r="202" spans="1:6" x14ac:dyDescent="0.2">
      <c r="A202" s="9">
        <v>201</v>
      </c>
      <c r="B202" s="9" t="s">
        <v>84</v>
      </c>
      <c r="C202" s="9" t="s">
        <v>80</v>
      </c>
      <c r="D202" s="9" t="s">
        <v>113</v>
      </c>
      <c r="E202" s="9" t="s">
        <v>93</v>
      </c>
      <c r="F202" s="9" t="s">
        <v>100</v>
      </c>
    </row>
    <row r="203" spans="1:6" x14ac:dyDescent="0.2">
      <c r="A203" s="9">
        <v>202</v>
      </c>
      <c r="B203" s="9" t="s">
        <v>84</v>
      </c>
      <c r="C203" s="9" t="s">
        <v>80</v>
      </c>
      <c r="D203" s="9" t="s">
        <v>113</v>
      </c>
      <c r="E203" s="9" t="s">
        <v>93</v>
      </c>
      <c r="F203" s="9" t="s">
        <v>340</v>
      </c>
    </row>
    <row r="204" spans="1:6" x14ac:dyDescent="0.2">
      <c r="A204" s="9">
        <v>203</v>
      </c>
      <c r="B204" s="9" t="s">
        <v>84</v>
      </c>
      <c r="C204" s="9" t="s">
        <v>80</v>
      </c>
      <c r="D204" s="9" t="s">
        <v>100</v>
      </c>
      <c r="E204" s="9" t="s">
        <v>100</v>
      </c>
      <c r="F204" s="9" t="s">
        <v>100</v>
      </c>
    </row>
    <row r="205" spans="1:6" x14ac:dyDescent="0.2">
      <c r="A205" s="9">
        <v>204</v>
      </c>
      <c r="B205" s="9" t="s">
        <v>84</v>
      </c>
      <c r="C205" s="9" t="s">
        <v>80</v>
      </c>
      <c r="D205" s="9" t="s">
        <v>93</v>
      </c>
      <c r="E205" s="9" t="s">
        <v>100</v>
      </c>
      <c r="F205" s="9" t="s">
        <v>100</v>
      </c>
    </row>
    <row r="206" spans="1:6" x14ac:dyDescent="0.2">
      <c r="A206" s="9">
        <v>205</v>
      </c>
      <c r="B206" s="9" t="s">
        <v>84</v>
      </c>
      <c r="C206" s="9" t="s">
        <v>80</v>
      </c>
      <c r="D206" s="9" t="s">
        <v>93</v>
      </c>
      <c r="E206" s="9" t="s">
        <v>93</v>
      </c>
      <c r="F206" s="9" t="s">
        <v>100</v>
      </c>
    </row>
    <row r="207" spans="1:6" x14ac:dyDescent="0.2">
      <c r="A207" s="9">
        <v>206</v>
      </c>
      <c r="B207" s="32" t="s">
        <v>84</v>
      </c>
      <c r="C207" s="32" t="s">
        <v>80</v>
      </c>
      <c r="D207" s="32" t="s">
        <v>113</v>
      </c>
      <c r="E207" s="32" t="s">
        <v>113</v>
      </c>
      <c r="F207" s="32" t="s">
        <v>112</v>
      </c>
    </row>
    <row r="208" spans="1:6" x14ac:dyDescent="0.2">
      <c r="A208" s="9">
        <v>207</v>
      </c>
      <c r="B208" s="9" t="s">
        <v>84</v>
      </c>
      <c r="C208" s="9" t="s">
        <v>80</v>
      </c>
      <c r="D208" s="9" t="s">
        <v>113</v>
      </c>
      <c r="E208" s="9" t="s">
        <v>93</v>
      </c>
      <c r="F208" s="9" t="s">
        <v>112</v>
      </c>
    </row>
    <row r="209" spans="1:6" x14ac:dyDescent="0.2">
      <c r="A209" s="9">
        <v>208</v>
      </c>
      <c r="B209" s="9" t="s">
        <v>84</v>
      </c>
      <c r="C209" s="9" t="s">
        <v>80</v>
      </c>
      <c r="D209" s="9" t="s">
        <v>112</v>
      </c>
      <c r="E209" s="9" t="s">
        <v>113</v>
      </c>
      <c r="F209" s="9" t="s">
        <v>340</v>
      </c>
    </row>
    <row r="210" spans="1:6" x14ac:dyDescent="0.2">
      <c r="A210" s="9">
        <v>209</v>
      </c>
      <c r="B210" s="9" t="s">
        <v>84</v>
      </c>
      <c r="C210" s="9" t="s">
        <v>80</v>
      </c>
      <c r="D210" s="9" t="s">
        <v>93</v>
      </c>
      <c r="E210" s="9" t="s">
        <v>93</v>
      </c>
      <c r="F210" s="9" t="s">
        <v>340</v>
      </c>
    </row>
    <row r="211" spans="1:6" x14ac:dyDescent="0.2">
      <c r="A211" s="9">
        <v>210</v>
      </c>
      <c r="B211" s="9" t="s">
        <v>84</v>
      </c>
      <c r="C211" s="9" t="s">
        <v>80</v>
      </c>
      <c r="D211" s="9" t="s">
        <v>100</v>
      </c>
      <c r="E211" s="9" t="s">
        <v>100</v>
      </c>
      <c r="F211" s="9" t="s">
        <v>100</v>
      </c>
    </row>
    <row r="212" spans="1:6" x14ac:dyDescent="0.2">
      <c r="A212" s="9">
        <v>211</v>
      </c>
      <c r="B212" s="9" t="s">
        <v>84</v>
      </c>
      <c r="C212" s="9" t="s">
        <v>80</v>
      </c>
      <c r="D212" s="9" t="s">
        <v>113</v>
      </c>
      <c r="E212" s="9" t="s">
        <v>93</v>
      </c>
      <c r="F212" s="9" t="s">
        <v>100</v>
      </c>
    </row>
    <row r="213" spans="1:6" x14ac:dyDescent="0.2">
      <c r="A213" s="9">
        <v>212</v>
      </c>
      <c r="B213" s="9" t="s">
        <v>84</v>
      </c>
      <c r="C213" s="9" t="s">
        <v>80</v>
      </c>
      <c r="D213" s="9" t="s">
        <v>100</v>
      </c>
      <c r="E213" s="9" t="s">
        <v>113</v>
      </c>
      <c r="F213" s="9" t="s">
        <v>100</v>
      </c>
    </row>
    <row r="214" spans="1:6" x14ac:dyDescent="0.2">
      <c r="A214" s="9">
        <v>213</v>
      </c>
      <c r="B214" s="9" t="s">
        <v>84</v>
      </c>
      <c r="C214" s="9" t="s">
        <v>80</v>
      </c>
      <c r="D214" s="9" t="s">
        <v>100</v>
      </c>
      <c r="E214" s="9" t="s">
        <v>100</v>
      </c>
      <c r="F214" s="9" t="s">
        <v>93</v>
      </c>
    </row>
    <row r="215" spans="1:6" x14ac:dyDescent="0.2">
      <c r="A215" s="9">
        <v>214</v>
      </c>
      <c r="B215" s="9" t="s">
        <v>84</v>
      </c>
      <c r="C215" s="9" t="s">
        <v>80</v>
      </c>
      <c r="D215" s="9" t="s">
        <v>100</v>
      </c>
      <c r="E215" s="9" t="s">
        <v>100</v>
      </c>
      <c r="F215" s="9" t="s">
        <v>100</v>
      </c>
    </row>
    <row r="216" spans="1:6" x14ac:dyDescent="0.2">
      <c r="A216" s="9">
        <v>215</v>
      </c>
      <c r="B216" s="32" t="s">
        <v>82</v>
      </c>
      <c r="C216" s="32" t="s">
        <v>82</v>
      </c>
      <c r="D216" s="32" t="s">
        <v>93</v>
      </c>
      <c r="E216" s="32" t="s">
        <v>93</v>
      </c>
      <c r="F216" s="32" t="s">
        <v>340</v>
      </c>
    </row>
    <row r="217" spans="1:6" x14ac:dyDescent="0.2">
      <c r="A217" s="9">
        <v>216</v>
      </c>
      <c r="B217" s="9" t="s">
        <v>84</v>
      </c>
      <c r="C217" s="9" t="s">
        <v>80</v>
      </c>
      <c r="D217" s="9" t="s">
        <v>100</v>
      </c>
      <c r="E217" s="9" t="s">
        <v>100</v>
      </c>
      <c r="F217" s="9" t="s">
        <v>100</v>
      </c>
    </row>
    <row r="218" spans="1:6" x14ac:dyDescent="0.2">
      <c r="A218" s="9">
        <v>217</v>
      </c>
      <c r="B218" s="9" t="s">
        <v>84</v>
      </c>
      <c r="C218" s="9" t="s">
        <v>80</v>
      </c>
      <c r="D218" s="9" t="s">
        <v>100</v>
      </c>
      <c r="E218" s="9" t="s">
        <v>100</v>
      </c>
      <c r="F218" s="9" t="s">
        <v>113</v>
      </c>
    </row>
    <row r="219" spans="1:6" x14ac:dyDescent="0.2">
      <c r="A219" s="9">
        <v>218</v>
      </c>
      <c r="B219" s="9" t="s">
        <v>84</v>
      </c>
      <c r="C219" s="9" t="s">
        <v>80</v>
      </c>
      <c r="D219" s="9" t="s">
        <v>100</v>
      </c>
      <c r="E219" s="9" t="s">
        <v>112</v>
      </c>
      <c r="F219" s="9" t="s">
        <v>340</v>
      </c>
    </row>
    <row r="220" spans="1:6" x14ac:dyDescent="0.2">
      <c r="A220" s="9">
        <v>219</v>
      </c>
      <c r="B220" s="9" t="s">
        <v>84</v>
      </c>
      <c r="C220" s="9" t="s">
        <v>80</v>
      </c>
      <c r="D220" s="9" t="s">
        <v>93</v>
      </c>
      <c r="E220" s="9" t="s">
        <v>93</v>
      </c>
      <c r="F220" s="9" t="s">
        <v>340</v>
      </c>
    </row>
    <row r="221" spans="1:6" x14ac:dyDescent="0.2">
      <c r="A221" s="9">
        <v>220</v>
      </c>
      <c r="B221" s="9" t="s">
        <v>84</v>
      </c>
      <c r="C221" s="9" t="s">
        <v>80</v>
      </c>
      <c r="D221" s="9" t="s">
        <v>93</v>
      </c>
      <c r="E221" s="9" t="s">
        <v>93</v>
      </c>
      <c r="F221" s="9" t="s">
        <v>112</v>
      </c>
    </row>
    <row r="222" spans="1:6" x14ac:dyDescent="0.2">
      <c r="A222" s="9">
        <v>221</v>
      </c>
      <c r="B222" s="9" t="s">
        <v>84</v>
      </c>
      <c r="C222" s="9" t="s">
        <v>80</v>
      </c>
      <c r="D222" s="9" t="s">
        <v>100</v>
      </c>
      <c r="E222" s="9" t="s">
        <v>113</v>
      </c>
      <c r="F222" s="9" t="s">
        <v>100</v>
      </c>
    </row>
    <row r="223" spans="1:6" x14ac:dyDescent="0.2">
      <c r="A223" s="9">
        <v>222</v>
      </c>
      <c r="B223" s="9" t="s">
        <v>84</v>
      </c>
      <c r="C223" s="9" t="s">
        <v>80</v>
      </c>
      <c r="D223" s="9" t="s">
        <v>100</v>
      </c>
      <c r="E223" s="9" t="s">
        <v>100</v>
      </c>
      <c r="F223" s="9" t="s">
        <v>112</v>
      </c>
    </row>
    <row r="224" spans="1:6" x14ac:dyDescent="0.2">
      <c r="A224" s="9">
        <v>223</v>
      </c>
      <c r="B224" s="32" t="s">
        <v>84</v>
      </c>
      <c r="C224" s="32" t="s">
        <v>80</v>
      </c>
      <c r="D224" s="32" t="s">
        <v>113</v>
      </c>
      <c r="E224" s="32" t="s">
        <v>113</v>
      </c>
      <c r="F224" s="32" t="s">
        <v>100</v>
      </c>
    </row>
    <row r="225" spans="1:6" x14ac:dyDescent="0.2">
      <c r="A225" s="9">
        <v>224</v>
      </c>
      <c r="B225" s="9" t="s">
        <v>84</v>
      </c>
      <c r="C225" s="9" t="s">
        <v>80</v>
      </c>
      <c r="D225" s="9" t="s">
        <v>93</v>
      </c>
      <c r="E225" s="9" t="s">
        <v>93</v>
      </c>
      <c r="F225" s="9" t="s">
        <v>93</v>
      </c>
    </row>
    <row r="226" spans="1:6" x14ac:dyDescent="0.2">
      <c r="A226" s="9">
        <v>225</v>
      </c>
      <c r="B226" s="9" t="s">
        <v>84</v>
      </c>
      <c r="C226" s="9" t="s">
        <v>80</v>
      </c>
      <c r="D226" s="9" t="s">
        <v>100</v>
      </c>
      <c r="E226" s="9" t="s">
        <v>100</v>
      </c>
      <c r="F226" s="9" t="s">
        <v>112</v>
      </c>
    </row>
    <row r="227" spans="1:6" x14ac:dyDescent="0.2">
      <c r="A227" s="9">
        <v>226</v>
      </c>
      <c r="B227" s="9" t="s">
        <v>84</v>
      </c>
      <c r="C227" s="9" t="s">
        <v>80</v>
      </c>
      <c r="D227" s="9" t="s">
        <v>113</v>
      </c>
      <c r="E227" s="9" t="s">
        <v>100</v>
      </c>
      <c r="F227" s="9" t="s">
        <v>93</v>
      </c>
    </row>
    <row r="228" spans="1:6" x14ac:dyDescent="0.2">
      <c r="A228" s="9">
        <v>227</v>
      </c>
      <c r="B228" s="9" t="s">
        <v>84</v>
      </c>
      <c r="C228" s="9" t="s">
        <v>80</v>
      </c>
      <c r="D228" s="9" t="s">
        <v>93</v>
      </c>
      <c r="E228" s="9" t="s">
        <v>93</v>
      </c>
      <c r="F228" s="9" t="s">
        <v>100</v>
      </c>
    </row>
    <row r="229" spans="1:6" x14ac:dyDescent="0.2">
      <c r="A229" s="9">
        <v>228</v>
      </c>
      <c r="B229" s="9" t="s">
        <v>84</v>
      </c>
      <c r="C229" s="9" t="s">
        <v>80</v>
      </c>
      <c r="D229" s="9" t="s">
        <v>100</v>
      </c>
      <c r="E229" s="9" t="s">
        <v>93</v>
      </c>
      <c r="F229" s="9" t="s">
        <v>112</v>
      </c>
    </row>
    <row r="230" spans="1:6" x14ac:dyDescent="0.2">
      <c r="A230" s="9">
        <v>229</v>
      </c>
      <c r="B230" s="9" t="s">
        <v>84</v>
      </c>
      <c r="C230" s="9" t="s">
        <v>80</v>
      </c>
      <c r="D230" s="9" t="s">
        <v>113</v>
      </c>
      <c r="E230" s="9" t="s">
        <v>112</v>
      </c>
      <c r="F230" s="9" t="s">
        <v>93</v>
      </c>
    </row>
    <row r="231" spans="1:6" x14ac:dyDescent="0.2">
      <c r="A231" s="9">
        <v>230</v>
      </c>
      <c r="B231" s="9" t="s">
        <v>84</v>
      </c>
      <c r="C231" s="9" t="s">
        <v>80</v>
      </c>
      <c r="D231" s="9" t="s">
        <v>93</v>
      </c>
      <c r="E231" s="9" t="s">
        <v>93</v>
      </c>
      <c r="F231" s="9" t="s">
        <v>112</v>
      </c>
    </row>
    <row r="232" spans="1:6" x14ac:dyDescent="0.2">
      <c r="A232" s="9">
        <v>231</v>
      </c>
      <c r="B232" s="9" t="s">
        <v>84</v>
      </c>
      <c r="C232" s="9" t="s">
        <v>80</v>
      </c>
      <c r="D232" s="9" t="s">
        <v>113</v>
      </c>
      <c r="E232" s="9" t="s">
        <v>113</v>
      </c>
      <c r="F232" s="9" t="s">
        <v>112</v>
      </c>
    </row>
    <row r="233" spans="1:6" x14ac:dyDescent="0.2">
      <c r="A233" s="9">
        <v>232</v>
      </c>
      <c r="B233" s="9" t="s">
        <v>84</v>
      </c>
      <c r="C233" s="9" t="s">
        <v>80</v>
      </c>
      <c r="D233" s="9" t="s">
        <v>113</v>
      </c>
      <c r="E233" s="9" t="s">
        <v>113</v>
      </c>
      <c r="F233" s="9" t="s">
        <v>100</v>
      </c>
    </row>
    <row r="234" spans="1:6" x14ac:dyDescent="0.2">
      <c r="A234" s="9">
        <v>233</v>
      </c>
      <c r="B234" s="9" t="s">
        <v>84</v>
      </c>
      <c r="C234" s="9" t="s">
        <v>80</v>
      </c>
      <c r="D234" s="9" t="s">
        <v>113</v>
      </c>
      <c r="E234" s="9" t="s">
        <v>113</v>
      </c>
      <c r="F234" s="9" t="s">
        <v>100</v>
      </c>
    </row>
    <row r="235" spans="1:6" x14ac:dyDescent="0.2">
      <c r="A235" s="9">
        <v>234</v>
      </c>
      <c r="B235" s="9" t="s">
        <v>84</v>
      </c>
      <c r="C235" s="9" t="s">
        <v>80</v>
      </c>
      <c r="D235" s="9" t="s">
        <v>93</v>
      </c>
      <c r="E235" s="9" t="s">
        <v>93</v>
      </c>
      <c r="F235" s="9" t="s">
        <v>112</v>
      </c>
    </row>
    <row r="236" spans="1:6" x14ac:dyDescent="0.2">
      <c r="A236" s="9">
        <v>235</v>
      </c>
      <c r="B236" s="9" t="s">
        <v>84</v>
      </c>
      <c r="C236" s="9" t="s">
        <v>80</v>
      </c>
      <c r="D236" s="9" t="s">
        <v>113</v>
      </c>
      <c r="E236" s="9" t="s">
        <v>113</v>
      </c>
      <c r="F236" s="9" t="s">
        <v>100</v>
      </c>
    </row>
    <row r="237" spans="1:6" x14ac:dyDescent="0.2">
      <c r="A237" s="9">
        <v>236</v>
      </c>
      <c r="B237" s="9" t="s">
        <v>84</v>
      </c>
      <c r="C237" s="9" t="s">
        <v>80</v>
      </c>
      <c r="D237" s="9" t="s">
        <v>100</v>
      </c>
      <c r="E237" s="9" t="s">
        <v>113</v>
      </c>
      <c r="F237" s="9" t="s">
        <v>112</v>
      </c>
    </row>
    <row r="238" spans="1:6" x14ac:dyDescent="0.2">
      <c r="A238" s="9">
        <v>237</v>
      </c>
      <c r="B238" s="9" t="s">
        <v>84</v>
      </c>
      <c r="C238" s="9" t="s">
        <v>80</v>
      </c>
      <c r="D238" s="9" t="s">
        <v>113</v>
      </c>
      <c r="E238" s="9" t="s">
        <v>113</v>
      </c>
      <c r="F238" s="9" t="s">
        <v>100</v>
      </c>
    </row>
    <row r="239" spans="1:6" x14ac:dyDescent="0.2">
      <c r="A239" s="9">
        <v>238</v>
      </c>
      <c r="B239" s="9" t="s">
        <v>84</v>
      </c>
      <c r="C239" s="9" t="s">
        <v>80</v>
      </c>
      <c r="D239" s="9" t="s">
        <v>113</v>
      </c>
      <c r="E239" s="9" t="s">
        <v>113</v>
      </c>
      <c r="F239" s="9" t="s">
        <v>100</v>
      </c>
    </row>
    <row r="240" spans="1:6" x14ac:dyDescent="0.2">
      <c r="A240" s="9">
        <v>239</v>
      </c>
      <c r="B240" s="9" t="s">
        <v>84</v>
      </c>
      <c r="C240" s="9" t="s">
        <v>80</v>
      </c>
      <c r="D240" s="9" t="s">
        <v>113</v>
      </c>
      <c r="E240" s="9" t="s">
        <v>113</v>
      </c>
      <c r="F240" s="9" t="s">
        <v>100</v>
      </c>
    </row>
    <row r="241" spans="1:6" x14ac:dyDescent="0.2">
      <c r="A241" s="9">
        <v>240</v>
      </c>
      <c r="B241" s="32" t="s">
        <v>80</v>
      </c>
      <c r="C241" s="32" t="s">
        <v>80</v>
      </c>
      <c r="D241" s="32"/>
      <c r="E241" s="32"/>
      <c r="F241" s="32"/>
    </row>
    <row r="242" spans="1:6" x14ac:dyDescent="0.2">
      <c r="A242" s="9">
        <v>241</v>
      </c>
      <c r="B242" s="9" t="s">
        <v>84</v>
      </c>
      <c r="C242" s="9" t="s">
        <v>80</v>
      </c>
      <c r="D242" s="9" t="s">
        <v>93</v>
      </c>
      <c r="E242" s="9" t="s">
        <v>113</v>
      </c>
      <c r="F242" s="9" t="s">
        <v>112</v>
      </c>
    </row>
    <row r="243" spans="1:6" x14ac:dyDescent="0.2">
      <c r="A243" s="9">
        <v>242</v>
      </c>
      <c r="B243" s="9" t="s">
        <v>84</v>
      </c>
      <c r="C243" s="9" t="s">
        <v>80</v>
      </c>
      <c r="D243" s="9" t="s">
        <v>93</v>
      </c>
      <c r="E243" s="9" t="s">
        <v>93</v>
      </c>
      <c r="F243" s="9" t="s">
        <v>100</v>
      </c>
    </row>
    <row r="244" spans="1:6" x14ac:dyDescent="0.2">
      <c r="A244" s="9">
        <v>243</v>
      </c>
      <c r="B244" s="9" t="s">
        <v>84</v>
      </c>
      <c r="C244" s="9" t="s">
        <v>80</v>
      </c>
      <c r="D244" s="9" t="s">
        <v>93</v>
      </c>
      <c r="E244" s="9" t="s">
        <v>113</v>
      </c>
      <c r="F244" s="9" t="s">
        <v>112</v>
      </c>
    </row>
    <row r="245" spans="1:6" x14ac:dyDescent="0.2">
      <c r="A245" s="9">
        <v>244</v>
      </c>
      <c r="B245" s="9" t="s">
        <v>84</v>
      </c>
      <c r="C245" s="9" t="s">
        <v>80</v>
      </c>
      <c r="D245" s="9" t="s">
        <v>93</v>
      </c>
      <c r="E245" s="9" t="s">
        <v>93</v>
      </c>
      <c r="F245" s="9" t="s">
        <v>112</v>
      </c>
    </row>
    <row r="246" spans="1:6" x14ac:dyDescent="0.2">
      <c r="A246" s="9">
        <v>245</v>
      </c>
      <c r="B246" s="9" t="s">
        <v>82</v>
      </c>
      <c r="C246" s="9" t="s">
        <v>82</v>
      </c>
      <c r="D246" s="9" t="s">
        <v>113</v>
      </c>
      <c r="E246" s="9" t="s">
        <v>113</v>
      </c>
      <c r="F246" s="9" t="s">
        <v>93</v>
      </c>
    </row>
    <row r="247" spans="1:6" x14ac:dyDescent="0.2">
      <c r="A247" s="9">
        <v>246</v>
      </c>
      <c r="B247" s="9" t="s">
        <v>84</v>
      </c>
      <c r="C247" s="9" t="s">
        <v>80</v>
      </c>
      <c r="D247" s="9" t="s">
        <v>100</v>
      </c>
      <c r="E247" s="9" t="s">
        <v>113</v>
      </c>
      <c r="F247" s="9" t="s">
        <v>112</v>
      </c>
    </row>
    <row r="248" spans="1:6" x14ac:dyDescent="0.2">
      <c r="A248" s="9">
        <v>247</v>
      </c>
      <c r="B248" s="9" t="s">
        <v>84</v>
      </c>
      <c r="C248" s="9" t="s">
        <v>80</v>
      </c>
      <c r="D248" s="9" t="s">
        <v>93</v>
      </c>
      <c r="E248" s="9" t="s">
        <v>113</v>
      </c>
      <c r="F248" s="9" t="s">
        <v>112</v>
      </c>
    </row>
    <row r="249" spans="1:6" x14ac:dyDescent="0.2">
      <c r="A249" s="9">
        <v>248</v>
      </c>
      <c r="B249" s="9" t="s">
        <v>84</v>
      </c>
      <c r="C249" s="9" t="s">
        <v>80</v>
      </c>
      <c r="D249" s="9" t="s">
        <v>113</v>
      </c>
      <c r="E249" s="9" t="s">
        <v>113</v>
      </c>
      <c r="F249" s="9" t="s">
        <v>100</v>
      </c>
    </row>
    <row r="250" spans="1:6" x14ac:dyDescent="0.2">
      <c r="A250" s="9">
        <v>249</v>
      </c>
      <c r="B250" s="9" t="s">
        <v>84</v>
      </c>
      <c r="C250" s="9" t="s">
        <v>80</v>
      </c>
      <c r="D250" s="9" t="s">
        <v>113</v>
      </c>
      <c r="E250" s="9" t="s">
        <v>113</v>
      </c>
      <c r="F250" s="9" t="s">
        <v>100</v>
      </c>
    </row>
    <row r="251" spans="1:6" x14ac:dyDescent="0.2">
      <c r="A251" s="9">
        <v>250</v>
      </c>
      <c r="B251" s="9" t="s">
        <v>84</v>
      </c>
      <c r="C251" s="9" t="s">
        <v>80</v>
      </c>
      <c r="D251" s="9" t="s">
        <v>100</v>
      </c>
      <c r="E251" s="9" t="s">
        <v>113</v>
      </c>
      <c r="F251" s="9" t="s">
        <v>112</v>
      </c>
    </row>
    <row r="252" spans="1:6" x14ac:dyDescent="0.2">
      <c r="A252" s="9">
        <v>251</v>
      </c>
      <c r="B252" s="9" t="s">
        <v>84</v>
      </c>
      <c r="C252" s="9" t="s">
        <v>80</v>
      </c>
      <c r="D252" s="9" t="s">
        <v>113</v>
      </c>
      <c r="E252" s="9" t="s">
        <v>112</v>
      </c>
      <c r="F252" s="9" t="s">
        <v>112</v>
      </c>
    </row>
    <row r="253" spans="1:6" x14ac:dyDescent="0.2">
      <c r="A253" s="9">
        <v>252</v>
      </c>
      <c r="B253" s="9" t="s">
        <v>84</v>
      </c>
      <c r="C253" s="9" t="s">
        <v>80</v>
      </c>
      <c r="D253" s="9" t="s">
        <v>100</v>
      </c>
      <c r="E253" s="9" t="s">
        <v>100</v>
      </c>
      <c r="F253" s="9" t="s">
        <v>113</v>
      </c>
    </row>
    <row r="254" spans="1:6" x14ac:dyDescent="0.2">
      <c r="A254" s="9">
        <v>253</v>
      </c>
      <c r="B254" s="9" t="s">
        <v>84</v>
      </c>
      <c r="C254" s="9" t="s">
        <v>80</v>
      </c>
      <c r="D254" s="9" t="s">
        <v>113</v>
      </c>
      <c r="E254" s="9" t="s">
        <v>100</v>
      </c>
      <c r="F254" s="9" t="s">
        <v>113</v>
      </c>
    </row>
    <row r="255" spans="1:6" x14ac:dyDescent="0.2">
      <c r="A255" s="9">
        <v>254</v>
      </c>
      <c r="B255" s="9" t="s">
        <v>84</v>
      </c>
      <c r="C255" s="9" t="s">
        <v>80</v>
      </c>
      <c r="D255" s="9" t="s">
        <v>112</v>
      </c>
      <c r="E255" s="9" t="s">
        <v>113</v>
      </c>
      <c r="F255" s="9" t="s">
        <v>112</v>
      </c>
    </row>
    <row r="256" spans="1:6" x14ac:dyDescent="0.2">
      <c r="A256" s="9">
        <v>255</v>
      </c>
      <c r="B256" s="32" t="s">
        <v>84</v>
      </c>
      <c r="C256" s="32" t="s">
        <v>80</v>
      </c>
      <c r="D256" s="32" t="s">
        <v>93</v>
      </c>
      <c r="E256" s="32" t="s">
        <v>93</v>
      </c>
      <c r="F256" s="32" t="s">
        <v>112</v>
      </c>
    </row>
    <row r="257" spans="1:6" x14ac:dyDescent="0.2">
      <c r="A257" s="9">
        <v>256</v>
      </c>
      <c r="B257" s="32" t="s">
        <v>84</v>
      </c>
      <c r="C257" s="32" t="s">
        <v>80</v>
      </c>
      <c r="D257" s="32" t="s">
        <v>113</v>
      </c>
      <c r="E257" s="32" t="s">
        <v>113</v>
      </c>
      <c r="F257" s="32" t="s">
        <v>112</v>
      </c>
    </row>
    <row r="258" spans="1:6" x14ac:dyDescent="0.2">
      <c r="A258" s="9">
        <v>257</v>
      </c>
      <c r="B258" s="9" t="s">
        <v>84</v>
      </c>
      <c r="C258" s="9" t="s">
        <v>80</v>
      </c>
      <c r="D258" s="9" t="s">
        <v>93</v>
      </c>
      <c r="E258" s="9" t="s">
        <v>113</v>
      </c>
      <c r="F258" s="9" t="s">
        <v>113</v>
      </c>
    </row>
    <row r="259" spans="1:6" x14ac:dyDescent="0.2">
      <c r="A259" s="9">
        <v>258</v>
      </c>
      <c r="B259" s="9" t="s">
        <v>84</v>
      </c>
      <c r="C259" s="9" t="s">
        <v>80</v>
      </c>
      <c r="D259" s="9" t="s">
        <v>100</v>
      </c>
      <c r="E259" s="9" t="s">
        <v>100</v>
      </c>
      <c r="F259" s="9" t="s">
        <v>113</v>
      </c>
    </row>
    <row r="260" spans="1:6" x14ac:dyDescent="0.2">
      <c r="A260" s="9">
        <v>259</v>
      </c>
      <c r="B260" s="9" t="s">
        <v>84</v>
      </c>
      <c r="C260" s="9" t="s">
        <v>80</v>
      </c>
      <c r="D260" s="9" t="s">
        <v>113</v>
      </c>
      <c r="E260" s="9" t="s">
        <v>113</v>
      </c>
      <c r="F260" s="9" t="s">
        <v>100</v>
      </c>
    </row>
    <row r="261" spans="1:6" x14ac:dyDescent="0.2">
      <c r="A261" s="9">
        <v>260</v>
      </c>
      <c r="B261" s="9" t="s">
        <v>84</v>
      </c>
      <c r="C261" s="9" t="s">
        <v>80</v>
      </c>
      <c r="D261" s="9" t="s">
        <v>113</v>
      </c>
      <c r="E261" s="9" t="s">
        <v>113</v>
      </c>
      <c r="F261" s="9" t="s">
        <v>100</v>
      </c>
    </row>
    <row r="262" spans="1:6" x14ac:dyDescent="0.2">
      <c r="A262" s="9">
        <v>261</v>
      </c>
      <c r="B262" s="9" t="s">
        <v>84</v>
      </c>
      <c r="C262" s="9" t="s">
        <v>80</v>
      </c>
      <c r="D262" s="9" t="s">
        <v>93</v>
      </c>
      <c r="E262" s="9" t="s">
        <v>93</v>
      </c>
      <c r="F262" s="9" t="s">
        <v>340</v>
      </c>
    </row>
    <row r="263" spans="1:6" x14ac:dyDescent="0.2">
      <c r="A263" s="9">
        <v>262</v>
      </c>
      <c r="B263" s="9" t="s">
        <v>84</v>
      </c>
      <c r="C263" s="9" t="s">
        <v>80</v>
      </c>
      <c r="D263" s="9" t="s">
        <v>100</v>
      </c>
      <c r="E263" s="9" t="s">
        <v>100</v>
      </c>
      <c r="F263" s="9" t="s">
        <v>100</v>
      </c>
    </row>
    <row r="264" spans="1:6" x14ac:dyDescent="0.2">
      <c r="A264" s="9">
        <v>263</v>
      </c>
      <c r="B264" s="9" t="s">
        <v>84</v>
      </c>
      <c r="C264" s="9" t="s">
        <v>80</v>
      </c>
      <c r="D264" s="9" t="s">
        <v>93</v>
      </c>
      <c r="E264" s="9" t="s">
        <v>93</v>
      </c>
      <c r="F264" s="9" t="s">
        <v>112</v>
      </c>
    </row>
    <row r="265" spans="1:6" x14ac:dyDescent="0.2">
      <c r="A265" s="9">
        <v>264</v>
      </c>
      <c r="B265" s="9" t="s">
        <v>84</v>
      </c>
      <c r="C265" s="9" t="s">
        <v>80</v>
      </c>
      <c r="D265" s="9" t="s">
        <v>113</v>
      </c>
      <c r="E265" s="9" t="s">
        <v>93</v>
      </c>
      <c r="F265" s="9" t="s">
        <v>112</v>
      </c>
    </row>
    <row r="266" spans="1:6" x14ac:dyDescent="0.2">
      <c r="A266" s="9">
        <v>265</v>
      </c>
      <c r="B266" s="9" t="s">
        <v>84</v>
      </c>
      <c r="C266" s="9" t="s">
        <v>80</v>
      </c>
      <c r="D266" s="9" t="s">
        <v>100</v>
      </c>
      <c r="E266" s="9" t="s">
        <v>93</v>
      </c>
      <c r="F266" s="9" t="s">
        <v>100</v>
      </c>
    </row>
    <row r="267" spans="1:6" x14ac:dyDescent="0.2">
      <c r="A267" s="9">
        <v>266</v>
      </c>
      <c r="B267" s="9" t="s">
        <v>82</v>
      </c>
      <c r="C267" s="9" t="s">
        <v>82</v>
      </c>
      <c r="D267" s="9" t="s">
        <v>100</v>
      </c>
      <c r="E267" s="9" t="s">
        <v>100</v>
      </c>
      <c r="F267" s="9" t="s">
        <v>113</v>
      </c>
    </row>
    <row r="268" spans="1:6" x14ac:dyDescent="0.2">
      <c r="A268" s="9">
        <v>267</v>
      </c>
      <c r="B268" s="9" t="s">
        <v>84</v>
      </c>
      <c r="C268" s="9" t="s">
        <v>80</v>
      </c>
      <c r="D268" s="9" t="s">
        <v>100</v>
      </c>
      <c r="E268" s="9" t="s">
        <v>100</v>
      </c>
      <c r="F268" s="9" t="s">
        <v>93</v>
      </c>
    </row>
    <row r="269" spans="1:6" x14ac:dyDescent="0.2">
      <c r="A269" s="9">
        <v>268</v>
      </c>
      <c r="B269" s="9" t="s">
        <v>84</v>
      </c>
      <c r="C269" s="9" t="s">
        <v>80</v>
      </c>
      <c r="D269" s="9" t="s">
        <v>113</v>
      </c>
      <c r="E269" s="9" t="s">
        <v>93</v>
      </c>
      <c r="F269" s="9" t="s">
        <v>112</v>
      </c>
    </row>
    <row r="270" spans="1:6" x14ac:dyDescent="0.2">
      <c r="A270" s="9">
        <v>269</v>
      </c>
      <c r="B270" s="9" t="s">
        <v>84</v>
      </c>
      <c r="C270" s="9" t="s">
        <v>80</v>
      </c>
      <c r="D270" s="9" t="s">
        <v>93</v>
      </c>
      <c r="E270" s="9" t="s">
        <v>340</v>
      </c>
      <c r="F270" s="9" t="s">
        <v>112</v>
      </c>
    </row>
    <row r="271" spans="1:6" x14ac:dyDescent="0.2">
      <c r="A271" s="9">
        <v>270</v>
      </c>
      <c r="B271" s="9" t="s">
        <v>84</v>
      </c>
      <c r="C271" s="9" t="s">
        <v>80</v>
      </c>
      <c r="D271" s="9" t="s">
        <v>100</v>
      </c>
      <c r="E271" s="9" t="s">
        <v>113</v>
      </c>
      <c r="F271" s="9" t="s">
        <v>340</v>
      </c>
    </row>
    <row r="272" spans="1:6" x14ac:dyDescent="0.2">
      <c r="A272" s="9">
        <v>271</v>
      </c>
      <c r="B272" s="9" t="s">
        <v>84</v>
      </c>
      <c r="C272" s="9" t="s">
        <v>80</v>
      </c>
      <c r="D272" s="9" t="s">
        <v>93</v>
      </c>
      <c r="E272" s="9" t="s">
        <v>93</v>
      </c>
      <c r="F272" s="9" t="s">
        <v>100</v>
      </c>
    </row>
    <row r="273" spans="1:6" x14ac:dyDescent="0.2">
      <c r="A273" s="9">
        <v>272</v>
      </c>
      <c r="B273" s="9" t="s">
        <v>84</v>
      </c>
      <c r="C273" s="9" t="s">
        <v>80</v>
      </c>
      <c r="D273" s="9" t="s">
        <v>100</v>
      </c>
      <c r="E273" s="9" t="s">
        <v>100</v>
      </c>
      <c r="F273" s="9" t="s">
        <v>112</v>
      </c>
    </row>
    <row r="274" spans="1:6" x14ac:dyDescent="0.2">
      <c r="A274" s="9">
        <v>273</v>
      </c>
      <c r="B274" s="9" t="s">
        <v>84</v>
      </c>
      <c r="C274" s="9" t="s">
        <v>80</v>
      </c>
      <c r="D274" s="9" t="s">
        <v>113</v>
      </c>
      <c r="E274" s="9" t="s">
        <v>100</v>
      </c>
      <c r="F274" s="9" t="s">
        <v>340</v>
      </c>
    </row>
    <row r="275" spans="1:6" x14ac:dyDescent="0.2">
      <c r="A275" s="9">
        <v>274</v>
      </c>
      <c r="B275" s="9" t="s">
        <v>84</v>
      </c>
      <c r="C275" s="9" t="s">
        <v>80</v>
      </c>
      <c r="D275" s="9" t="s">
        <v>93</v>
      </c>
      <c r="E275" s="9" t="s">
        <v>93</v>
      </c>
      <c r="F275" s="9" t="s">
        <v>100</v>
      </c>
    </row>
    <row r="276" spans="1:6" x14ac:dyDescent="0.2">
      <c r="A276" s="9">
        <v>275</v>
      </c>
      <c r="B276" s="9" t="s">
        <v>84</v>
      </c>
      <c r="C276" s="9" t="s">
        <v>80</v>
      </c>
      <c r="D276" s="9" t="s">
        <v>100</v>
      </c>
      <c r="E276" s="9" t="s">
        <v>100</v>
      </c>
      <c r="F276" s="9" t="s">
        <v>112</v>
      </c>
    </row>
    <row r="277" spans="1:6" x14ac:dyDescent="0.2">
      <c r="A277" s="9">
        <v>276</v>
      </c>
      <c r="B277" s="9" t="s">
        <v>84</v>
      </c>
      <c r="C277" s="9" t="s">
        <v>80</v>
      </c>
      <c r="D277" s="9" t="s">
        <v>113</v>
      </c>
      <c r="E277" s="9" t="s">
        <v>113</v>
      </c>
      <c r="F277" s="9" t="s">
        <v>100</v>
      </c>
    </row>
  </sheetData>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527-FCDD-4616-A9C2-DD5183FF567C}">
  <dimension ref="A1:BK277"/>
  <sheetViews>
    <sheetView topLeftCell="L1" zoomScale="70" zoomScaleNormal="70" workbookViewId="0">
      <pane ySplit="1" topLeftCell="A2" activePane="bottomLeft" state="frozen"/>
      <selection activeCell="F1" sqref="F1"/>
      <selection pane="bottomLeft" activeCell="O1" sqref="O1"/>
    </sheetView>
  </sheetViews>
  <sheetFormatPr defaultColWidth="9.140625" defaultRowHeight="12.75" x14ac:dyDescent="0.2"/>
  <cols>
    <col min="1" max="1" width="9.140625" style="9"/>
    <col min="2" max="2" width="17" style="9" customWidth="1"/>
    <col min="3" max="3" width="17.140625" style="9" customWidth="1"/>
    <col min="4" max="4" width="26.7109375" style="11" customWidth="1"/>
    <col min="5" max="5" width="26.7109375" style="21" customWidth="1"/>
    <col min="6" max="6" width="13.7109375" style="9" customWidth="1"/>
    <col min="7" max="7" width="15.140625" style="9" customWidth="1"/>
    <col min="8" max="8" width="13.85546875" style="9" customWidth="1"/>
    <col min="9" max="9" width="12.85546875" style="9" customWidth="1"/>
    <col min="10" max="10" width="13" style="9" customWidth="1"/>
    <col min="11" max="11" width="12.7109375" style="9" customWidth="1"/>
    <col min="12" max="12" width="12.140625" style="9" customWidth="1"/>
    <col min="13" max="13" width="12.7109375" style="9" customWidth="1"/>
    <col min="14" max="15" width="9.140625" style="9"/>
    <col min="16" max="16" width="17.85546875" style="9" customWidth="1"/>
    <col min="17" max="30" width="9.140625" style="9"/>
    <col min="31" max="31" width="17.28515625" style="9" customWidth="1"/>
    <col min="32" max="45" width="9.140625" style="9"/>
    <col min="46" max="46" width="21" style="9" bestFit="1" customWidth="1"/>
    <col min="47" max="47" width="8.85546875" style="9" customWidth="1"/>
    <col min="48" max="48" width="9.140625" style="9"/>
    <col min="49" max="49" width="15.5703125" style="9" customWidth="1"/>
    <col min="50" max="51" width="9.140625" style="9"/>
    <col min="52" max="52" width="5" style="9" customWidth="1"/>
    <col min="53" max="53" width="19.7109375" style="9" customWidth="1"/>
    <col min="54" max="54" width="9" style="9" bestFit="1" customWidth="1"/>
    <col min="55" max="55" width="12.28515625" style="9" customWidth="1"/>
    <col min="56" max="56" width="9.140625" style="9"/>
    <col min="57" max="57" width="20.42578125" style="9" customWidth="1"/>
    <col min="58" max="58" width="9.140625" style="9"/>
    <col min="59" max="59" width="12.5703125" style="9" customWidth="1"/>
    <col min="60" max="60" width="9.140625" style="9"/>
    <col min="61" max="61" width="19.85546875" style="9" customWidth="1"/>
    <col min="62" max="62" width="9.140625" style="9"/>
    <col min="63" max="63" width="12.140625" style="9" customWidth="1"/>
    <col min="64" max="16384" width="9.140625" style="9"/>
  </cols>
  <sheetData>
    <row r="1" spans="1:63" s="2" customFormat="1" ht="76.5" x14ac:dyDescent="0.2">
      <c r="B1" s="2" t="s">
        <v>652</v>
      </c>
      <c r="C1" s="2" t="s">
        <v>653</v>
      </c>
      <c r="D1" s="22" t="s">
        <v>3610</v>
      </c>
      <c r="E1" s="8" t="s">
        <v>3610</v>
      </c>
      <c r="F1" s="2" t="s">
        <v>654</v>
      </c>
      <c r="G1" s="2" t="s">
        <v>3611</v>
      </c>
      <c r="H1" s="2" t="s">
        <v>660</v>
      </c>
      <c r="I1" s="2" t="s">
        <v>662</v>
      </c>
      <c r="J1" s="2" t="s">
        <v>661</v>
      </c>
      <c r="K1" s="2" t="s">
        <v>663</v>
      </c>
      <c r="L1" s="2" t="s">
        <v>664</v>
      </c>
      <c r="M1" s="2" t="s">
        <v>665</v>
      </c>
      <c r="P1" s="8" t="s">
        <v>652</v>
      </c>
      <c r="Q1" s="8" t="s">
        <v>3570</v>
      </c>
      <c r="R1" s="8" t="s">
        <v>4002</v>
      </c>
      <c r="S1" s="8" t="s">
        <v>4014</v>
      </c>
      <c r="T1" s="8" t="s">
        <v>4003</v>
      </c>
      <c r="U1" s="8"/>
      <c r="V1" s="8" t="s">
        <v>105</v>
      </c>
      <c r="W1" s="8" t="s">
        <v>324</v>
      </c>
      <c r="X1" s="8" t="s">
        <v>309</v>
      </c>
      <c r="Y1" s="8" t="s">
        <v>443</v>
      </c>
      <c r="Z1" s="8" t="s">
        <v>107</v>
      </c>
      <c r="AA1" s="8" t="s">
        <v>3959</v>
      </c>
      <c r="AB1" s="8" t="s">
        <v>377</v>
      </c>
      <c r="AC1" s="8" t="s">
        <v>161</v>
      </c>
      <c r="AD1" s="8"/>
      <c r="AE1" s="8" t="s">
        <v>653</v>
      </c>
      <c r="AF1" s="8" t="s">
        <v>3570</v>
      </c>
      <c r="AG1" s="8" t="s">
        <v>4002</v>
      </c>
      <c r="AH1" s="8" t="s">
        <v>4014</v>
      </c>
      <c r="AI1" s="8" t="s">
        <v>4003</v>
      </c>
      <c r="AJ1" s="8"/>
      <c r="AK1" s="8" t="s">
        <v>105</v>
      </c>
      <c r="AL1" s="8" t="s">
        <v>324</v>
      </c>
      <c r="AM1" s="8" t="s">
        <v>309</v>
      </c>
      <c r="AN1" s="8" t="s">
        <v>443</v>
      </c>
      <c r="AO1" s="8" t="s">
        <v>107</v>
      </c>
      <c r="AP1" s="8" t="s">
        <v>3959</v>
      </c>
      <c r="AQ1" s="8" t="s">
        <v>377</v>
      </c>
      <c r="AR1" s="8" t="s">
        <v>161</v>
      </c>
      <c r="AS1" s="8"/>
      <c r="AT1" s="8" t="s">
        <v>1940</v>
      </c>
      <c r="AU1" s="8"/>
      <c r="AV1" s="8"/>
      <c r="AW1" s="8" t="s">
        <v>654</v>
      </c>
      <c r="AX1" s="8"/>
      <c r="AY1" s="8"/>
      <c r="AZ1" s="8"/>
      <c r="BA1" s="8" t="s">
        <v>670</v>
      </c>
      <c r="BB1" s="8" t="s">
        <v>666</v>
      </c>
      <c r="BC1" s="8" t="s">
        <v>667</v>
      </c>
      <c r="BD1" s="8"/>
      <c r="BE1" s="8" t="s">
        <v>668</v>
      </c>
      <c r="BF1" s="8" t="s">
        <v>666</v>
      </c>
      <c r="BG1" s="8" t="s">
        <v>667</v>
      </c>
      <c r="BH1" s="8"/>
      <c r="BI1" s="8" t="s">
        <v>669</v>
      </c>
      <c r="BJ1" s="8" t="s">
        <v>666</v>
      </c>
      <c r="BK1" s="8" t="s">
        <v>667</v>
      </c>
    </row>
    <row r="2" spans="1:63" x14ac:dyDescent="0.2">
      <c r="A2" s="9">
        <v>1</v>
      </c>
      <c r="B2" s="9" t="s">
        <v>82</v>
      </c>
      <c r="C2" s="9" t="s">
        <v>84</v>
      </c>
      <c r="F2" s="9" t="s">
        <v>84</v>
      </c>
      <c r="G2" s="9" t="s">
        <v>80</v>
      </c>
      <c r="H2" s="9">
        <v>5</v>
      </c>
      <c r="I2" s="9">
        <v>5</v>
      </c>
      <c r="J2" s="9">
        <v>3</v>
      </c>
      <c r="K2" s="9">
        <v>3</v>
      </c>
      <c r="L2" s="9">
        <v>5</v>
      </c>
      <c r="M2" s="9">
        <v>5</v>
      </c>
      <c r="P2" s="9" t="s">
        <v>84</v>
      </c>
      <c r="Q2" s="11">
        <f>COUNTIF($B$2:$B$496,"Yes")</f>
        <v>188</v>
      </c>
      <c r="R2" s="11">
        <f>COUNTIFS($B$2:$B$496,"Yes",'1'!$F$2:$F$496,"*staff*")</f>
        <v>50</v>
      </c>
      <c r="S2" s="11">
        <f>COUNTIFS($B$2:$B$496,"Yes",'1'!$F$2:$F$496,"*both*")</f>
        <v>123</v>
      </c>
      <c r="T2" s="11">
        <f>COUNTIFS($B$2:$B$496,"Yes",'1'!$F$2:$F$496,"*users work*")</f>
        <v>15</v>
      </c>
      <c r="V2" s="11">
        <f>COUNTIFS($B$2:$B$496,"Yes",'1'!$B$2:$B$496,"*flow cytometry*")</f>
        <v>29</v>
      </c>
      <c r="W2" s="11">
        <f>COUNTIFS($B$2:$B$496,"Yes",'1'!$B$2:$B$496,"*genomics*")</f>
        <v>18</v>
      </c>
      <c r="X2" s="11">
        <f>COUNTIFS($B$2:$B$496,"Yes",'1'!$B$2:$B$496,"*histology*")</f>
        <v>9</v>
      </c>
      <c r="Y2" s="11">
        <f>COUNTIFS($B$2:$B$496,"Yes",'1'!$B$2:$B$496,"*metabolomics*")</f>
        <v>6</v>
      </c>
      <c r="Z2" s="11">
        <f>COUNTIFS($B$2:$B$496,"Yes",'1'!$B$2:$B$496,"*microscopy*")</f>
        <v>41</v>
      </c>
      <c r="AA2" s="11">
        <f>COUNTIFS($B$2:$B$496,"Yes",'1'!$B$2:$B$496,"*mouse*")</f>
        <v>14</v>
      </c>
      <c r="AB2" s="11">
        <f>COUNTIFS($B$2:$B$496,"Yes",'1'!$B$2:$B$496,"*protein expression*")</f>
        <v>7</v>
      </c>
      <c r="AC2" s="11">
        <f>COUNTIFS($B$2:$B$496,"Yes",'1'!$B$2:$B$496,"*proteomics*")</f>
        <v>28</v>
      </c>
      <c r="AE2" s="9" t="s">
        <v>84</v>
      </c>
      <c r="AF2" s="11">
        <f>COUNTIF($C$2:$C$496,"Yes")</f>
        <v>231</v>
      </c>
      <c r="AG2" s="11">
        <f>COUNTIFS($C$2:$C$496,"Yes",'1'!$F$2:$F$496,"*staff*")</f>
        <v>60</v>
      </c>
      <c r="AH2" s="11">
        <f>COUNTIFS($C$2:$C$496,"Yes",'1'!$F$2:$F$496,"*both*")</f>
        <v>146</v>
      </c>
      <c r="AI2" s="11">
        <f>COUNTIFS($C$2:$C$496,"Yes",'1'!$F$2:$F$496,"*users work*")</f>
        <v>25</v>
      </c>
      <c r="AJ2" s="11"/>
      <c r="AK2" s="11">
        <f>COUNTIFS($C$2:$C$496,"Yes",'1'!$B$2:$B$496,"*flow cytometry*")</f>
        <v>45</v>
      </c>
      <c r="AL2" s="11">
        <f>COUNTIFS($C$2:$C$496,"Yes",'1'!$B$2:$B$496,"*genomics*")</f>
        <v>30</v>
      </c>
      <c r="AM2" s="11">
        <f>COUNTIFS($C$2:$C$496,"Yes",'1'!$B$2:$B$496,"*histology*")</f>
        <v>9</v>
      </c>
      <c r="AN2" s="11">
        <f>COUNTIFS($C$2:$C$496,"Yes",'1'!$B$2:$B$496,"*metabolomics*")</f>
        <v>8</v>
      </c>
      <c r="AO2" s="11">
        <f>COUNTIFS($C$2:$C$496,"Yes",'1'!$B$2:$B$496,"*microscopy*")</f>
        <v>51</v>
      </c>
      <c r="AP2" s="11">
        <f>COUNTIFS($C$2:$C$496,"Yes",'1'!$B$2:$B$496,"*mouse*")</f>
        <v>13</v>
      </c>
      <c r="AQ2" s="11">
        <f>COUNTIFS($C$2:$C$496,"Yes",'1'!$B$2:$B$496,"*protein expression*")</f>
        <v>6</v>
      </c>
      <c r="AR2" s="11">
        <f>COUNTIFS($C$2:$C$496,"Yes",'1'!$B$2:$B$496,"*proteomics*")</f>
        <v>32</v>
      </c>
      <c r="AT2" s="9" t="s">
        <v>3452</v>
      </c>
      <c r="AU2" s="9">
        <f>COUNTIF(E$2:E$496,"*discussion*")</f>
        <v>69</v>
      </c>
      <c r="AW2" s="9" t="s">
        <v>84</v>
      </c>
      <c r="AX2" s="11">
        <f>COUNTIF(F$2:F$496,"Yes")</f>
        <v>268</v>
      </c>
      <c r="AZ2" s="9">
        <v>5</v>
      </c>
      <c r="BA2" s="9" t="s">
        <v>655</v>
      </c>
      <c r="BB2" s="11">
        <f>COUNTIF(H$2:H$496,"5")</f>
        <v>46</v>
      </c>
      <c r="BC2" s="11">
        <f>COUNTIF(I$2:I$496,"5")</f>
        <v>46</v>
      </c>
      <c r="BE2" s="9" t="s">
        <v>655</v>
      </c>
      <c r="BF2" s="11">
        <f>COUNTIF(J$2:J$496,"5")</f>
        <v>20</v>
      </c>
      <c r="BG2" s="11">
        <f>COUNTIF(K$2:K$496,"5")</f>
        <v>43</v>
      </c>
      <c r="BI2" s="9" t="s">
        <v>655</v>
      </c>
      <c r="BJ2" s="11">
        <f>COUNTIF(L$2:L$496,"5")</f>
        <v>64</v>
      </c>
      <c r="BK2" s="11">
        <f>COUNTIF(M$2:M$496,"5")</f>
        <v>48</v>
      </c>
    </row>
    <row r="3" spans="1:63" x14ac:dyDescent="0.2">
      <c r="A3" s="9">
        <v>2</v>
      </c>
      <c r="B3" s="9" t="s">
        <v>82</v>
      </c>
      <c r="C3" s="9" t="s">
        <v>84</v>
      </c>
      <c r="F3" s="9" t="s">
        <v>84</v>
      </c>
      <c r="G3" s="9" t="s">
        <v>80</v>
      </c>
      <c r="H3" s="9">
        <v>1</v>
      </c>
      <c r="I3" s="9">
        <v>1</v>
      </c>
      <c r="J3" s="9">
        <v>1</v>
      </c>
      <c r="K3" s="9">
        <v>1</v>
      </c>
      <c r="L3" s="9">
        <v>1</v>
      </c>
      <c r="M3" s="9">
        <v>1</v>
      </c>
      <c r="P3" s="9" t="s">
        <v>82</v>
      </c>
      <c r="Q3" s="11">
        <f>COUNTIF($B$2:$B$496,"No")</f>
        <v>67</v>
      </c>
      <c r="R3" s="11">
        <f>COUNTIFS($B$2:$B$496,"No",'1'!$F$2:$F$496,"*staff*")</f>
        <v>17</v>
      </c>
      <c r="S3" s="11">
        <f>COUNTIFS($B$2:$B$496,"No",'1'!$F$2:$F$496,"*both*")</f>
        <v>38</v>
      </c>
      <c r="T3" s="11">
        <f>COUNTIFS($B$2:$B$496,"No",'1'!$F$2:$F$496,"*users work*")</f>
        <v>12</v>
      </c>
      <c r="V3" s="11">
        <f>COUNTIFS($B$2:$B$496,"No",'1'!$B$2:$B$496,"*flow cytometry*")</f>
        <v>18</v>
      </c>
      <c r="W3" s="11">
        <f>COUNTIFS($B$2:$B$496,"No",'1'!$B$2:$B$496,"*genomics*")</f>
        <v>12</v>
      </c>
      <c r="X3" s="11">
        <f>COUNTIFS($B$2:$B$496,"No",'1'!$B$2:$B$496,"*histology*")</f>
        <v>1</v>
      </c>
      <c r="Y3" s="11">
        <f>COUNTIFS($B$2:$B$496,"No",'1'!$B$2:$B$496,"*metabolomics*")</f>
        <v>2</v>
      </c>
      <c r="Z3" s="11">
        <f>COUNTIFS($B$2:$B$496,"No",'1'!$B$2:$B$496,"*microscopy*")</f>
        <v>17</v>
      </c>
      <c r="AA3" s="11">
        <f>COUNTIFS($B$2:$B$496,"No",'1'!$B$2:$B$496,"*mouse*")</f>
        <v>1</v>
      </c>
      <c r="AB3" s="11">
        <f>COUNTIFS($B$2:$B$496,"No",'1'!$B$2:$B$496,"*protein expression*")</f>
        <v>1</v>
      </c>
      <c r="AC3" s="11">
        <f>COUNTIFS($B$2:$B$496,"No",'1'!$B$2:$B$496,"*proteomics*")</f>
        <v>5</v>
      </c>
      <c r="AE3" s="9" t="s">
        <v>82</v>
      </c>
      <c r="AF3" s="11">
        <f>COUNTIF($C$2:$C$496,"No")</f>
        <v>40</v>
      </c>
      <c r="AG3" s="11">
        <f>COUNTIFS($C$2:$C$496,"No",'1'!$F$2:$F$496,"*staff*")</f>
        <v>10</v>
      </c>
      <c r="AH3" s="11">
        <f>COUNTIFS($C$2:$C$496,"No",'1'!$F$2:$F$496,"*both*")</f>
        <v>27</v>
      </c>
      <c r="AI3" s="11">
        <f>COUNTIFS($C$2:$C$496,"No",'1'!$F$2:$F$496,"*users work*")</f>
        <v>3</v>
      </c>
      <c r="AJ3" s="11"/>
      <c r="AK3" s="11">
        <f>COUNTIFS($C$2:$C$496,"No",'1'!$B$2:$B$496,"*flow cytometry*")</f>
        <v>5</v>
      </c>
      <c r="AL3" s="11">
        <f>COUNTIFS($C$2:$C$496,"No",'1'!$B$2:$B$496,"*genomics*")</f>
        <v>2</v>
      </c>
      <c r="AM3" s="11">
        <f>COUNTIFS($C$2:$C$496,"No",'1'!$B$2:$B$496,"*histology*")</f>
        <v>2</v>
      </c>
      <c r="AN3" s="11">
        <f>COUNTIFS($C$2:$C$496,"No",'1'!$B$2:$B$496,"*metabolomics*")</f>
        <v>0</v>
      </c>
      <c r="AO3" s="11">
        <f>COUNTIFS($C$2:$C$496,"No",'1'!$B$2:$B$496,"*microscopy*")</f>
        <v>9</v>
      </c>
      <c r="AP3" s="11">
        <f>COUNTIFS($C$2:$C$496,"No",'1'!$B$2:$B$496,"*mouse*")</f>
        <v>3</v>
      </c>
      <c r="AQ3" s="11">
        <f>COUNTIFS($C$2:$C$496,"No",'1'!$B$2:$B$496,"*protein expression*")</f>
        <v>2</v>
      </c>
      <c r="AR3" s="11">
        <f>COUNTIFS($C$2:$C$496,"No",'1'!$B$2:$B$496,"*proteomics*")</f>
        <v>3</v>
      </c>
      <c r="AT3" s="9" t="s">
        <v>1073</v>
      </c>
      <c r="AU3" s="9">
        <f>COUNTIF(E$2:E$496,"*writing*")+COUNTIF(E$2:E$496,"*SOP*")+COUNTIF(E$2:E$496,"*protocol*")</f>
        <v>43</v>
      </c>
      <c r="AW3" s="9" t="s">
        <v>82</v>
      </c>
      <c r="AX3" s="11">
        <f>COUNTIF(F$2:F$496,"No")</f>
        <v>3</v>
      </c>
      <c r="AZ3" s="9">
        <v>4</v>
      </c>
      <c r="BA3" s="9" t="s">
        <v>656</v>
      </c>
      <c r="BB3" s="11">
        <f>COUNTIF(H$2:H$496,"4")</f>
        <v>36</v>
      </c>
      <c r="BC3" s="11">
        <f>COUNTIF(I$2:I$496,"4")</f>
        <v>26</v>
      </c>
      <c r="BE3" s="9" t="s">
        <v>656</v>
      </c>
      <c r="BF3" s="11">
        <f>COUNTIF(J$2:J$496,"4")</f>
        <v>26</v>
      </c>
      <c r="BG3" s="11">
        <f>COUNTIF(K$2:K$496,"4")</f>
        <v>11</v>
      </c>
      <c r="BI3" s="9" t="s">
        <v>656</v>
      </c>
      <c r="BJ3" s="11">
        <f>COUNTIF(L$2:L$496,"4")</f>
        <v>42</v>
      </c>
      <c r="BK3" s="11">
        <f>COUNTIF(M$2:M$496,"4")</f>
        <v>20</v>
      </c>
    </row>
    <row r="4" spans="1:63" x14ac:dyDescent="0.2">
      <c r="A4" s="9">
        <v>3</v>
      </c>
      <c r="B4" s="9" t="s">
        <v>84</v>
      </c>
      <c r="C4" s="9" t="s">
        <v>84</v>
      </c>
      <c r="F4" s="9" t="s">
        <v>84</v>
      </c>
      <c r="G4" s="9" t="s">
        <v>80</v>
      </c>
      <c r="H4" s="9">
        <v>5</v>
      </c>
      <c r="I4" s="9">
        <v>3</v>
      </c>
      <c r="J4" s="9">
        <v>1</v>
      </c>
      <c r="K4" s="9">
        <v>1</v>
      </c>
      <c r="L4" s="9">
        <v>5</v>
      </c>
      <c r="M4" s="9">
        <v>3</v>
      </c>
      <c r="P4" s="9" t="s">
        <v>145</v>
      </c>
      <c r="Q4" s="11">
        <f>COUNTIF($B$2:$B$496,"NA")</f>
        <v>16</v>
      </c>
      <c r="R4" s="11">
        <f>COUNTIFS($B$2:$B$496,"NA",'1'!$F$2:$F$496,"*staff*")</f>
        <v>3</v>
      </c>
      <c r="S4" s="11">
        <f>COUNTIFS($B$2:$B$496,"NA",'1'!$F$2:$F$496,"*both*")</f>
        <v>12</v>
      </c>
      <c r="T4" s="11">
        <f>COUNTIFS($B$2:$B$496,"NA",'1'!$F$2:$F$496,"*users work*")</f>
        <v>1</v>
      </c>
      <c r="V4" s="11">
        <f>COUNTIFS($B$2:$B$496,"NA",'1'!$B$2:$B$496,"*flow cytometry*")</f>
        <v>3</v>
      </c>
      <c r="W4" s="11">
        <f>COUNTIFS($B$2:$B$496,"NA",'1'!$B$2:$B$496,"*genomics*")</f>
        <v>2</v>
      </c>
      <c r="X4" s="11">
        <f>COUNTIFS($B$2:$B$496,"NA",'1'!$B$2:$B$496,"*histology*")</f>
        <v>1</v>
      </c>
      <c r="Y4" s="11">
        <f>COUNTIFS($B$2:$B$496,"NA",'1'!$B$2:$B$496,"*metabolomics*")</f>
        <v>0</v>
      </c>
      <c r="Z4" s="11">
        <f>COUNTIFS($B$2:$B$496,"NA",'1'!$B$2:$B$496,"*microscopy*")</f>
        <v>2</v>
      </c>
      <c r="AA4" s="11">
        <f>COUNTIFS($B$2:$B$496,"NA",'1'!$B$2:$B$496,"*mouse*")</f>
        <v>1</v>
      </c>
      <c r="AB4" s="11">
        <f>COUNTIFS($B$2:$B$496,"NA",'1'!$B$2:$B$496,"*protein expression*")</f>
        <v>0</v>
      </c>
      <c r="AC4" s="11">
        <f>COUNTIFS($B$2:$B$496,"NA",'1'!$B$2:$B$496,"*proteomics*")</f>
        <v>2</v>
      </c>
      <c r="AF4" s="9">
        <f>SUM(AF2:AF3)</f>
        <v>271</v>
      </c>
      <c r="AT4" s="9" t="s">
        <v>366</v>
      </c>
      <c r="AU4" s="9">
        <f>COUNTIF(E$2:E$496,"*training*")</f>
        <v>12</v>
      </c>
      <c r="AX4" s="9">
        <f>SUM(AX2:AX3)</f>
        <v>271</v>
      </c>
      <c r="AZ4" s="9">
        <v>3</v>
      </c>
      <c r="BA4" s="9" t="s">
        <v>657</v>
      </c>
      <c r="BB4" s="11">
        <f>COUNTIF(H$2:H$496,"3")</f>
        <v>115</v>
      </c>
      <c r="BC4" s="11">
        <f>COUNTIF(I$2:I$496,"3")</f>
        <v>82</v>
      </c>
      <c r="BE4" s="9" t="s">
        <v>657</v>
      </c>
      <c r="BF4" s="11">
        <f>COUNTIF(J$2:J$496,"3")</f>
        <v>64</v>
      </c>
      <c r="BG4" s="11">
        <f>COUNTIF(K$2:K$496,"3")</f>
        <v>28</v>
      </c>
      <c r="BI4" s="9" t="s">
        <v>657</v>
      </c>
      <c r="BJ4" s="11">
        <f>COUNTIF(L$2:L$496,"3")</f>
        <v>102</v>
      </c>
      <c r="BK4" s="11">
        <f>COUNTIF(M$2:M$496,"3")</f>
        <v>93</v>
      </c>
    </row>
    <row r="5" spans="1:63" x14ac:dyDescent="0.2">
      <c r="A5" s="9">
        <v>4</v>
      </c>
      <c r="B5" s="9" t="s">
        <v>84</v>
      </c>
      <c r="C5" s="9" t="s">
        <v>84</v>
      </c>
      <c r="F5" s="9" t="s">
        <v>84</v>
      </c>
      <c r="G5" s="9" t="s">
        <v>80</v>
      </c>
      <c r="H5" s="9">
        <v>5</v>
      </c>
      <c r="I5" s="9">
        <v>5</v>
      </c>
      <c r="J5" s="9">
        <v>2</v>
      </c>
      <c r="K5" s="9">
        <v>1</v>
      </c>
      <c r="L5" s="9">
        <v>5</v>
      </c>
      <c r="M5" s="9">
        <v>5</v>
      </c>
      <c r="Q5" s="9">
        <f>SUM(Q2:Q4)</f>
        <v>271</v>
      </c>
      <c r="AT5" s="9" t="s">
        <v>3508</v>
      </c>
      <c r="AU5" s="9">
        <f>COUNTIF(E$2:E$496,"*literature*")</f>
        <v>10</v>
      </c>
      <c r="AZ5" s="9">
        <v>2</v>
      </c>
      <c r="BA5" s="9" t="s">
        <v>658</v>
      </c>
      <c r="BB5" s="11">
        <f>COUNTIF(H$2:H$496,"2")</f>
        <v>36</v>
      </c>
      <c r="BC5" s="11">
        <f>COUNTIF(I$2:I$496,"2")</f>
        <v>44</v>
      </c>
      <c r="BE5" s="9" t="s">
        <v>658</v>
      </c>
      <c r="BF5" s="11">
        <f>COUNTIF(J$2:J$496,"2")</f>
        <v>71</v>
      </c>
      <c r="BG5" s="11">
        <f>COUNTIF(K$2:K$496,"2")</f>
        <v>25</v>
      </c>
      <c r="BI5" s="9" t="s">
        <v>658</v>
      </c>
      <c r="BJ5" s="11">
        <f>COUNTIF(L$2:L$496,"2")</f>
        <v>40</v>
      </c>
      <c r="BK5" s="11">
        <f>COUNTIF(M$2:M$496,"2")</f>
        <v>52</v>
      </c>
    </row>
    <row r="6" spans="1:63" x14ac:dyDescent="0.2">
      <c r="A6" s="9">
        <v>5</v>
      </c>
      <c r="B6" s="9" t="s">
        <v>84</v>
      </c>
      <c r="C6" s="9" t="s">
        <v>84</v>
      </c>
      <c r="F6" s="9" t="s">
        <v>84</v>
      </c>
      <c r="G6" s="9" t="s">
        <v>80</v>
      </c>
      <c r="H6" s="9">
        <v>3</v>
      </c>
      <c r="I6" s="9">
        <v>2</v>
      </c>
      <c r="J6" s="9">
        <v>2</v>
      </c>
      <c r="K6" s="9">
        <v>1</v>
      </c>
      <c r="L6" s="9">
        <v>2</v>
      </c>
      <c r="M6" s="9">
        <v>2</v>
      </c>
      <c r="AT6" s="9" t="s">
        <v>3512</v>
      </c>
      <c r="AU6" s="9">
        <f>COUNTIF(E$2:E$496,"*seminar*")</f>
        <v>8</v>
      </c>
      <c r="AZ6" s="9">
        <v>1</v>
      </c>
      <c r="BA6" s="9" t="s">
        <v>659</v>
      </c>
      <c r="BB6" s="11">
        <f>COUNTIF(H$2:H$496,"1")</f>
        <v>38</v>
      </c>
      <c r="BC6" s="11">
        <f>COUNTIF(I$2:I$496,"1")</f>
        <v>73</v>
      </c>
      <c r="BE6" s="9" t="s">
        <v>659</v>
      </c>
      <c r="BF6" s="11">
        <f>COUNTIF(J$2:J$496,"1")</f>
        <v>90</v>
      </c>
      <c r="BG6" s="11">
        <f>COUNTIF(K$2:K$496,"1")</f>
        <v>164</v>
      </c>
      <c r="BI6" s="9" t="s">
        <v>659</v>
      </c>
      <c r="BJ6" s="11">
        <f>COUNTIF(L$2:L$496,"1")</f>
        <v>23</v>
      </c>
      <c r="BK6" s="11">
        <f>COUNTIF(M$2:M$496,"1")</f>
        <v>58</v>
      </c>
    </row>
    <row r="7" spans="1:63" x14ac:dyDescent="0.2">
      <c r="A7" s="9">
        <v>6</v>
      </c>
      <c r="B7" s="9" t="s">
        <v>84</v>
      </c>
      <c r="C7" s="9" t="s">
        <v>84</v>
      </c>
      <c r="F7" s="9" t="s">
        <v>84</v>
      </c>
      <c r="G7" s="9" t="s">
        <v>80</v>
      </c>
      <c r="H7" s="9">
        <v>2</v>
      </c>
      <c r="I7" s="9">
        <v>2</v>
      </c>
      <c r="J7" s="9">
        <v>1</v>
      </c>
      <c r="K7" s="9">
        <v>1</v>
      </c>
      <c r="L7" s="9">
        <v>3</v>
      </c>
      <c r="M7" s="9">
        <v>3</v>
      </c>
      <c r="AT7" s="9" t="s">
        <v>478</v>
      </c>
      <c r="AU7" s="9">
        <f>COUNTIF(E$2:E$496,"*email*")</f>
        <v>5</v>
      </c>
      <c r="BB7" s="9">
        <f>SUM(BB2:BB6)</f>
        <v>271</v>
      </c>
      <c r="BC7" s="9">
        <f>SUM(BC2:BC6)</f>
        <v>271</v>
      </c>
      <c r="BF7" s="9">
        <f>SUM(BF2:BF6)</f>
        <v>271</v>
      </c>
      <c r="BG7" s="9">
        <f>SUM(BG2:BG6)</f>
        <v>271</v>
      </c>
      <c r="BJ7" s="9">
        <f>SUM(BJ2:BJ6)</f>
        <v>271</v>
      </c>
      <c r="BK7" s="9">
        <f>SUM(BK2:BK6)</f>
        <v>271</v>
      </c>
    </row>
    <row r="8" spans="1:63" x14ac:dyDescent="0.2">
      <c r="A8" s="9">
        <v>7</v>
      </c>
      <c r="B8" s="9" t="s">
        <v>84</v>
      </c>
      <c r="C8" s="9" t="s">
        <v>84</v>
      </c>
      <c r="F8" s="9" t="s">
        <v>84</v>
      </c>
      <c r="G8" s="9" t="s">
        <v>80</v>
      </c>
      <c r="H8" s="9">
        <v>5</v>
      </c>
      <c r="I8" s="9">
        <v>5</v>
      </c>
      <c r="J8" s="9">
        <v>1</v>
      </c>
      <c r="K8" s="9">
        <v>1</v>
      </c>
      <c r="L8" s="9">
        <v>5</v>
      </c>
      <c r="M8" s="9">
        <v>5</v>
      </c>
      <c r="AT8" s="9" t="s">
        <v>3513</v>
      </c>
      <c r="AU8" s="9">
        <f>COUNTIF(E$2:E$496,"*supervision*")</f>
        <v>3</v>
      </c>
    </row>
    <row r="9" spans="1:63" x14ac:dyDescent="0.2">
      <c r="A9" s="9">
        <v>8</v>
      </c>
      <c r="B9" s="9" t="s">
        <v>84</v>
      </c>
      <c r="C9" s="9" t="s">
        <v>84</v>
      </c>
      <c r="F9" s="9" t="s">
        <v>84</v>
      </c>
      <c r="G9" s="9" t="s">
        <v>80</v>
      </c>
      <c r="H9" s="9">
        <v>3</v>
      </c>
      <c r="I9" s="9">
        <v>5</v>
      </c>
      <c r="J9" s="9">
        <v>3</v>
      </c>
      <c r="K9" s="9">
        <v>5</v>
      </c>
      <c r="L9" s="9">
        <v>3</v>
      </c>
      <c r="M9" s="9">
        <v>5</v>
      </c>
    </row>
    <row r="10" spans="1:63" x14ac:dyDescent="0.2">
      <c r="A10" s="9">
        <v>9</v>
      </c>
      <c r="B10" s="9" t="s">
        <v>84</v>
      </c>
      <c r="C10" s="9" t="s">
        <v>84</v>
      </c>
      <c r="F10" s="9" t="s">
        <v>84</v>
      </c>
      <c r="G10" s="9" t="s">
        <v>80</v>
      </c>
      <c r="H10" s="9">
        <v>1</v>
      </c>
      <c r="I10" s="9">
        <v>3</v>
      </c>
      <c r="J10" s="9">
        <v>4</v>
      </c>
      <c r="K10" s="9">
        <v>5</v>
      </c>
      <c r="L10" s="9">
        <v>1</v>
      </c>
      <c r="M10" s="9">
        <v>3</v>
      </c>
    </row>
    <row r="11" spans="1:63" x14ac:dyDescent="0.2">
      <c r="A11" s="9">
        <v>10</v>
      </c>
      <c r="B11" s="9" t="s">
        <v>84</v>
      </c>
      <c r="C11" s="9" t="s">
        <v>84</v>
      </c>
      <c r="F11" s="9" t="s">
        <v>84</v>
      </c>
      <c r="G11" s="9" t="s">
        <v>80</v>
      </c>
      <c r="H11" s="9">
        <v>3</v>
      </c>
      <c r="I11" s="9">
        <v>1</v>
      </c>
      <c r="J11" s="9">
        <v>1</v>
      </c>
      <c r="K11" s="9">
        <v>1</v>
      </c>
      <c r="L11" s="9">
        <v>3</v>
      </c>
      <c r="M11" s="9">
        <v>2</v>
      </c>
      <c r="AT11" s="9" t="s">
        <v>2122</v>
      </c>
      <c r="AU11" s="9">
        <f>COUNTIF(E$2:E$496,"*sample*")</f>
        <v>34</v>
      </c>
    </row>
    <row r="12" spans="1:63" x14ac:dyDescent="0.2">
      <c r="A12" s="9">
        <v>11</v>
      </c>
      <c r="B12" s="9" t="s">
        <v>84</v>
      </c>
      <c r="C12" s="9" t="s">
        <v>82</v>
      </c>
      <c r="F12" s="9" t="s">
        <v>84</v>
      </c>
      <c r="G12" s="9" t="s">
        <v>80</v>
      </c>
      <c r="H12" s="9">
        <v>3</v>
      </c>
      <c r="I12" s="9">
        <v>4</v>
      </c>
      <c r="J12" s="9">
        <v>4</v>
      </c>
      <c r="K12" s="9">
        <v>4</v>
      </c>
      <c r="L12" s="9">
        <v>2</v>
      </c>
      <c r="M12" s="9">
        <v>2</v>
      </c>
      <c r="AT12" s="9" t="s">
        <v>3518</v>
      </c>
      <c r="AU12" s="9">
        <f>COUNTIF(E$2:E$496,"*SOP*")+COUNTIF(E$2:E$496,"*protocol*")</f>
        <v>29</v>
      </c>
    </row>
    <row r="13" spans="1:63" x14ac:dyDescent="0.2">
      <c r="A13" s="9">
        <v>12</v>
      </c>
      <c r="B13" s="9" t="s">
        <v>84</v>
      </c>
      <c r="C13" s="9" t="s">
        <v>84</v>
      </c>
      <c r="F13" s="9" t="s">
        <v>84</v>
      </c>
      <c r="G13" s="9" t="s">
        <v>80</v>
      </c>
      <c r="H13" s="9">
        <v>1</v>
      </c>
      <c r="I13" s="9">
        <v>1</v>
      </c>
      <c r="J13" s="9">
        <v>1</v>
      </c>
      <c r="K13" s="9">
        <v>1</v>
      </c>
      <c r="L13" s="9">
        <v>3</v>
      </c>
      <c r="M13" s="9">
        <v>3</v>
      </c>
      <c r="AT13" s="9" t="s">
        <v>1053</v>
      </c>
      <c r="AU13" s="9">
        <f>COUNTIF(E$2:E$496,"*design*")</f>
        <v>26</v>
      </c>
    </row>
    <row r="14" spans="1:63" x14ac:dyDescent="0.2">
      <c r="A14" s="9">
        <v>13</v>
      </c>
      <c r="B14" s="9" t="s">
        <v>82</v>
      </c>
      <c r="C14" s="9" t="s">
        <v>84</v>
      </c>
      <c r="F14" s="9" t="s">
        <v>84</v>
      </c>
      <c r="G14" s="9" t="s">
        <v>80</v>
      </c>
      <c r="H14" s="9">
        <v>3</v>
      </c>
      <c r="I14" s="9">
        <v>2</v>
      </c>
      <c r="J14" s="9">
        <v>2</v>
      </c>
      <c r="K14" s="9">
        <v>1</v>
      </c>
      <c r="L14" s="9">
        <v>3</v>
      </c>
      <c r="M14" s="9">
        <v>3</v>
      </c>
      <c r="AT14" s="9" t="s">
        <v>3515</v>
      </c>
      <c r="AU14" s="9">
        <f>COUNTIF(E$2:E$496,"*acquisition*")+COUNTIF(E$2:E$496,"*results*")</f>
        <v>20</v>
      </c>
    </row>
    <row r="15" spans="1:63" x14ac:dyDescent="0.2">
      <c r="A15" s="9">
        <v>14</v>
      </c>
      <c r="B15" s="9" t="s">
        <v>82</v>
      </c>
      <c r="C15" s="9" t="s">
        <v>84</v>
      </c>
      <c r="F15" s="9" t="s">
        <v>84</v>
      </c>
      <c r="G15" s="9" t="s">
        <v>80</v>
      </c>
      <c r="H15" s="9">
        <v>4</v>
      </c>
      <c r="I15" s="9">
        <v>4</v>
      </c>
      <c r="J15" s="9">
        <v>1</v>
      </c>
      <c r="K15" s="9">
        <v>1</v>
      </c>
      <c r="L15" s="9">
        <v>5</v>
      </c>
      <c r="M15" s="9">
        <v>5</v>
      </c>
      <c r="AT15" s="9" t="s">
        <v>3517</v>
      </c>
      <c r="AU15" s="9">
        <f>COUNTIF(E$2:E$496,"*controls*")</f>
        <v>17</v>
      </c>
    </row>
    <row r="16" spans="1:63" x14ac:dyDescent="0.2">
      <c r="A16" s="9">
        <v>15</v>
      </c>
      <c r="B16" s="9" t="s">
        <v>84</v>
      </c>
      <c r="C16" s="9" t="s">
        <v>84</v>
      </c>
      <c r="F16" s="9" t="s">
        <v>84</v>
      </c>
      <c r="G16" s="9" t="s">
        <v>80</v>
      </c>
      <c r="H16" s="9">
        <v>3</v>
      </c>
      <c r="I16" s="9">
        <v>1</v>
      </c>
      <c r="J16" s="9">
        <v>3</v>
      </c>
      <c r="K16" s="9">
        <v>1</v>
      </c>
      <c r="L16" s="9">
        <v>3</v>
      </c>
      <c r="M16" s="9">
        <v>1</v>
      </c>
      <c r="AT16" s="9" t="s">
        <v>1431</v>
      </c>
      <c r="AU16" s="9">
        <f>COUNTIF(E$2:E$496,"*analysis*")</f>
        <v>9</v>
      </c>
    </row>
    <row r="17" spans="1:47" x14ac:dyDescent="0.2">
      <c r="A17" s="9">
        <v>16</v>
      </c>
      <c r="B17" s="9" t="s">
        <v>84</v>
      </c>
      <c r="C17" s="9" t="s">
        <v>84</v>
      </c>
      <c r="F17" s="9" t="s">
        <v>84</v>
      </c>
      <c r="G17" s="9" t="s">
        <v>80</v>
      </c>
      <c r="H17" s="9">
        <v>3</v>
      </c>
      <c r="I17" s="9">
        <v>4</v>
      </c>
      <c r="J17" s="9">
        <v>1</v>
      </c>
      <c r="K17" s="9">
        <v>1</v>
      </c>
      <c r="L17" s="9">
        <v>5</v>
      </c>
      <c r="M17" s="9">
        <v>4</v>
      </c>
      <c r="AT17" s="9" t="s">
        <v>1054</v>
      </c>
      <c r="AU17" s="9">
        <f>COUNTIF(E$2:E$496,"*quality*")</f>
        <v>9</v>
      </c>
    </row>
    <row r="18" spans="1:47" x14ac:dyDescent="0.2">
      <c r="A18" s="9">
        <v>17</v>
      </c>
      <c r="B18" s="9" t="s">
        <v>84</v>
      </c>
      <c r="C18" s="9" t="s">
        <v>82</v>
      </c>
      <c r="F18" s="9" t="s">
        <v>84</v>
      </c>
      <c r="G18" s="9" t="s">
        <v>80</v>
      </c>
      <c r="H18" s="9">
        <v>3</v>
      </c>
      <c r="I18" s="9">
        <v>3</v>
      </c>
      <c r="J18" s="9">
        <v>3</v>
      </c>
      <c r="K18" s="9">
        <v>3</v>
      </c>
      <c r="L18" s="9">
        <v>3</v>
      </c>
      <c r="M18" s="9">
        <v>3</v>
      </c>
      <c r="AT18" s="9" t="s">
        <v>3218</v>
      </c>
      <c r="AU18" s="9">
        <f>COUNTIF(E$2:E$496,"*troubleshooting*")</f>
        <v>6</v>
      </c>
    </row>
    <row r="19" spans="1:47" x14ac:dyDescent="0.2">
      <c r="A19" s="9">
        <v>18</v>
      </c>
      <c r="B19" s="9" t="s">
        <v>82</v>
      </c>
      <c r="C19" s="9" t="s">
        <v>84</v>
      </c>
      <c r="F19" s="9" t="s">
        <v>84</v>
      </c>
      <c r="G19" s="9" t="s">
        <v>80</v>
      </c>
      <c r="H19" s="9">
        <v>5</v>
      </c>
      <c r="I19" s="9">
        <v>5</v>
      </c>
      <c r="J19" s="9">
        <v>1</v>
      </c>
      <c r="K19" s="9">
        <v>1</v>
      </c>
      <c r="L19" s="9">
        <v>5</v>
      </c>
      <c r="M19" s="9">
        <v>5</v>
      </c>
      <c r="AT19" s="9" t="s">
        <v>3519</v>
      </c>
      <c r="AU19" s="9">
        <f>COUNTIF(E$2:E$496,"*example*")</f>
        <v>3</v>
      </c>
    </row>
    <row r="20" spans="1:47" x14ac:dyDescent="0.2">
      <c r="A20" s="9">
        <v>19</v>
      </c>
      <c r="B20" s="32" t="s">
        <v>84</v>
      </c>
      <c r="C20" s="32" t="s">
        <v>82</v>
      </c>
      <c r="D20" s="33"/>
      <c r="E20" s="45"/>
      <c r="F20" s="32" t="s">
        <v>84</v>
      </c>
      <c r="G20" s="32" t="s">
        <v>80</v>
      </c>
      <c r="H20" s="32">
        <v>3</v>
      </c>
      <c r="I20" s="32">
        <v>1</v>
      </c>
      <c r="J20" s="32">
        <v>3</v>
      </c>
      <c r="K20" s="32">
        <v>1</v>
      </c>
      <c r="L20" s="32">
        <v>3</v>
      </c>
      <c r="M20" s="32">
        <v>1</v>
      </c>
      <c r="AT20" s="9" t="s">
        <v>3514</v>
      </c>
      <c r="AU20" s="9">
        <f>COUNTIF(E$2:E$496,"*limitation*")</f>
        <v>3</v>
      </c>
    </row>
    <row r="21" spans="1:47" x14ac:dyDescent="0.2">
      <c r="A21" s="9">
        <v>20</v>
      </c>
      <c r="B21" s="32" t="s">
        <v>84</v>
      </c>
      <c r="C21" s="32" t="s">
        <v>84</v>
      </c>
      <c r="D21" s="33"/>
      <c r="E21" s="45"/>
      <c r="F21" s="32" t="s">
        <v>84</v>
      </c>
      <c r="G21" s="32" t="s">
        <v>80</v>
      </c>
      <c r="H21" s="32">
        <v>1</v>
      </c>
      <c r="I21" s="32">
        <v>1</v>
      </c>
      <c r="J21" s="32">
        <v>1</v>
      </c>
      <c r="K21" s="32">
        <v>1</v>
      </c>
      <c r="L21" s="32">
        <v>3</v>
      </c>
      <c r="M21" s="32">
        <v>3</v>
      </c>
      <c r="AT21" s="9" t="s">
        <v>3516</v>
      </c>
      <c r="AU21" s="9">
        <f>COUNTIF(E$2:E$496,"*check*")</f>
        <v>1</v>
      </c>
    </row>
    <row r="22" spans="1:47" x14ac:dyDescent="0.2">
      <c r="A22" s="9">
        <v>21</v>
      </c>
      <c r="B22" s="9" t="s">
        <v>84</v>
      </c>
      <c r="C22" s="9" t="s">
        <v>84</v>
      </c>
      <c r="F22" s="9" t="s">
        <v>84</v>
      </c>
      <c r="G22" s="9" t="s">
        <v>80</v>
      </c>
      <c r="H22" s="9">
        <v>2</v>
      </c>
      <c r="I22" s="9">
        <v>2</v>
      </c>
      <c r="J22" s="9">
        <v>1</v>
      </c>
      <c r="K22" s="9">
        <v>1</v>
      </c>
      <c r="L22" s="9">
        <v>2</v>
      </c>
      <c r="M22" s="9">
        <v>2</v>
      </c>
    </row>
    <row r="23" spans="1:47" x14ac:dyDescent="0.2">
      <c r="A23" s="9">
        <v>22</v>
      </c>
      <c r="B23" s="9" t="s">
        <v>84</v>
      </c>
      <c r="C23" s="9" t="s">
        <v>84</v>
      </c>
      <c r="F23" s="9" t="s">
        <v>84</v>
      </c>
      <c r="G23" s="9" t="s">
        <v>80</v>
      </c>
      <c r="H23" s="9">
        <v>5</v>
      </c>
      <c r="I23" s="9">
        <v>5</v>
      </c>
      <c r="J23" s="9">
        <v>2</v>
      </c>
      <c r="K23" s="9">
        <v>1</v>
      </c>
      <c r="L23" s="9">
        <v>5</v>
      </c>
      <c r="M23" s="9">
        <v>5</v>
      </c>
    </row>
    <row r="24" spans="1:47" x14ac:dyDescent="0.2">
      <c r="A24" s="9">
        <v>23</v>
      </c>
      <c r="B24" s="9" t="s">
        <v>82</v>
      </c>
      <c r="C24" s="9" t="s">
        <v>82</v>
      </c>
      <c r="F24" s="9" t="s">
        <v>84</v>
      </c>
      <c r="G24" s="9" t="s">
        <v>80</v>
      </c>
      <c r="H24" s="9">
        <v>1</v>
      </c>
      <c r="I24" s="9">
        <v>1</v>
      </c>
      <c r="J24" s="9">
        <v>1</v>
      </c>
      <c r="K24" s="9">
        <v>1</v>
      </c>
      <c r="L24" s="9">
        <v>1</v>
      </c>
      <c r="M24" s="9">
        <v>1</v>
      </c>
    </row>
    <row r="25" spans="1:47" x14ac:dyDescent="0.2">
      <c r="A25" s="9">
        <v>24</v>
      </c>
      <c r="B25" s="9" t="s">
        <v>84</v>
      </c>
      <c r="C25" s="9" t="s">
        <v>84</v>
      </c>
      <c r="F25" s="9" t="s">
        <v>84</v>
      </c>
      <c r="G25" s="9" t="s">
        <v>80</v>
      </c>
      <c r="H25" s="9">
        <v>5</v>
      </c>
      <c r="I25" s="9">
        <v>1</v>
      </c>
      <c r="J25" s="9">
        <v>4</v>
      </c>
      <c r="K25" s="9">
        <v>1</v>
      </c>
      <c r="L25" s="9">
        <v>3</v>
      </c>
      <c r="M25" s="9">
        <v>3</v>
      </c>
    </row>
    <row r="26" spans="1:47" x14ac:dyDescent="0.2">
      <c r="A26" s="9">
        <v>25</v>
      </c>
      <c r="B26" s="9" t="s">
        <v>145</v>
      </c>
      <c r="C26" s="9" t="s">
        <v>84</v>
      </c>
      <c r="F26" s="9" t="s">
        <v>84</v>
      </c>
      <c r="G26" s="9" t="s">
        <v>80</v>
      </c>
      <c r="H26" s="9">
        <v>3</v>
      </c>
      <c r="I26" s="9">
        <v>1</v>
      </c>
      <c r="J26" s="9">
        <v>3</v>
      </c>
      <c r="K26" s="9">
        <v>1</v>
      </c>
      <c r="L26" s="9">
        <v>3</v>
      </c>
      <c r="M26" s="9">
        <v>1</v>
      </c>
    </row>
    <row r="27" spans="1:47" x14ac:dyDescent="0.2">
      <c r="A27" s="9">
        <v>26</v>
      </c>
      <c r="B27" s="9" t="s">
        <v>84</v>
      </c>
      <c r="C27" s="9" t="s">
        <v>84</v>
      </c>
      <c r="F27" s="9" t="s">
        <v>84</v>
      </c>
      <c r="G27" s="9" t="s">
        <v>80</v>
      </c>
      <c r="H27" s="9">
        <v>4</v>
      </c>
      <c r="I27" s="9">
        <v>3</v>
      </c>
      <c r="J27" s="9">
        <v>1</v>
      </c>
      <c r="K27" s="9">
        <v>1</v>
      </c>
      <c r="L27" s="9">
        <v>3</v>
      </c>
      <c r="M27" s="9">
        <v>3</v>
      </c>
    </row>
    <row r="28" spans="1:47" x14ac:dyDescent="0.2">
      <c r="A28" s="9">
        <v>27</v>
      </c>
      <c r="B28" s="9" t="s">
        <v>84</v>
      </c>
      <c r="C28" s="9" t="s">
        <v>84</v>
      </c>
      <c r="F28" s="9" t="s">
        <v>84</v>
      </c>
      <c r="G28" s="9" t="s">
        <v>80</v>
      </c>
      <c r="H28" s="9">
        <v>1</v>
      </c>
      <c r="I28" s="9">
        <v>2</v>
      </c>
      <c r="J28" s="9">
        <v>3</v>
      </c>
      <c r="K28" s="9">
        <v>2</v>
      </c>
      <c r="L28" s="9">
        <v>3</v>
      </c>
      <c r="M28" s="9">
        <v>4</v>
      </c>
    </row>
    <row r="29" spans="1:47" x14ac:dyDescent="0.2">
      <c r="A29" s="9">
        <v>28</v>
      </c>
      <c r="B29" s="9" t="s">
        <v>84</v>
      </c>
      <c r="C29" s="9" t="s">
        <v>84</v>
      </c>
      <c r="F29" s="9" t="s">
        <v>84</v>
      </c>
      <c r="G29" s="9" t="s">
        <v>80</v>
      </c>
      <c r="H29" s="9">
        <v>5</v>
      </c>
      <c r="I29" s="9">
        <v>5</v>
      </c>
      <c r="J29" s="9">
        <v>3</v>
      </c>
      <c r="K29" s="9">
        <v>1</v>
      </c>
      <c r="L29" s="9">
        <v>3</v>
      </c>
      <c r="M29" s="9">
        <v>3</v>
      </c>
    </row>
    <row r="30" spans="1:47" x14ac:dyDescent="0.2">
      <c r="A30" s="9">
        <v>29</v>
      </c>
      <c r="B30" s="9" t="s">
        <v>145</v>
      </c>
      <c r="C30" s="9" t="s">
        <v>84</v>
      </c>
      <c r="F30" s="9" t="s">
        <v>84</v>
      </c>
      <c r="G30" s="9" t="s">
        <v>80</v>
      </c>
      <c r="H30" s="9">
        <v>4</v>
      </c>
      <c r="I30" s="9">
        <v>4</v>
      </c>
      <c r="J30" s="9">
        <v>1</v>
      </c>
      <c r="K30" s="9">
        <v>1</v>
      </c>
      <c r="L30" s="9">
        <v>5</v>
      </c>
      <c r="M30" s="9">
        <v>5</v>
      </c>
    </row>
    <row r="31" spans="1:47" x14ac:dyDescent="0.2">
      <c r="A31" s="9">
        <v>30</v>
      </c>
      <c r="B31" s="9" t="s">
        <v>84</v>
      </c>
      <c r="C31" s="9" t="s">
        <v>84</v>
      </c>
      <c r="F31" s="9" t="s">
        <v>84</v>
      </c>
      <c r="G31" s="9" t="s">
        <v>80</v>
      </c>
      <c r="H31" s="9">
        <v>3</v>
      </c>
      <c r="I31" s="9">
        <v>3</v>
      </c>
      <c r="J31" s="9">
        <v>1</v>
      </c>
      <c r="K31" s="9">
        <v>3</v>
      </c>
      <c r="L31" s="9">
        <v>1</v>
      </c>
      <c r="M31" s="9">
        <v>5</v>
      </c>
    </row>
    <row r="32" spans="1:47" x14ac:dyDescent="0.2">
      <c r="A32" s="9">
        <v>31</v>
      </c>
      <c r="B32" s="9" t="s">
        <v>84</v>
      </c>
      <c r="C32" s="9" t="s">
        <v>84</v>
      </c>
      <c r="F32" s="9" t="s">
        <v>84</v>
      </c>
      <c r="G32" s="9" t="s">
        <v>80</v>
      </c>
      <c r="H32" s="9">
        <v>1</v>
      </c>
      <c r="I32" s="9">
        <v>1</v>
      </c>
      <c r="J32" s="9">
        <v>1</v>
      </c>
      <c r="K32" s="9">
        <v>1</v>
      </c>
      <c r="L32" s="9">
        <v>1</v>
      </c>
      <c r="M32" s="9">
        <v>1</v>
      </c>
    </row>
    <row r="33" spans="1:13" x14ac:dyDescent="0.2">
      <c r="A33" s="9">
        <v>32</v>
      </c>
      <c r="B33" s="9" t="s">
        <v>84</v>
      </c>
      <c r="C33" s="9" t="s">
        <v>84</v>
      </c>
      <c r="F33" s="9" t="s">
        <v>84</v>
      </c>
      <c r="G33" s="9" t="s">
        <v>80</v>
      </c>
      <c r="H33" s="9">
        <v>5</v>
      </c>
      <c r="I33" s="9">
        <v>5</v>
      </c>
      <c r="J33" s="9">
        <v>5</v>
      </c>
      <c r="K33" s="9">
        <v>5</v>
      </c>
      <c r="L33" s="9">
        <v>3</v>
      </c>
      <c r="M33" s="9">
        <v>3</v>
      </c>
    </row>
    <row r="34" spans="1:13" x14ac:dyDescent="0.2">
      <c r="A34" s="9">
        <v>33</v>
      </c>
      <c r="B34" s="9" t="s">
        <v>84</v>
      </c>
      <c r="C34" s="9" t="s">
        <v>84</v>
      </c>
      <c r="F34" s="9" t="s">
        <v>84</v>
      </c>
      <c r="G34" s="9" t="s">
        <v>80</v>
      </c>
      <c r="H34" s="9">
        <v>4</v>
      </c>
      <c r="I34" s="9">
        <v>3</v>
      </c>
      <c r="J34" s="9">
        <v>2</v>
      </c>
      <c r="K34" s="9">
        <v>1</v>
      </c>
      <c r="L34" s="9">
        <v>5</v>
      </c>
      <c r="M34" s="9">
        <v>2</v>
      </c>
    </row>
    <row r="35" spans="1:13" x14ac:dyDescent="0.2">
      <c r="A35" s="9">
        <v>34</v>
      </c>
      <c r="B35" s="9" t="s">
        <v>84</v>
      </c>
      <c r="C35" s="9" t="s">
        <v>84</v>
      </c>
      <c r="F35" s="9" t="s">
        <v>84</v>
      </c>
      <c r="G35" s="9" t="s">
        <v>80</v>
      </c>
      <c r="H35" s="9">
        <v>2</v>
      </c>
      <c r="I35" s="9">
        <v>1</v>
      </c>
      <c r="J35" s="9">
        <v>3</v>
      </c>
      <c r="K35" s="9">
        <v>1</v>
      </c>
      <c r="L35" s="9">
        <v>2</v>
      </c>
      <c r="M35" s="9">
        <v>1</v>
      </c>
    </row>
    <row r="36" spans="1:13" x14ac:dyDescent="0.2">
      <c r="A36" s="9">
        <v>35</v>
      </c>
      <c r="B36" s="9" t="s">
        <v>145</v>
      </c>
      <c r="C36" s="9" t="s">
        <v>84</v>
      </c>
      <c r="F36" s="9" t="s">
        <v>84</v>
      </c>
      <c r="G36" s="9" t="s">
        <v>80</v>
      </c>
      <c r="H36" s="9">
        <v>3</v>
      </c>
      <c r="I36" s="9">
        <v>2</v>
      </c>
      <c r="J36" s="9">
        <v>2</v>
      </c>
      <c r="K36" s="9">
        <v>1</v>
      </c>
      <c r="L36" s="9">
        <v>5</v>
      </c>
      <c r="M36" s="9">
        <v>4</v>
      </c>
    </row>
    <row r="37" spans="1:13" x14ac:dyDescent="0.2">
      <c r="A37" s="9">
        <v>36</v>
      </c>
      <c r="B37" s="9" t="s">
        <v>82</v>
      </c>
      <c r="C37" s="9" t="s">
        <v>84</v>
      </c>
      <c r="F37" s="9" t="s">
        <v>84</v>
      </c>
      <c r="G37" s="9" t="s">
        <v>80</v>
      </c>
      <c r="H37" s="9">
        <v>3</v>
      </c>
      <c r="I37" s="9">
        <v>3</v>
      </c>
      <c r="J37" s="9">
        <v>2</v>
      </c>
      <c r="K37" s="9">
        <v>1</v>
      </c>
      <c r="L37" s="9">
        <v>4</v>
      </c>
      <c r="M37" s="9">
        <v>3</v>
      </c>
    </row>
    <row r="38" spans="1:13" x14ac:dyDescent="0.2">
      <c r="A38" s="9">
        <v>37</v>
      </c>
      <c r="B38" s="9" t="s">
        <v>84</v>
      </c>
      <c r="C38" s="9" t="s">
        <v>84</v>
      </c>
      <c r="F38" s="9" t="s">
        <v>84</v>
      </c>
      <c r="G38" s="9" t="s">
        <v>80</v>
      </c>
      <c r="H38" s="9">
        <v>3</v>
      </c>
      <c r="I38" s="9">
        <v>2</v>
      </c>
      <c r="J38" s="9">
        <v>2</v>
      </c>
      <c r="K38" s="9">
        <v>2</v>
      </c>
      <c r="L38" s="9">
        <v>4</v>
      </c>
      <c r="M38" s="9">
        <v>5</v>
      </c>
    </row>
    <row r="39" spans="1:13" x14ac:dyDescent="0.2">
      <c r="A39" s="9">
        <v>38</v>
      </c>
      <c r="B39" s="9" t="s">
        <v>82</v>
      </c>
      <c r="C39" s="9" t="s">
        <v>84</v>
      </c>
      <c r="F39" s="9" t="s">
        <v>84</v>
      </c>
      <c r="G39" s="9" t="s">
        <v>80</v>
      </c>
      <c r="H39" s="9">
        <v>4</v>
      </c>
      <c r="I39" s="9">
        <v>2</v>
      </c>
      <c r="J39" s="9">
        <v>1</v>
      </c>
      <c r="K39" s="9">
        <v>1</v>
      </c>
      <c r="L39" s="9">
        <v>5</v>
      </c>
      <c r="M39" s="9">
        <v>2</v>
      </c>
    </row>
    <row r="40" spans="1:13" x14ac:dyDescent="0.2">
      <c r="A40" s="9">
        <v>39</v>
      </c>
      <c r="B40" s="9" t="s">
        <v>84</v>
      </c>
      <c r="C40" s="9" t="s">
        <v>84</v>
      </c>
      <c r="F40" s="9" t="s">
        <v>84</v>
      </c>
      <c r="G40" s="9" t="s">
        <v>80</v>
      </c>
      <c r="H40" s="9">
        <v>3</v>
      </c>
      <c r="I40" s="9">
        <v>3</v>
      </c>
      <c r="J40" s="9">
        <v>1</v>
      </c>
      <c r="K40" s="9">
        <v>1</v>
      </c>
      <c r="L40" s="9">
        <v>3</v>
      </c>
      <c r="M40" s="9">
        <v>3</v>
      </c>
    </row>
    <row r="41" spans="1:13" x14ac:dyDescent="0.2">
      <c r="A41" s="9">
        <v>40</v>
      </c>
      <c r="B41" s="9" t="s">
        <v>84</v>
      </c>
      <c r="C41" s="9" t="s">
        <v>84</v>
      </c>
      <c r="F41" s="9" t="s">
        <v>84</v>
      </c>
      <c r="G41" s="9" t="s">
        <v>80</v>
      </c>
      <c r="H41" s="9">
        <v>3</v>
      </c>
      <c r="I41" s="9">
        <v>2</v>
      </c>
      <c r="J41" s="9">
        <v>3</v>
      </c>
      <c r="K41" s="9">
        <v>1</v>
      </c>
      <c r="L41" s="9">
        <v>4</v>
      </c>
      <c r="M41" s="9">
        <v>3</v>
      </c>
    </row>
    <row r="42" spans="1:13" x14ac:dyDescent="0.2">
      <c r="A42" s="9">
        <v>41</v>
      </c>
      <c r="B42" s="9" t="s">
        <v>82</v>
      </c>
      <c r="C42" s="9" t="s">
        <v>84</v>
      </c>
      <c r="F42" s="9" t="s">
        <v>84</v>
      </c>
      <c r="G42" s="9" t="s">
        <v>80</v>
      </c>
      <c r="H42" s="9">
        <v>3</v>
      </c>
      <c r="I42" s="9">
        <v>3</v>
      </c>
      <c r="J42" s="9">
        <v>3</v>
      </c>
      <c r="K42" s="9">
        <v>3</v>
      </c>
      <c r="L42" s="9">
        <v>3</v>
      </c>
      <c r="M42" s="9">
        <v>3</v>
      </c>
    </row>
    <row r="43" spans="1:13" x14ac:dyDescent="0.2">
      <c r="A43" s="9">
        <v>42</v>
      </c>
      <c r="B43" s="9" t="s">
        <v>84</v>
      </c>
      <c r="C43" s="9" t="s">
        <v>84</v>
      </c>
      <c r="F43" s="9" t="s">
        <v>84</v>
      </c>
      <c r="G43" s="9" t="s">
        <v>80</v>
      </c>
      <c r="H43" s="9">
        <v>3</v>
      </c>
      <c r="I43" s="9">
        <v>3</v>
      </c>
      <c r="J43" s="9">
        <v>3</v>
      </c>
      <c r="K43" s="9">
        <v>3</v>
      </c>
      <c r="L43" s="9">
        <v>3</v>
      </c>
      <c r="M43" s="9">
        <v>3</v>
      </c>
    </row>
    <row r="44" spans="1:13" x14ac:dyDescent="0.2">
      <c r="A44" s="9">
        <v>43</v>
      </c>
      <c r="B44" s="9" t="s">
        <v>84</v>
      </c>
      <c r="C44" s="9" t="s">
        <v>84</v>
      </c>
      <c r="F44" s="9" t="s">
        <v>84</v>
      </c>
      <c r="G44" s="9" t="s">
        <v>80</v>
      </c>
      <c r="H44" s="9">
        <v>3</v>
      </c>
      <c r="I44" s="9">
        <v>2</v>
      </c>
      <c r="J44" s="9">
        <v>3</v>
      </c>
      <c r="K44" s="9">
        <v>1</v>
      </c>
      <c r="L44" s="9">
        <v>3</v>
      </c>
      <c r="M44" s="9">
        <v>1</v>
      </c>
    </row>
    <row r="45" spans="1:13" x14ac:dyDescent="0.2">
      <c r="A45" s="9">
        <v>44</v>
      </c>
      <c r="B45" s="32" t="s">
        <v>84</v>
      </c>
      <c r="C45" s="32" t="s">
        <v>84</v>
      </c>
      <c r="D45" s="33"/>
      <c r="E45" s="45"/>
      <c r="F45" s="32" t="s">
        <v>84</v>
      </c>
      <c r="G45" s="32" t="s">
        <v>80</v>
      </c>
      <c r="H45" s="32">
        <v>2</v>
      </c>
      <c r="I45" s="32">
        <v>3</v>
      </c>
      <c r="J45" s="32">
        <v>3</v>
      </c>
      <c r="K45" s="32">
        <v>2</v>
      </c>
      <c r="L45" s="32">
        <v>3</v>
      </c>
      <c r="M45" s="32">
        <v>2</v>
      </c>
    </row>
    <row r="46" spans="1:13" x14ac:dyDescent="0.2">
      <c r="A46" s="9">
        <v>45</v>
      </c>
      <c r="B46" s="9" t="s">
        <v>84</v>
      </c>
      <c r="C46" s="9" t="s">
        <v>84</v>
      </c>
      <c r="F46" s="9" t="s">
        <v>84</v>
      </c>
      <c r="G46" s="9" t="s">
        <v>80</v>
      </c>
      <c r="H46" s="9">
        <v>5</v>
      </c>
      <c r="I46" s="9">
        <v>5</v>
      </c>
      <c r="J46" s="9">
        <v>5</v>
      </c>
      <c r="K46" s="9">
        <v>5</v>
      </c>
      <c r="L46" s="9">
        <v>3</v>
      </c>
      <c r="M46" s="9">
        <v>3</v>
      </c>
    </row>
    <row r="47" spans="1:13" x14ac:dyDescent="0.2">
      <c r="A47" s="9">
        <v>46</v>
      </c>
      <c r="B47" s="9" t="s">
        <v>84</v>
      </c>
      <c r="C47" s="9" t="s">
        <v>84</v>
      </c>
      <c r="F47" s="9" t="s">
        <v>84</v>
      </c>
      <c r="G47" s="9" t="s">
        <v>80</v>
      </c>
      <c r="H47" s="9">
        <v>3</v>
      </c>
      <c r="I47" s="9">
        <v>3</v>
      </c>
      <c r="J47" s="9">
        <v>2</v>
      </c>
      <c r="K47" s="9">
        <v>1</v>
      </c>
      <c r="L47" s="9">
        <v>3</v>
      </c>
      <c r="M47" s="9">
        <v>3</v>
      </c>
    </row>
    <row r="48" spans="1:13" x14ac:dyDescent="0.2">
      <c r="A48" s="9">
        <v>47</v>
      </c>
      <c r="B48" s="9" t="s">
        <v>84</v>
      </c>
      <c r="C48" s="9" t="s">
        <v>84</v>
      </c>
      <c r="F48" s="9" t="s">
        <v>84</v>
      </c>
      <c r="G48" s="9" t="s">
        <v>80</v>
      </c>
      <c r="H48" s="9">
        <v>3</v>
      </c>
      <c r="I48" s="9">
        <v>3</v>
      </c>
      <c r="J48" s="9">
        <v>2</v>
      </c>
      <c r="K48" s="9">
        <v>2</v>
      </c>
      <c r="L48" s="9">
        <v>3</v>
      </c>
      <c r="M48" s="9">
        <v>3</v>
      </c>
    </row>
    <row r="49" spans="1:13" x14ac:dyDescent="0.2">
      <c r="A49" s="9">
        <v>48</v>
      </c>
      <c r="B49" s="9" t="s">
        <v>84</v>
      </c>
      <c r="C49" s="9" t="s">
        <v>84</v>
      </c>
      <c r="F49" s="9" t="s">
        <v>84</v>
      </c>
      <c r="G49" s="9" t="s">
        <v>80</v>
      </c>
      <c r="H49" s="9">
        <v>4</v>
      </c>
      <c r="I49" s="9">
        <v>5</v>
      </c>
      <c r="J49" s="9">
        <v>4</v>
      </c>
      <c r="K49" s="9">
        <v>5</v>
      </c>
      <c r="L49" s="9">
        <v>4</v>
      </c>
      <c r="M49" s="9">
        <v>5</v>
      </c>
    </row>
    <row r="50" spans="1:13" x14ac:dyDescent="0.2">
      <c r="A50" s="9">
        <v>49</v>
      </c>
      <c r="B50" s="9" t="s">
        <v>84</v>
      </c>
      <c r="C50" s="9" t="s">
        <v>84</v>
      </c>
      <c r="F50" s="9" t="s">
        <v>84</v>
      </c>
      <c r="G50" s="9" t="s">
        <v>80</v>
      </c>
      <c r="H50" s="9">
        <v>4</v>
      </c>
      <c r="I50" s="9">
        <v>1</v>
      </c>
      <c r="J50" s="9">
        <v>3</v>
      </c>
      <c r="K50" s="9">
        <v>1</v>
      </c>
      <c r="L50" s="9">
        <v>5</v>
      </c>
      <c r="M50" s="9">
        <v>1</v>
      </c>
    </row>
    <row r="51" spans="1:13" x14ac:dyDescent="0.2">
      <c r="A51" s="9">
        <v>50</v>
      </c>
      <c r="B51" s="9" t="s">
        <v>84</v>
      </c>
      <c r="C51" s="9" t="s">
        <v>84</v>
      </c>
      <c r="F51" s="9" t="s">
        <v>84</v>
      </c>
      <c r="G51" s="9" t="s">
        <v>80</v>
      </c>
      <c r="H51" s="9">
        <v>3</v>
      </c>
      <c r="I51" s="9">
        <v>2</v>
      </c>
      <c r="J51" s="9">
        <v>1</v>
      </c>
      <c r="K51" s="9">
        <v>1</v>
      </c>
      <c r="L51" s="9">
        <v>5</v>
      </c>
      <c r="M51" s="9">
        <v>3</v>
      </c>
    </row>
    <row r="52" spans="1:13" x14ac:dyDescent="0.2">
      <c r="A52" s="9">
        <v>51</v>
      </c>
      <c r="B52" s="9" t="s">
        <v>84</v>
      </c>
      <c r="C52" s="9" t="s">
        <v>84</v>
      </c>
      <c r="F52" s="9" t="s">
        <v>84</v>
      </c>
      <c r="G52" s="9" t="s">
        <v>80</v>
      </c>
      <c r="H52" s="9">
        <v>2</v>
      </c>
      <c r="I52" s="9">
        <v>3</v>
      </c>
      <c r="J52" s="9">
        <v>1</v>
      </c>
      <c r="K52" s="9">
        <v>1</v>
      </c>
      <c r="L52" s="9">
        <v>2</v>
      </c>
      <c r="M52" s="9">
        <v>3</v>
      </c>
    </row>
    <row r="53" spans="1:13" x14ac:dyDescent="0.2">
      <c r="A53" s="9">
        <v>52</v>
      </c>
      <c r="B53" s="9" t="s">
        <v>84</v>
      </c>
      <c r="C53" s="9" t="s">
        <v>84</v>
      </c>
      <c r="F53" s="9" t="s">
        <v>84</v>
      </c>
      <c r="G53" s="9" t="s">
        <v>80</v>
      </c>
      <c r="H53" s="9">
        <v>4</v>
      </c>
      <c r="I53" s="9">
        <v>5</v>
      </c>
      <c r="J53" s="9">
        <v>4</v>
      </c>
      <c r="K53" s="9">
        <v>5</v>
      </c>
      <c r="L53" s="9">
        <v>2</v>
      </c>
      <c r="M53" s="9">
        <v>3</v>
      </c>
    </row>
    <row r="54" spans="1:13" x14ac:dyDescent="0.2">
      <c r="A54" s="9">
        <v>53</v>
      </c>
      <c r="B54" s="9" t="s">
        <v>82</v>
      </c>
      <c r="C54" s="9" t="s">
        <v>82</v>
      </c>
      <c r="F54" s="9" t="s">
        <v>84</v>
      </c>
      <c r="G54" s="9" t="s">
        <v>80</v>
      </c>
      <c r="H54" s="9">
        <v>3</v>
      </c>
      <c r="I54" s="9">
        <v>1</v>
      </c>
      <c r="J54" s="9">
        <v>3</v>
      </c>
      <c r="K54" s="9">
        <v>1</v>
      </c>
      <c r="L54" s="9">
        <v>3</v>
      </c>
      <c r="M54" s="9">
        <v>1</v>
      </c>
    </row>
    <row r="55" spans="1:13" x14ac:dyDescent="0.2">
      <c r="A55" s="9">
        <v>54</v>
      </c>
      <c r="B55" s="9" t="s">
        <v>84</v>
      </c>
      <c r="C55" s="9" t="s">
        <v>84</v>
      </c>
      <c r="F55" s="9" t="s">
        <v>84</v>
      </c>
      <c r="G55" s="9" t="s">
        <v>80</v>
      </c>
      <c r="H55" s="9">
        <v>2</v>
      </c>
      <c r="I55" s="9">
        <v>1</v>
      </c>
      <c r="J55" s="9">
        <v>2</v>
      </c>
      <c r="K55" s="9">
        <v>1</v>
      </c>
      <c r="L55" s="9">
        <v>2</v>
      </c>
      <c r="M55" s="9">
        <v>1</v>
      </c>
    </row>
    <row r="56" spans="1:13" x14ac:dyDescent="0.2">
      <c r="A56" s="9">
        <v>55</v>
      </c>
      <c r="B56" s="9" t="s">
        <v>84</v>
      </c>
      <c r="C56" s="9" t="s">
        <v>84</v>
      </c>
      <c r="F56" s="9" t="s">
        <v>84</v>
      </c>
      <c r="G56" s="9" t="s">
        <v>80</v>
      </c>
      <c r="H56" s="9">
        <v>3</v>
      </c>
      <c r="I56" s="9">
        <v>5</v>
      </c>
      <c r="J56" s="9">
        <v>3</v>
      </c>
      <c r="K56" s="9">
        <v>5</v>
      </c>
      <c r="L56" s="9">
        <v>3</v>
      </c>
      <c r="M56" s="9">
        <v>5</v>
      </c>
    </row>
    <row r="57" spans="1:13" x14ac:dyDescent="0.2">
      <c r="A57" s="9">
        <v>56</v>
      </c>
      <c r="B57" s="9" t="s">
        <v>84</v>
      </c>
      <c r="C57" s="9" t="s">
        <v>84</v>
      </c>
      <c r="F57" s="9" t="s">
        <v>84</v>
      </c>
      <c r="G57" s="9" t="s">
        <v>80</v>
      </c>
      <c r="H57" s="9">
        <v>5</v>
      </c>
      <c r="I57" s="9">
        <v>1</v>
      </c>
      <c r="J57" s="9">
        <v>4</v>
      </c>
      <c r="K57" s="9">
        <v>1</v>
      </c>
      <c r="L57" s="9">
        <v>5</v>
      </c>
      <c r="M57" s="9">
        <v>2</v>
      </c>
    </row>
    <row r="58" spans="1:13" x14ac:dyDescent="0.2">
      <c r="A58" s="9">
        <v>57</v>
      </c>
      <c r="B58" s="9" t="s">
        <v>84</v>
      </c>
      <c r="C58" s="9" t="s">
        <v>84</v>
      </c>
      <c r="F58" s="9" t="s">
        <v>84</v>
      </c>
      <c r="G58" s="9" t="s">
        <v>80</v>
      </c>
      <c r="H58" s="9">
        <v>3</v>
      </c>
      <c r="I58" s="9">
        <v>3</v>
      </c>
      <c r="J58" s="9">
        <v>1</v>
      </c>
      <c r="K58" s="9">
        <v>1</v>
      </c>
      <c r="L58" s="9">
        <v>3</v>
      </c>
      <c r="M58" s="9">
        <v>3</v>
      </c>
    </row>
    <row r="59" spans="1:13" x14ac:dyDescent="0.2">
      <c r="A59" s="9">
        <v>58</v>
      </c>
      <c r="B59" s="11" t="s">
        <v>84</v>
      </c>
      <c r="C59" s="11" t="s">
        <v>84</v>
      </c>
      <c r="F59" s="11" t="s">
        <v>84</v>
      </c>
      <c r="G59" s="11" t="s">
        <v>80</v>
      </c>
      <c r="H59" s="11">
        <v>4</v>
      </c>
      <c r="I59" s="11">
        <v>2</v>
      </c>
      <c r="J59" s="11">
        <v>3</v>
      </c>
      <c r="K59" s="11">
        <v>1</v>
      </c>
      <c r="L59" s="11">
        <v>4</v>
      </c>
      <c r="M59" s="11">
        <v>2</v>
      </c>
    </row>
    <row r="60" spans="1:13" x14ac:dyDescent="0.2">
      <c r="A60" s="9">
        <v>59</v>
      </c>
      <c r="B60" s="11" t="s">
        <v>82</v>
      </c>
      <c r="C60" s="11" t="s">
        <v>84</v>
      </c>
      <c r="F60" s="11" t="s">
        <v>84</v>
      </c>
      <c r="G60" s="11" t="s">
        <v>80</v>
      </c>
      <c r="H60" s="11">
        <v>3</v>
      </c>
      <c r="I60" s="11">
        <v>3</v>
      </c>
      <c r="J60" s="11">
        <v>3</v>
      </c>
      <c r="K60" s="11">
        <v>2</v>
      </c>
      <c r="L60" s="11">
        <v>5</v>
      </c>
      <c r="M60" s="11">
        <v>4</v>
      </c>
    </row>
    <row r="61" spans="1:13" x14ac:dyDescent="0.2">
      <c r="A61" s="9">
        <v>60</v>
      </c>
      <c r="B61" s="11" t="s">
        <v>84</v>
      </c>
      <c r="C61" s="11" t="s">
        <v>84</v>
      </c>
      <c r="F61" s="11" t="s">
        <v>84</v>
      </c>
      <c r="G61" s="11" t="s">
        <v>80</v>
      </c>
      <c r="H61" s="11">
        <v>3</v>
      </c>
      <c r="I61" s="11">
        <v>1</v>
      </c>
      <c r="J61" s="11">
        <v>2</v>
      </c>
      <c r="K61" s="11">
        <v>1</v>
      </c>
      <c r="L61" s="11">
        <v>2</v>
      </c>
      <c r="M61" s="11">
        <v>1</v>
      </c>
    </row>
    <row r="62" spans="1:13" ht="38.25" x14ac:dyDescent="0.2">
      <c r="A62" s="9">
        <v>61</v>
      </c>
      <c r="B62" s="11" t="s">
        <v>84</v>
      </c>
      <c r="C62" s="11" t="s">
        <v>84</v>
      </c>
      <c r="D62" s="11" t="s">
        <v>4184</v>
      </c>
      <c r="E62" s="21" t="s">
        <v>3491</v>
      </c>
      <c r="F62" s="11" t="s">
        <v>84</v>
      </c>
      <c r="G62" s="11" t="s">
        <v>80</v>
      </c>
      <c r="H62" s="11">
        <v>3</v>
      </c>
      <c r="I62" s="11">
        <v>5</v>
      </c>
      <c r="J62" s="11">
        <v>5</v>
      </c>
      <c r="K62" s="11">
        <v>5</v>
      </c>
      <c r="L62" s="11">
        <v>5</v>
      </c>
      <c r="M62" s="11">
        <v>5</v>
      </c>
    </row>
    <row r="63" spans="1:13" x14ac:dyDescent="0.2">
      <c r="A63" s="9">
        <v>62</v>
      </c>
      <c r="B63" s="11" t="s">
        <v>82</v>
      </c>
      <c r="C63" s="11" t="s">
        <v>84</v>
      </c>
      <c r="F63" s="11" t="s">
        <v>84</v>
      </c>
      <c r="G63" s="11" t="s">
        <v>80</v>
      </c>
      <c r="H63" s="11">
        <v>3</v>
      </c>
      <c r="I63" s="11">
        <v>1</v>
      </c>
      <c r="J63" s="11">
        <v>3</v>
      </c>
      <c r="K63" s="11">
        <v>1</v>
      </c>
      <c r="L63" s="11">
        <v>4</v>
      </c>
      <c r="M63" s="11">
        <v>1</v>
      </c>
    </row>
    <row r="64" spans="1:13" ht="76.5" x14ac:dyDescent="0.2">
      <c r="A64" s="9">
        <v>63</v>
      </c>
      <c r="B64" s="11" t="s">
        <v>84</v>
      </c>
      <c r="C64" s="11" t="s">
        <v>84</v>
      </c>
      <c r="D64" s="11" t="s">
        <v>4185</v>
      </c>
      <c r="E64" s="21" t="s">
        <v>3520</v>
      </c>
      <c r="F64" s="11" t="s">
        <v>84</v>
      </c>
      <c r="G64" s="11" t="s">
        <v>80</v>
      </c>
      <c r="H64" s="11">
        <v>3</v>
      </c>
      <c r="I64" s="11">
        <v>5</v>
      </c>
      <c r="J64" s="11">
        <v>3</v>
      </c>
      <c r="K64" s="11">
        <v>1</v>
      </c>
      <c r="L64" s="11">
        <v>3</v>
      </c>
      <c r="M64" s="11">
        <v>2</v>
      </c>
    </row>
    <row r="65" spans="1:13" x14ac:dyDescent="0.2">
      <c r="A65" s="9">
        <v>64</v>
      </c>
      <c r="B65" s="33" t="s">
        <v>80</v>
      </c>
      <c r="C65" s="33" t="s">
        <v>80</v>
      </c>
      <c r="D65" s="33"/>
      <c r="E65" s="45"/>
      <c r="F65" s="33" t="s">
        <v>80</v>
      </c>
      <c r="G65" s="33" t="s">
        <v>80</v>
      </c>
      <c r="H65" s="33"/>
      <c r="I65" s="33"/>
      <c r="J65" s="33"/>
      <c r="K65" s="33"/>
      <c r="L65" s="33"/>
      <c r="M65" s="33"/>
    </row>
    <row r="66" spans="1:13" ht="89.25" x14ac:dyDescent="0.2">
      <c r="A66" s="9">
        <v>65</v>
      </c>
      <c r="B66" s="11" t="s">
        <v>84</v>
      </c>
      <c r="C66" s="11" t="s">
        <v>84</v>
      </c>
      <c r="D66" s="11" t="s">
        <v>1343</v>
      </c>
      <c r="E66" s="21" t="s">
        <v>3481</v>
      </c>
      <c r="F66" s="11" t="s">
        <v>84</v>
      </c>
      <c r="G66" s="11" t="s">
        <v>80</v>
      </c>
      <c r="H66" s="11">
        <v>3</v>
      </c>
      <c r="I66" s="11">
        <v>3</v>
      </c>
      <c r="J66" s="11">
        <v>1</v>
      </c>
      <c r="K66" s="11">
        <v>1</v>
      </c>
      <c r="L66" s="11">
        <v>5</v>
      </c>
      <c r="M66" s="11">
        <v>5</v>
      </c>
    </row>
    <row r="67" spans="1:13" x14ac:dyDescent="0.2">
      <c r="A67" s="9">
        <v>66</v>
      </c>
      <c r="B67" s="11" t="s">
        <v>145</v>
      </c>
      <c r="C67" s="11" t="s">
        <v>84</v>
      </c>
      <c r="F67" s="11" t="s">
        <v>84</v>
      </c>
      <c r="G67" s="11" t="s">
        <v>80</v>
      </c>
      <c r="H67" s="11">
        <v>1</v>
      </c>
      <c r="I67" s="11">
        <v>1</v>
      </c>
      <c r="J67" s="11">
        <v>1</v>
      </c>
      <c r="K67" s="11">
        <v>1</v>
      </c>
      <c r="L67" s="11">
        <v>2</v>
      </c>
      <c r="M67" s="11">
        <v>2</v>
      </c>
    </row>
    <row r="68" spans="1:13" x14ac:dyDescent="0.2">
      <c r="A68" s="9">
        <v>67</v>
      </c>
      <c r="B68" s="11" t="s">
        <v>84</v>
      </c>
      <c r="C68" s="11" t="s">
        <v>84</v>
      </c>
      <c r="D68" s="11" t="s">
        <v>1361</v>
      </c>
      <c r="E68" s="21" t="s">
        <v>3452</v>
      </c>
      <c r="F68" s="11" t="s">
        <v>84</v>
      </c>
      <c r="G68" s="11" t="s">
        <v>80</v>
      </c>
      <c r="H68" s="11">
        <v>3</v>
      </c>
      <c r="I68" s="11">
        <v>3</v>
      </c>
      <c r="J68" s="11">
        <v>1</v>
      </c>
      <c r="K68" s="11">
        <v>1</v>
      </c>
      <c r="L68" s="11">
        <v>3</v>
      </c>
      <c r="M68" s="11">
        <v>3</v>
      </c>
    </row>
    <row r="69" spans="1:13" x14ac:dyDescent="0.2">
      <c r="A69" s="9">
        <v>68</v>
      </c>
      <c r="B69" s="11" t="s">
        <v>84</v>
      </c>
      <c r="C69" s="11" t="s">
        <v>84</v>
      </c>
      <c r="F69" s="11" t="s">
        <v>84</v>
      </c>
      <c r="G69" s="11" t="s">
        <v>80</v>
      </c>
      <c r="H69" s="11">
        <v>5</v>
      </c>
      <c r="I69" s="11">
        <v>5</v>
      </c>
      <c r="J69" s="11">
        <v>5</v>
      </c>
      <c r="K69" s="11">
        <v>5</v>
      </c>
      <c r="L69" s="11">
        <v>5</v>
      </c>
      <c r="M69" s="11">
        <v>5</v>
      </c>
    </row>
    <row r="70" spans="1:13" x14ac:dyDescent="0.2">
      <c r="A70" s="9">
        <v>69</v>
      </c>
      <c r="B70" s="11" t="s">
        <v>84</v>
      </c>
      <c r="C70" s="11" t="s">
        <v>84</v>
      </c>
      <c r="F70" s="11" t="s">
        <v>84</v>
      </c>
      <c r="G70" s="11" t="s">
        <v>80</v>
      </c>
      <c r="H70" s="11">
        <v>3</v>
      </c>
      <c r="I70" s="11">
        <v>3</v>
      </c>
      <c r="J70" s="11">
        <v>3</v>
      </c>
      <c r="K70" s="11">
        <v>3</v>
      </c>
      <c r="L70" s="11">
        <v>3</v>
      </c>
      <c r="M70" s="11">
        <v>3</v>
      </c>
    </row>
    <row r="71" spans="1:13" x14ac:dyDescent="0.2">
      <c r="A71" s="9">
        <v>70</v>
      </c>
      <c r="B71" s="11" t="s">
        <v>84</v>
      </c>
      <c r="C71" s="11" t="s">
        <v>84</v>
      </c>
      <c r="D71" s="11" t="s">
        <v>1378</v>
      </c>
      <c r="E71" s="21" t="s">
        <v>3452</v>
      </c>
      <c r="F71" s="11" t="s">
        <v>84</v>
      </c>
      <c r="G71" s="11" t="s">
        <v>80</v>
      </c>
      <c r="H71" s="11">
        <v>3</v>
      </c>
      <c r="I71" s="11">
        <v>5</v>
      </c>
      <c r="J71" s="11">
        <v>5</v>
      </c>
      <c r="K71" s="11">
        <v>5</v>
      </c>
      <c r="L71" s="11">
        <v>2</v>
      </c>
      <c r="M71" s="11">
        <v>5</v>
      </c>
    </row>
    <row r="72" spans="1:13" ht="51" x14ac:dyDescent="0.2">
      <c r="A72" s="9">
        <v>71</v>
      </c>
      <c r="B72" s="11" t="s">
        <v>82</v>
      </c>
      <c r="C72" s="11" t="s">
        <v>84</v>
      </c>
      <c r="D72" s="11" t="s">
        <v>1383</v>
      </c>
      <c r="E72" s="21" t="s">
        <v>3458</v>
      </c>
      <c r="F72" s="11" t="s">
        <v>84</v>
      </c>
      <c r="G72" s="11" t="s">
        <v>80</v>
      </c>
      <c r="H72" s="11">
        <v>5</v>
      </c>
      <c r="I72" s="11">
        <v>3</v>
      </c>
      <c r="J72" s="11">
        <v>1</v>
      </c>
      <c r="K72" s="11">
        <v>1</v>
      </c>
      <c r="L72" s="11">
        <v>5</v>
      </c>
      <c r="M72" s="11">
        <v>3</v>
      </c>
    </row>
    <row r="73" spans="1:13" ht="38.25" x14ac:dyDescent="0.2">
      <c r="A73" s="9">
        <v>72</v>
      </c>
      <c r="B73" s="11" t="s">
        <v>82</v>
      </c>
      <c r="C73" s="11" t="s">
        <v>84</v>
      </c>
      <c r="D73" s="11" t="s">
        <v>1393</v>
      </c>
      <c r="E73" s="21" t="s">
        <v>3459</v>
      </c>
      <c r="F73" s="11" t="s">
        <v>84</v>
      </c>
      <c r="G73" s="11" t="s">
        <v>80</v>
      </c>
      <c r="H73" s="11">
        <v>3</v>
      </c>
      <c r="I73" s="11">
        <v>4</v>
      </c>
      <c r="J73" s="11">
        <v>3</v>
      </c>
      <c r="K73" s="11">
        <v>4</v>
      </c>
      <c r="L73" s="11">
        <v>3</v>
      </c>
      <c r="M73" s="11">
        <v>4</v>
      </c>
    </row>
    <row r="74" spans="1:13" ht="127.5" x14ac:dyDescent="0.2">
      <c r="A74" s="9">
        <v>73</v>
      </c>
      <c r="B74" s="33" t="s">
        <v>84</v>
      </c>
      <c r="C74" s="33" t="s">
        <v>84</v>
      </c>
      <c r="D74" s="33" t="s">
        <v>1399</v>
      </c>
      <c r="E74" s="45" t="s">
        <v>3523</v>
      </c>
      <c r="F74" s="33" t="s">
        <v>84</v>
      </c>
      <c r="G74" s="33" t="s">
        <v>80</v>
      </c>
      <c r="H74" s="33">
        <v>1</v>
      </c>
      <c r="I74" s="33">
        <v>3</v>
      </c>
      <c r="J74" s="33">
        <v>4</v>
      </c>
      <c r="K74" s="33">
        <v>5</v>
      </c>
      <c r="L74" s="33">
        <v>1</v>
      </c>
      <c r="M74" s="33">
        <v>3</v>
      </c>
    </row>
    <row r="75" spans="1:13" x14ac:dyDescent="0.2">
      <c r="A75" s="9">
        <v>74</v>
      </c>
      <c r="B75" s="11" t="s">
        <v>82</v>
      </c>
      <c r="C75" s="11" t="s">
        <v>84</v>
      </c>
      <c r="D75" s="11" t="s">
        <v>1401</v>
      </c>
      <c r="E75" s="21" t="s">
        <v>1053</v>
      </c>
      <c r="F75" s="11" t="s">
        <v>84</v>
      </c>
      <c r="G75" s="11" t="s">
        <v>80</v>
      </c>
      <c r="H75" s="11">
        <v>5</v>
      </c>
      <c r="I75" s="11">
        <v>5</v>
      </c>
      <c r="J75" s="11">
        <v>1</v>
      </c>
      <c r="K75" s="11">
        <v>1</v>
      </c>
      <c r="L75" s="11">
        <v>5</v>
      </c>
      <c r="M75" s="11">
        <v>5</v>
      </c>
    </row>
    <row r="76" spans="1:13" ht="25.5" x14ac:dyDescent="0.2">
      <c r="A76" s="9">
        <v>75</v>
      </c>
      <c r="B76" s="33" t="s">
        <v>82</v>
      </c>
      <c r="C76" s="33" t="s">
        <v>84</v>
      </c>
      <c r="D76" s="33" t="s">
        <v>1411</v>
      </c>
      <c r="E76" s="45" t="s">
        <v>651</v>
      </c>
      <c r="F76" s="33" t="s">
        <v>84</v>
      </c>
      <c r="G76" s="33" t="s">
        <v>80</v>
      </c>
      <c r="H76" s="33">
        <v>2</v>
      </c>
      <c r="I76" s="33">
        <v>4</v>
      </c>
      <c r="J76" s="33">
        <v>2</v>
      </c>
      <c r="K76" s="33">
        <v>3</v>
      </c>
      <c r="L76" s="33">
        <v>2</v>
      </c>
      <c r="M76" s="33">
        <v>4</v>
      </c>
    </row>
    <row r="77" spans="1:13" x14ac:dyDescent="0.2">
      <c r="A77" s="9">
        <v>76</v>
      </c>
      <c r="B77" s="11" t="s">
        <v>145</v>
      </c>
      <c r="C77" s="11" t="s">
        <v>82</v>
      </c>
      <c r="F77" s="11" t="s">
        <v>84</v>
      </c>
      <c r="G77" s="11" t="s">
        <v>80</v>
      </c>
      <c r="H77" s="11">
        <v>5</v>
      </c>
      <c r="I77" s="11">
        <v>3</v>
      </c>
      <c r="J77" s="11">
        <v>1</v>
      </c>
      <c r="K77" s="11">
        <v>1</v>
      </c>
      <c r="L77" s="11">
        <v>5</v>
      </c>
      <c r="M77" s="11">
        <v>3</v>
      </c>
    </row>
    <row r="78" spans="1:13" ht="38.25" x14ac:dyDescent="0.2">
      <c r="A78" s="9">
        <v>77</v>
      </c>
      <c r="B78" s="11" t="s">
        <v>84</v>
      </c>
      <c r="C78" s="11" t="s">
        <v>84</v>
      </c>
      <c r="D78" s="11" t="s">
        <v>1424</v>
      </c>
      <c r="E78" s="21" t="s">
        <v>3475</v>
      </c>
      <c r="F78" s="11" t="s">
        <v>84</v>
      </c>
      <c r="G78" s="11" t="s">
        <v>80</v>
      </c>
      <c r="H78" s="11">
        <v>3</v>
      </c>
      <c r="I78" s="11">
        <v>4</v>
      </c>
      <c r="J78" s="11">
        <v>3</v>
      </c>
      <c r="K78" s="11">
        <v>5</v>
      </c>
      <c r="L78" s="11">
        <v>3</v>
      </c>
      <c r="M78" s="11">
        <v>4</v>
      </c>
    </row>
    <row r="79" spans="1:13" x14ac:dyDescent="0.2">
      <c r="A79" s="9">
        <v>78</v>
      </c>
      <c r="B79" s="11" t="s">
        <v>84</v>
      </c>
      <c r="C79" s="11" t="s">
        <v>84</v>
      </c>
      <c r="F79" s="11" t="s">
        <v>84</v>
      </c>
      <c r="G79" s="11" t="s">
        <v>80</v>
      </c>
      <c r="H79" s="11">
        <v>3</v>
      </c>
      <c r="I79" s="11">
        <v>3</v>
      </c>
      <c r="J79" s="11">
        <v>1</v>
      </c>
      <c r="K79" s="11">
        <v>1</v>
      </c>
      <c r="L79" s="11">
        <v>5</v>
      </c>
      <c r="M79" s="11">
        <v>1</v>
      </c>
    </row>
    <row r="80" spans="1:13" ht="38.25" x14ac:dyDescent="0.2">
      <c r="A80" s="9">
        <v>79</v>
      </c>
      <c r="B80" s="11" t="s">
        <v>84</v>
      </c>
      <c r="C80" s="11" t="s">
        <v>84</v>
      </c>
      <c r="D80" s="11" t="s">
        <v>1432</v>
      </c>
      <c r="E80" s="21" t="s">
        <v>1043</v>
      </c>
      <c r="F80" s="11" t="s">
        <v>84</v>
      </c>
      <c r="G80" s="11" t="s">
        <v>80</v>
      </c>
      <c r="H80" s="11">
        <v>3</v>
      </c>
      <c r="I80" s="11">
        <v>5</v>
      </c>
      <c r="J80" s="11">
        <v>2</v>
      </c>
      <c r="K80" s="11">
        <v>1</v>
      </c>
      <c r="L80" s="11">
        <v>1</v>
      </c>
      <c r="M80" s="11">
        <v>1</v>
      </c>
    </row>
    <row r="81" spans="1:13" ht="89.25" x14ac:dyDescent="0.2">
      <c r="A81" s="9">
        <v>80</v>
      </c>
      <c r="B81" s="11" t="s">
        <v>84</v>
      </c>
      <c r="C81" s="11" t="s">
        <v>84</v>
      </c>
      <c r="D81" s="11" t="s">
        <v>4186</v>
      </c>
      <c r="E81" s="21" t="s">
        <v>3455</v>
      </c>
      <c r="F81" s="11" t="s">
        <v>84</v>
      </c>
      <c r="G81" s="11" t="s">
        <v>80</v>
      </c>
      <c r="H81" s="11">
        <v>3</v>
      </c>
      <c r="I81" s="11">
        <v>2</v>
      </c>
      <c r="J81" s="11">
        <v>2</v>
      </c>
      <c r="K81" s="11">
        <v>1</v>
      </c>
      <c r="L81" s="11">
        <v>4</v>
      </c>
      <c r="M81" s="11">
        <v>3</v>
      </c>
    </row>
    <row r="82" spans="1:13" x14ac:dyDescent="0.2">
      <c r="A82" s="9">
        <v>81</v>
      </c>
      <c r="B82" s="11" t="s">
        <v>82</v>
      </c>
      <c r="C82" s="11" t="s">
        <v>82</v>
      </c>
      <c r="F82" s="11" t="s">
        <v>82</v>
      </c>
      <c r="G82" s="11" t="s">
        <v>82</v>
      </c>
      <c r="H82" s="11">
        <v>3</v>
      </c>
      <c r="I82" s="11">
        <v>3</v>
      </c>
      <c r="J82" s="11">
        <v>3</v>
      </c>
      <c r="K82" s="11">
        <v>3</v>
      </c>
      <c r="L82" s="11">
        <v>3</v>
      </c>
      <c r="M82" s="11">
        <v>3</v>
      </c>
    </row>
    <row r="83" spans="1:13" ht="25.5" x14ac:dyDescent="0.2">
      <c r="A83" s="9">
        <v>82</v>
      </c>
      <c r="B83" s="11" t="s">
        <v>82</v>
      </c>
      <c r="C83" s="11" t="s">
        <v>84</v>
      </c>
      <c r="D83" s="11" t="s">
        <v>1463</v>
      </c>
      <c r="E83" s="21" t="s">
        <v>3453</v>
      </c>
      <c r="F83" s="11" t="s">
        <v>84</v>
      </c>
      <c r="G83" s="11" t="s">
        <v>80</v>
      </c>
      <c r="H83" s="11">
        <v>5</v>
      </c>
      <c r="I83" s="11">
        <v>1</v>
      </c>
      <c r="J83" s="11">
        <v>2</v>
      </c>
      <c r="K83" s="11">
        <v>1</v>
      </c>
      <c r="L83" s="11">
        <v>5</v>
      </c>
      <c r="M83" s="11">
        <v>2</v>
      </c>
    </row>
    <row r="84" spans="1:13" x14ac:dyDescent="0.2">
      <c r="A84" s="9">
        <v>83</v>
      </c>
      <c r="B84" s="11" t="s">
        <v>84</v>
      </c>
      <c r="C84" s="11" t="s">
        <v>84</v>
      </c>
      <c r="D84" s="11" t="s">
        <v>1473</v>
      </c>
      <c r="E84" s="21" t="s">
        <v>3452</v>
      </c>
      <c r="F84" s="11" t="s">
        <v>84</v>
      </c>
      <c r="G84" s="11" t="s">
        <v>80</v>
      </c>
      <c r="H84" s="11">
        <v>3</v>
      </c>
      <c r="I84" s="11">
        <v>1</v>
      </c>
      <c r="J84" s="11">
        <v>3</v>
      </c>
      <c r="K84" s="11">
        <v>1</v>
      </c>
      <c r="L84" s="11">
        <v>3</v>
      </c>
      <c r="M84" s="11">
        <v>1</v>
      </c>
    </row>
    <row r="85" spans="1:13" ht="51" x14ac:dyDescent="0.2">
      <c r="A85" s="9">
        <v>84</v>
      </c>
      <c r="B85" s="11" t="s">
        <v>84</v>
      </c>
      <c r="C85" s="11" t="s">
        <v>84</v>
      </c>
      <c r="D85" s="11" t="s">
        <v>4187</v>
      </c>
      <c r="E85" s="21" t="s">
        <v>3473</v>
      </c>
      <c r="F85" s="11" t="s">
        <v>84</v>
      </c>
      <c r="G85" s="11" t="s">
        <v>80</v>
      </c>
      <c r="H85" s="11">
        <v>4</v>
      </c>
      <c r="I85" s="11">
        <v>5</v>
      </c>
      <c r="J85" s="11">
        <v>5</v>
      </c>
      <c r="K85" s="11">
        <v>5</v>
      </c>
      <c r="L85" s="11">
        <v>5</v>
      </c>
      <c r="M85" s="11">
        <v>5</v>
      </c>
    </row>
    <row r="86" spans="1:13" ht="25.5" x14ac:dyDescent="0.2">
      <c r="A86" s="9">
        <v>85</v>
      </c>
      <c r="B86" s="11" t="s">
        <v>84</v>
      </c>
      <c r="C86" s="11" t="s">
        <v>84</v>
      </c>
      <c r="D86" s="11" t="s">
        <v>4188</v>
      </c>
      <c r="E86" s="21" t="s">
        <v>1043</v>
      </c>
      <c r="F86" s="11" t="s">
        <v>84</v>
      </c>
      <c r="G86" s="11" t="s">
        <v>80</v>
      </c>
      <c r="H86" s="11">
        <v>1</v>
      </c>
      <c r="I86" s="11">
        <v>1</v>
      </c>
      <c r="J86" s="11">
        <v>3</v>
      </c>
      <c r="K86" s="11">
        <v>1</v>
      </c>
      <c r="L86" s="11">
        <v>2</v>
      </c>
      <c r="M86" s="11">
        <v>1</v>
      </c>
    </row>
    <row r="87" spans="1:13" x14ac:dyDescent="0.2">
      <c r="A87" s="9">
        <v>86</v>
      </c>
      <c r="B87" s="33" t="s">
        <v>80</v>
      </c>
      <c r="C87" s="33" t="s">
        <v>80</v>
      </c>
      <c r="D87" s="33"/>
      <c r="E87" s="45"/>
      <c r="F87" s="33" t="s">
        <v>80</v>
      </c>
      <c r="G87" s="33" t="s">
        <v>80</v>
      </c>
      <c r="H87" s="33"/>
      <c r="I87" s="33"/>
      <c r="J87" s="33"/>
      <c r="K87" s="33"/>
      <c r="L87" s="33"/>
      <c r="M87" s="33"/>
    </row>
    <row r="88" spans="1:13" ht="76.5" x14ac:dyDescent="0.2">
      <c r="A88" s="9">
        <v>87</v>
      </c>
      <c r="B88" s="11" t="s">
        <v>84</v>
      </c>
      <c r="C88" s="11" t="s">
        <v>84</v>
      </c>
      <c r="D88" s="11" t="s">
        <v>1521</v>
      </c>
      <c r="E88" s="21" t="s">
        <v>4025</v>
      </c>
      <c r="F88" s="11" t="s">
        <v>84</v>
      </c>
      <c r="G88" s="11" t="s">
        <v>80</v>
      </c>
      <c r="H88" s="11">
        <v>3</v>
      </c>
      <c r="I88" s="11">
        <v>3</v>
      </c>
      <c r="J88" s="11">
        <v>3</v>
      </c>
      <c r="K88" s="11">
        <v>3</v>
      </c>
      <c r="L88" s="11">
        <v>3</v>
      </c>
      <c r="M88" s="11">
        <v>3</v>
      </c>
    </row>
    <row r="89" spans="1:13" ht="25.5" x14ac:dyDescent="0.2">
      <c r="A89" s="9">
        <v>88</v>
      </c>
      <c r="B89" s="11" t="s">
        <v>84</v>
      </c>
      <c r="C89" s="11" t="s">
        <v>84</v>
      </c>
      <c r="D89" s="11" t="s">
        <v>1531</v>
      </c>
      <c r="E89" s="21" t="s">
        <v>3474</v>
      </c>
      <c r="F89" s="11" t="s">
        <v>84</v>
      </c>
      <c r="G89" s="11" t="s">
        <v>80</v>
      </c>
      <c r="H89" s="11">
        <v>5</v>
      </c>
      <c r="I89" s="11">
        <v>5</v>
      </c>
      <c r="J89" s="11">
        <v>4</v>
      </c>
      <c r="K89" s="11">
        <v>5</v>
      </c>
      <c r="L89" s="11">
        <v>3</v>
      </c>
      <c r="M89" s="11">
        <v>1</v>
      </c>
    </row>
    <row r="90" spans="1:13" ht="89.25" x14ac:dyDescent="0.2">
      <c r="A90" s="9">
        <v>89</v>
      </c>
      <c r="B90" s="11" t="s">
        <v>84</v>
      </c>
      <c r="C90" s="11" t="s">
        <v>84</v>
      </c>
      <c r="D90" s="11" t="s">
        <v>3457</v>
      </c>
      <c r="E90" s="21" t="s">
        <v>3456</v>
      </c>
      <c r="F90" s="11" t="s">
        <v>84</v>
      </c>
      <c r="G90" s="11" t="s">
        <v>80</v>
      </c>
      <c r="H90" s="11">
        <v>3</v>
      </c>
      <c r="I90" s="11">
        <v>2</v>
      </c>
      <c r="J90" s="11">
        <v>2</v>
      </c>
      <c r="K90" s="11">
        <v>1</v>
      </c>
      <c r="L90" s="11">
        <v>4</v>
      </c>
      <c r="M90" s="11">
        <v>1</v>
      </c>
    </row>
    <row r="91" spans="1:13" ht="38.25" x14ac:dyDescent="0.2">
      <c r="A91" s="9">
        <v>90</v>
      </c>
      <c r="B91" s="11" t="s">
        <v>82</v>
      </c>
      <c r="C91" s="11" t="s">
        <v>84</v>
      </c>
      <c r="D91" s="11" t="s">
        <v>1544</v>
      </c>
      <c r="E91" s="21" t="s">
        <v>3521</v>
      </c>
      <c r="F91" s="11" t="s">
        <v>84</v>
      </c>
      <c r="G91" s="11" t="s">
        <v>80</v>
      </c>
      <c r="H91" s="11">
        <v>3</v>
      </c>
      <c r="I91" s="11">
        <v>3</v>
      </c>
      <c r="J91" s="11">
        <v>1</v>
      </c>
      <c r="K91" s="11">
        <v>1</v>
      </c>
      <c r="L91" s="11">
        <v>3</v>
      </c>
      <c r="M91" s="11">
        <v>2</v>
      </c>
    </row>
    <row r="92" spans="1:13" x14ac:dyDescent="0.2">
      <c r="A92" s="9">
        <v>91</v>
      </c>
      <c r="B92" s="33" t="s">
        <v>145</v>
      </c>
      <c r="C92" s="33" t="s">
        <v>82</v>
      </c>
      <c r="D92" s="33"/>
      <c r="E92" s="45"/>
      <c r="F92" s="33" t="s">
        <v>84</v>
      </c>
      <c r="G92" s="33" t="s">
        <v>80</v>
      </c>
      <c r="H92" s="33">
        <v>1</v>
      </c>
      <c r="I92" s="33">
        <v>1</v>
      </c>
      <c r="J92" s="33">
        <v>1</v>
      </c>
      <c r="K92" s="33">
        <v>1</v>
      </c>
      <c r="L92" s="33">
        <v>1</v>
      </c>
      <c r="M92" s="33">
        <v>1</v>
      </c>
    </row>
    <row r="93" spans="1:13" x14ac:dyDescent="0.2">
      <c r="A93" s="9">
        <v>92</v>
      </c>
      <c r="B93" s="11" t="s">
        <v>84</v>
      </c>
      <c r="C93" s="11" t="s">
        <v>84</v>
      </c>
      <c r="F93" s="11" t="s">
        <v>84</v>
      </c>
      <c r="G93" s="11" t="s">
        <v>80</v>
      </c>
      <c r="H93" s="11">
        <v>3</v>
      </c>
      <c r="I93" s="11">
        <v>4</v>
      </c>
      <c r="J93" s="11">
        <v>4</v>
      </c>
      <c r="K93" s="11">
        <v>4</v>
      </c>
      <c r="L93" s="11">
        <v>4</v>
      </c>
      <c r="M93" s="11">
        <v>4</v>
      </c>
    </row>
    <row r="94" spans="1:13" x14ac:dyDescent="0.2">
      <c r="A94" s="9">
        <v>93</v>
      </c>
      <c r="B94" s="11" t="s">
        <v>145</v>
      </c>
      <c r="C94" s="11" t="s">
        <v>82</v>
      </c>
      <c r="F94" s="11" t="s">
        <v>84</v>
      </c>
      <c r="G94" s="11" t="s">
        <v>80</v>
      </c>
      <c r="H94" s="11">
        <v>3</v>
      </c>
      <c r="I94" s="11">
        <v>3</v>
      </c>
      <c r="J94" s="11">
        <v>3</v>
      </c>
      <c r="K94" s="11">
        <v>3</v>
      </c>
      <c r="L94" s="11">
        <v>3</v>
      </c>
      <c r="M94" s="11">
        <v>3</v>
      </c>
    </row>
    <row r="95" spans="1:13" ht="63.75" x14ac:dyDescent="0.2">
      <c r="A95" s="9">
        <v>94</v>
      </c>
      <c r="B95" s="11" t="s">
        <v>84</v>
      </c>
      <c r="C95" s="11" t="s">
        <v>84</v>
      </c>
      <c r="D95" s="11" t="s">
        <v>1558</v>
      </c>
      <c r="E95" s="21" t="s">
        <v>3524</v>
      </c>
      <c r="F95" s="11" t="s">
        <v>84</v>
      </c>
      <c r="G95" s="11" t="s">
        <v>80</v>
      </c>
      <c r="H95" s="11">
        <v>2</v>
      </c>
      <c r="I95" s="11">
        <v>1</v>
      </c>
      <c r="J95" s="11">
        <v>2</v>
      </c>
      <c r="K95" s="11">
        <v>1</v>
      </c>
      <c r="L95" s="11">
        <v>2</v>
      </c>
      <c r="M95" s="11">
        <v>1</v>
      </c>
    </row>
    <row r="96" spans="1:13" ht="204" x14ac:dyDescent="0.2">
      <c r="A96" s="9">
        <v>95</v>
      </c>
      <c r="B96" s="11" t="s">
        <v>82</v>
      </c>
      <c r="C96" s="11" t="s">
        <v>84</v>
      </c>
      <c r="D96" s="11" t="s">
        <v>1572</v>
      </c>
      <c r="E96" s="21" t="s">
        <v>3527</v>
      </c>
      <c r="F96" s="11" t="s">
        <v>84</v>
      </c>
      <c r="G96" s="11" t="s">
        <v>80</v>
      </c>
      <c r="H96" s="11">
        <v>3</v>
      </c>
      <c r="I96" s="11">
        <v>2</v>
      </c>
      <c r="J96" s="11">
        <v>2</v>
      </c>
      <c r="K96" s="11">
        <v>1</v>
      </c>
      <c r="L96" s="11">
        <v>3</v>
      </c>
      <c r="M96" s="11">
        <v>2</v>
      </c>
    </row>
    <row r="97" spans="1:13" x14ac:dyDescent="0.2">
      <c r="A97" s="9">
        <v>96</v>
      </c>
      <c r="B97" s="11" t="s">
        <v>84</v>
      </c>
      <c r="C97" s="11" t="s">
        <v>84</v>
      </c>
      <c r="D97" s="11" t="s">
        <v>1587</v>
      </c>
      <c r="E97" s="21" t="s">
        <v>3452</v>
      </c>
      <c r="F97" s="11" t="s">
        <v>84</v>
      </c>
      <c r="G97" s="11" t="s">
        <v>80</v>
      </c>
      <c r="H97" s="11">
        <v>3</v>
      </c>
      <c r="I97" s="11">
        <v>3</v>
      </c>
      <c r="J97" s="11">
        <v>1</v>
      </c>
      <c r="K97" s="11">
        <v>1</v>
      </c>
      <c r="L97" s="11">
        <v>4</v>
      </c>
      <c r="M97" s="11">
        <v>2</v>
      </c>
    </row>
    <row r="98" spans="1:13" ht="25.5" x14ac:dyDescent="0.2">
      <c r="A98" s="9">
        <v>97</v>
      </c>
      <c r="B98" s="11" t="s">
        <v>84</v>
      </c>
      <c r="C98" s="11" t="s">
        <v>84</v>
      </c>
      <c r="D98" s="11" t="s">
        <v>1599</v>
      </c>
      <c r="E98" s="21" t="s">
        <v>3452</v>
      </c>
      <c r="F98" s="11" t="s">
        <v>84</v>
      </c>
      <c r="G98" s="11" t="s">
        <v>80</v>
      </c>
      <c r="H98" s="11">
        <v>2</v>
      </c>
      <c r="I98" s="11">
        <v>5</v>
      </c>
      <c r="J98" s="11">
        <v>4</v>
      </c>
      <c r="K98" s="11">
        <v>5</v>
      </c>
      <c r="L98" s="11">
        <v>1</v>
      </c>
      <c r="M98" s="11">
        <v>1</v>
      </c>
    </row>
    <row r="99" spans="1:13" x14ac:dyDescent="0.2">
      <c r="A99" s="9">
        <v>98</v>
      </c>
      <c r="B99" s="11" t="s">
        <v>84</v>
      </c>
      <c r="C99" s="11" t="s">
        <v>84</v>
      </c>
      <c r="D99" s="64" t="s">
        <v>1612</v>
      </c>
      <c r="E99" s="21" t="s">
        <v>1073</v>
      </c>
      <c r="F99" s="11" t="s">
        <v>84</v>
      </c>
      <c r="G99" s="11" t="s">
        <v>80</v>
      </c>
      <c r="H99" s="11">
        <v>4</v>
      </c>
      <c r="I99" s="11">
        <v>5</v>
      </c>
      <c r="J99" s="11">
        <v>4</v>
      </c>
      <c r="K99" s="11">
        <v>4</v>
      </c>
      <c r="L99" s="11">
        <v>3</v>
      </c>
      <c r="M99" s="11">
        <v>3</v>
      </c>
    </row>
    <row r="100" spans="1:13" ht="51" x14ac:dyDescent="0.2">
      <c r="A100" s="9">
        <v>99</v>
      </c>
      <c r="B100" s="11" t="s">
        <v>84</v>
      </c>
      <c r="C100" s="11" t="s">
        <v>84</v>
      </c>
      <c r="D100" s="11" t="s">
        <v>4189</v>
      </c>
      <c r="E100" s="21" t="s">
        <v>3528</v>
      </c>
      <c r="F100" s="11" t="s">
        <v>84</v>
      </c>
      <c r="G100" s="11" t="s">
        <v>80</v>
      </c>
      <c r="H100" s="11">
        <v>3</v>
      </c>
      <c r="I100" s="11">
        <v>2</v>
      </c>
      <c r="J100" s="11">
        <v>2</v>
      </c>
      <c r="K100" s="11">
        <v>2</v>
      </c>
      <c r="L100" s="11">
        <v>3</v>
      </c>
      <c r="M100" s="11">
        <v>3</v>
      </c>
    </row>
    <row r="101" spans="1:13" x14ac:dyDescent="0.2">
      <c r="A101" s="9">
        <v>100</v>
      </c>
      <c r="B101" s="11" t="s">
        <v>84</v>
      </c>
      <c r="C101" s="11" t="s">
        <v>84</v>
      </c>
      <c r="F101" s="11" t="s">
        <v>84</v>
      </c>
      <c r="G101" s="11" t="s">
        <v>80</v>
      </c>
      <c r="H101" s="11">
        <v>4</v>
      </c>
      <c r="I101" s="11">
        <v>4</v>
      </c>
      <c r="J101" s="11">
        <v>1</v>
      </c>
      <c r="K101" s="11">
        <v>1</v>
      </c>
      <c r="L101" s="11">
        <v>5</v>
      </c>
      <c r="M101" s="11">
        <v>5</v>
      </c>
    </row>
    <row r="102" spans="1:13" x14ac:dyDescent="0.2">
      <c r="A102" s="9">
        <v>101</v>
      </c>
      <c r="B102" s="11" t="s">
        <v>145</v>
      </c>
      <c r="C102" s="11" t="s">
        <v>82</v>
      </c>
      <c r="F102" s="11" t="s">
        <v>84</v>
      </c>
      <c r="G102" s="11" t="s">
        <v>80</v>
      </c>
      <c r="H102" s="11">
        <v>3</v>
      </c>
      <c r="I102" s="11">
        <v>3</v>
      </c>
      <c r="J102" s="11">
        <v>3</v>
      </c>
      <c r="K102" s="11">
        <v>3</v>
      </c>
      <c r="L102" s="11">
        <v>3</v>
      </c>
      <c r="M102" s="11">
        <v>3</v>
      </c>
    </row>
    <row r="103" spans="1:13" x14ac:dyDescent="0.2">
      <c r="A103" s="9">
        <v>102</v>
      </c>
      <c r="B103" s="11" t="s">
        <v>84</v>
      </c>
      <c r="C103" s="11" t="s">
        <v>84</v>
      </c>
      <c r="F103" s="11" t="s">
        <v>84</v>
      </c>
      <c r="G103" s="11" t="s">
        <v>80</v>
      </c>
      <c r="H103" s="11">
        <v>3</v>
      </c>
      <c r="I103" s="11">
        <v>3</v>
      </c>
      <c r="J103" s="11">
        <v>2</v>
      </c>
      <c r="K103" s="11">
        <v>2</v>
      </c>
      <c r="L103" s="11">
        <v>3</v>
      </c>
      <c r="M103" s="11">
        <v>3</v>
      </c>
    </row>
    <row r="104" spans="1:13" x14ac:dyDescent="0.2">
      <c r="A104" s="9">
        <v>103</v>
      </c>
      <c r="B104" s="11" t="s">
        <v>84</v>
      </c>
      <c r="C104" s="11" t="s">
        <v>82</v>
      </c>
      <c r="F104" s="11" t="s">
        <v>84</v>
      </c>
      <c r="G104" s="11" t="s">
        <v>80</v>
      </c>
      <c r="H104" s="11">
        <v>1</v>
      </c>
      <c r="I104" s="11">
        <v>1</v>
      </c>
      <c r="J104" s="11">
        <v>2</v>
      </c>
      <c r="K104" s="11">
        <v>1</v>
      </c>
      <c r="L104" s="11">
        <v>1</v>
      </c>
      <c r="M104" s="11">
        <v>1</v>
      </c>
    </row>
    <row r="105" spans="1:13" x14ac:dyDescent="0.2">
      <c r="A105" s="9">
        <v>104</v>
      </c>
      <c r="B105" s="11" t="s">
        <v>84</v>
      </c>
      <c r="C105" s="11" t="s">
        <v>82</v>
      </c>
      <c r="F105" s="11" t="s">
        <v>84</v>
      </c>
      <c r="G105" s="11" t="s">
        <v>80</v>
      </c>
      <c r="H105" s="11">
        <v>3</v>
      </c>
      <c r="I105" s="11">
        <v>3</v>
      </c>
      <c r="J105" s="11">
        <v>3</v>
      </c>
      <c r="K105" s="11">
        <v>3</v>
      </c>
      <c r="L105" s="11">
        <v>3</v>
      </c>
      <c r="M105" s="11">
        <v>3</v>
      </c>
    </row>
    <row r="106" spans="1:13" ht="114.75" x14ac:dyDescent="0.2">
      <c r="A106" s="9">
        <v>105</v>
      </c>
      <c r="B106" s="11" t="s">
        <v>84</v>
      </c>
      <c r="C106" s="11" t="s">
        <v>84</v>
      </c>
      <c r="D106" s="11" t="s">
        <v>1667</v>
      </c>
      <c r="E106" s="21" t="s">
        <v>3460</v>
      </c>
      <c r="F106" s="11" t="s">
        <v>84</v>
      </c>
      <c r="G106" s="11" t="s">
        <v>80</v>
      </c>
      <c r="H106" s="11">
        <v>2</v>
      </c>
      <c r="I106" s="11">
        <v>2</v>
      </c>
      <c r="J106" s="11">
        <v>1</v>
      </c>
      <c r="K106" s="11">
        <v>1</v>
      </c>
      <c r="L106" s="11">
        <v>1</v>
      </c>
      <c r="M106" s="11">
        <v>1</v>
      </c>
    </row>
    <row r="107" spans="1:13" x14ac:dyDescent="0.2">
      <c r="A107" s="9">
        <v>106</v>
      </c>
      <c r="B107" s="11" t="s">
        <v>84</v>
      </c>
      <c r="C107" s="11" t="s">
        <v>84</v>
      </c>
      <c r="F107" s="11" t="s">
        <v>84</v>
      </c>
      <c r="G107" s="11" t="s">
        <v>80</v>
      </c>
      <c r="H107" s="11">
        <v>5</v>
      </c>
      <c r="I107" s="11">
        <v>5</v>
      </c>
      <c r="J107" s="11">
        <v>1</v>
      </c>
      <c r="K107" s="11">
        <v>1</v>
      </c>
      <c r="L107" s="11">
        <v>5</v>
      </c>
      <c r="M107" s="11">
        <v>5</v>
      </c>
    </row>
    <row r="108" spans="1:13" x14ac:dyDescent="0.2">
      <c r="A108" s="9">
        <v>107</v>
      </c>
      <c r="B108" s="11" t="s">
        <v>84</v>
      </c>
      <c r="C108" s="11" t="s">
        <v>82</v>
      </c>
      <c r="F108" s="11" t="s">
        <v>84</v>
      </c>
      <c r="G108" s="11" t="s">
        <v>80</v>
      </c>
      <c r="H108" s="11">
        <v>1</v>
      </c>
      <c r="I108" s="11">
        <v>3</v>
      </c>
      <c r="J108" s="11">
        <v>2</v>
      </c>
      <c r="K108" s="11">
        <v>3</v>
      </c>
      <c r="L108" s="11">
        <v>5</v>
      </c>
      <c r="M108" s="11">
        <v>3</v>
      </c>
    </row>
    <row r="109" spans="1:13" ht="25.5" x14ac:dyDescent="0.2">
      <c r="A109" s="9">
        <v>108</v>
      </c>
      <c r="B109" s="11" t="s">
        <v>84</v>
      </c>
      <c r="C109" s="11" t="s">
        <v>84</v>
      </c>
      <c r="D109" s="11" t="s">
        <v>1683</v>
      </c>
      <c r="E109" s="21" t="s">
        <v>3461</v>
      </c>
      <c r="F109" s="11" t="s">
        <v>84</v>
      </c>
      <c r="G109" s="11" t="s">
        <v>80</v>
      </c>
      <c r="H109" s="11">
        <v>1</v>
      </c>
      <c r="I109" s="11">
        <v>1</v>
      </c>
      <c r="J109" s="11">
        <v>1</v>
      </c>
      <c r="K109" s="11">
        <v>1</v>
      </c>
      <c r="L109" s="11">
        <v>1</v>
      </c>
      <c r="M109" s="11">
        <v>1</v>
      </c>
    </row>
    <row r="110" spans="1:13" ht="76.5" x14ac:dyDescent="0.2">
      <c r="A110" s="9">
        <v>109</v>
      </c>
      <c r="B110" s="11" t="s">
        <v>82</v>
      </c>
      <c r="C110" s="11" t="s">
        <v>84</v>
      </c>
      <c r="D110" s="11" t="s">
        <v>1695</v>
      </c>
      <c r="E110" s="21" t="s">
        <v>3462</v>
      </c>
      <c r="F110" s="11" t="s">
        <v>84</v>
      </c>
      <c r="G110" s="11" t="s">
        <v>80</v>
      </c>
      <c r="H110" s="11">
        <v>3</v>
      </c>
      <c r="I110" s="11">
        <v>1</v>
      </c>
      <c r="J110" s="11">
        <v>2</v>
      </c>
      <c r="K110" s="11">
        <v>1</v>
      </c>
      <c r="L110" s="11">
        <v>4</v>
      </c>
      <c r="M110" s="11">
        <v>3</v>
      </c>
    </row>
    <row r="111" spans="1:13" x14ac:dyDescent="0.2">
      <c r="A111" s="9">
        <v>110</v>
      </c>
      <c r="B111" s="11" t="s">
        <v>84</v>
      </c>
      <c r="C111" s="11" t="s">
        <v>84</v>
      </c>
      <c r="F111" s="11" t="s">
        <v>84</v>
      </c>
      <c r="G111" s="11" t="s">
        <v>80</v>
      </c>
      <c r="H111" s="11">
        <v>1</v>
      </c>
      <c r="I111" s="11">
        <v>1</v>
      </c>
      <c r="J111" s="11">
        <v>1</v>
      </c>
      <c r="K111" s="11">
        <v>1</v>
      </c>
      <c r="L111" s="11">
        <v>2</v>
      </c>
      <c r="M111" s="11">
        <v>2</v>
      </c>
    </row>
    <row r="112" spans="1:13" ht="25.5" x14ac:dyDescent="0.2">
      <c r="A112" s="9">
        <v>111</v>
      </c>
      <c r="B112" s="11" t="s">
        <v>84</v>
      </c>
      <c r="C112" s="11" t="s">
        <v>84</v>
      </c>
      <c r="D112" s="11" t="s">
        <v>4190</v>
      </c>
      <c r="E112" s="21" t="s">
        <v>651</v>
      </c>
      <c r="F112" s="11" t="s">
        <v>84</v>
      </c>
      <c r="G112" s="11" t="s">
        <v>80</v>
      </c>
      <c r="H112" s="11">
        <v>4</v>
      </c>
      <c r="I112" s="11">
        <v>3</v>
      </c>
      <c r="J112" s="11">
        <v>1</v>
      </c>
      <c r="K112" s="11">
        <v>1</v>
      </c>
      <c r="L112" s="11">
        <v>4</v>
      </c>
      <c r="M112" s="11">
        <v>3</v>
      </c>
    </row>
    <row r="113" spans="1:13" x14ac:dyDescent="0.2">
      <c r="A113" s="9">
        <v>112</v>
      </c>
      <c r="B113" s="11" t="s">
        <v>84</v>
      </c>
      <c r="C113" s="11" t="s">
        <v>84</v>
      </c>
      <c r="F113" s="11" t="s">
        <v>84</v>
      </c>
      <c r="G113" s="11" t="s">
        <v>80</v>
      </c>
      <c r="H113" s="11">
        <v>3</v>
      </c>
      <c r="I113" s="11">
        <v>2</v>
      </c>
      <c r="J113" s="11">
        <v>2</v>
      </c>
      <c r="K113" s="11">
        <v>1</v>
      </c>
      <c r="L113" s="11">
        <v>3</v>
      </c>
      <c r="M113" s="11">
        <v>1</v>
      </c>
    </row>
    <row r="114" spans="1:13" ht="51" x14ac:dyDescent="0.2">
      <c r="A114" s="9">
        <v>113</v>
      </c>
      <c r="B114" s="33" t="s">
        <v>84</v>
      </c>
      <c r="C114" s="33" t="s">
        <v>84</v>
      </c>
      <c r="D114" s="33" t="s">
        <v>1723</v>
      </c>
      <c r="E114" s="45" t="s">
        <v>3475</v>
      </c>
      <c r="F114" s="33" t="s">
        <v>84</v>
      </c>
      <c r="G114" s="33" t="s">
        <v>80</v>
      </c>
      <c r="H114" s="33">
        <v>3</v>
      </c>
      <c r="I114" s="33">
        <v>2</v>
      </c>
      <c r="J114" s="33">
        <v>2</v>
      </c>
      <c r="K114" s="33">
        <v>1</v>
      </c>
      <c r="L114" s="33">
        <v>3</v>
      </c>
      <c r="M114" s="33">
        <v>2</v>
      </c>
    </row>
    <row r="115" spans="1:13" x14ac:dyDescent="0.2">
      <c r="A115" s="9">
        <v>114</v>
      </c>
      <c r="B115" s="11" t="s">
        <v>84</v>
      </c>
      <c r="C115" s="11" t="s">
        <v>84</v>
      </c>
      <c r="F115" s="11" t="s">
        <v>84</v>
      </c>
      <c r="G115" s="11" t="s">
        <v>80</v>
      </c>
      <c r="H115" s="11">
        <v>5</v>
      </c>
      <c r="I115" s="11">
        <v>3</v>
      </c>
      <c r="J115" s="11">
        <v>2</v>
      </c>
      <c r="K115" s="11">
        <v>1</v>
      </c>
      <c r="L115" s="11">
        <v>5</v>
      </c>
      <c r="M115" s="11">
        <v>4</v>
      </c>
    </row>
    <row r="116" spans="1:13" x14ac:dyDescent="0.2">
      <c r="A116" s="9">
        <v>115</v>
      </c>
      <c r="B116" s="11" t="s">
        <v>82</v>
      </c>
      <c r="C116" s="11" t="s">
        <v>84</v>
      </c>
      <c r="D116" s="11" t="s">
        <v>1731</v>
      </c>
      <c r="E116" s="21" t="s">
        <v>366</v>
      </c>
      <c r="F116" s="11" t="s">
        <v>84</v>
      </c>
      <c r="G116" s="11" t="s">
        <v>80</v>
      </c>
      <c r="H116" s="11">
        <v>4</v>
      </c>
      <c r="I116" s="11">
        <v>2</v>
      </c>
      <c r="J116" s="11">
        <v>1</v>
      </c>
      <c r="K116" s="11">
        <v>1</v>
      </c>
      <c r="L116" s="11">
        <v>4</v>
      </c>
      <c r="M116" s="11">
        <v>2</v>
      </c>
    </row>
    <row r="117" spans="1:13" ht="63.75" x14ac:dyDescent="0.2">
      <c r="A117" s="9">
        <v>116</v>
      </c>
      <c r="B117" s="11" t="s">
        <v>84</v>
      </c>
      <c r="C117" s="11" t="s">
        <v>84</v>
      </c>
      <c r="D117" s="11" t="s">
        <v>1743</v>
      </c>
      <c r="E117" s="21" t="s">
        <v>3495</v>
      </c>
      <c r="F117" s="11" t="s">
        <v>84</v>
      </c>
      <c r="G117" s="11" t="s">
        <v>80</v>
      </c>
      <c r="H117" s="11">
        <v>3</v>
      </c>
      <c r="I117" s="11">
        <v>2</v>
      </c>
      <c r="J117" s="11">
        <v>1</v>
      </c>
      <c r="K117" s="11">
        <v>1</v>
      </c>
      <c r="L117" s="11">
        <v>3</v>
      </c>
      <c r="M117" s="11">
        <v>1</v>
      </c>
    </row>
    <row r="118" spans="1:13" ht="51" x14ac:dyDescent="0.2">
      <c r="A118" s="9">
        <v>117</v>
      </c>
      <c r="B118" s="11" t="s">
        <v>84</v>
      </c>
      <c r="C118" s="11" t="s">
        <v>84</v>
      </c>
      <c r="D118" s="11" t="s">
        <v>1751</v>
      </c>
      <c r="E118" s="21" t="s">
        <v>3463</v>
      </c>
      <c r="F118" s="11" t="s">
        <v>84</v>
      </c>
      <c r="G118" s="11" t="s">
        <v>80</v>
      </c>
      <c r="H118" s="11">
        <v>4</v>
      </c>
      <c r="I118" s="11">
        <v>4</v>
      </c>
      <c r="J118" s="11">
        <v>2</v>
      </c>
      <c r="K118" s="11">
        <v>2</v>
      </c>
      <c r="L118" s="11">
        <v>3</v>
      </c>
      <c r="M118" s="11">
        <v>3</v>
      </c>
    </row>
    <row r="119" spans="1:13" x14ac:dyDescent="0.2">
      <c r="A119" s="9">
        <v>118</v>
      </c>
      <c r="B119" s="11" t="s">
        <v>84</v>
      </c>
      <c r="C119" s="11" t="s">
        <v>84</v>
      </c>
      <c r="D119" s="11" t="s">
        <v>1762</v>
      </c>
      <c r="E119" s="21" t="s">
        <v>3452</v>
      </c>
      <c r="F119" s="11" t="s">
        <v>84</v>
      </c>
      <c r="G119" s="11" t="s">
        <v>80</v>
      </c>
      <c r="H119" s="11">
        <v>5</v>
      </c>
      <c r="I119" s="11">
        <v>5</v>
      </c>
      <c r="J119" s="11">
        <v>5</v>
      </c>
      <c r="K119" s="11">
        <v>5</v>
      </c>
      <c r="L119" s="11">
        <v>5</v>
      </c>
      <c r="M119" s="11">
        <v>5</v>
      </c>
    </row>
    <row r="120" spans="1:13" x14ac:dyDescent="0.2">
      <c r="A120" s="9">
        <v>119</v>
      </c>
      <c r="B120" s="11" t="s">
        <v>82</v>
      </c>
      <c r="C120" s="11" t="s">
        <v>84</v>
      </c>
      <c r="D120" s="11" t="s">
        <v>1770</v>
      </c>
      <c r="E120" s="21" t="s">
        <v>3486</v>
      </c>
      <c r="F120" s="11" t="s">
        <v>84</v>
      </c>
      <c r="G120" s="11" t="s">
        <v>80</v>
      </c>
      <c r="H120" s="11">
        <v>4</v>
      </c>
      <c r="I120" s="11">
        <v>1</v>
      </c>
      <c r="J120" s="11">
        <v>3</v>
      </c>
      <c r="K120" s="11">
        <v>1</v>
      </c>
      <c r="L120" s="11">
        <v>5</v>
      </c>
      <c r="M120" s="11">
        <v>1</v>
      </c>
    </row>
    <row r="121" spans="1:13" ht="38.25" x14ac:dyDescent="0.2">
      <c r="A121" s="9">
        <v>120</v>
      </c>
      <c r="B121" s="11" t="s">
        <v>84</v>
      </c>
      <c r="C121" s="11" t="s">
        <v>84</v>
      </c>
      <c r="D121" s="11" t="s">
        <v>1780</v>
      </c>
      <c r="E121" s="21" t="s">
        <v>3529</v>
      </c>
      <c r="F121" s="11" t="s">
        <v>84</v>
      </c>
      <c r="G121" s="11" t="s">
        <v>80</v>
      </c>
      <c r="H121" s="11">
        <v>3</v>
      </c>
      <c r="I121" s="11">
        <v>3</v>
      </c>
      <c r="J121" s="11">
        <v>1</v>
      </c>
      <c r="K121" s="11">
        <v>1</v>
      </c>
      <c r="L121" s="11">
        <v>3</v>
      </c>
      <c r="M121" s="11">
        <v>3</v>
      </c>
    </row>
    <row r="122" spans="1:13" ht="25.5" x14ac:dyDescent="0.2">
      <c r="A122" s="9">
        <v>121</v>
      </c>
      <c r="B122" s="11" t="s">
        <v>84</v>
      </c>
      <c r="C122" s="11" t="s">
        <v>84</v>
      </c>
      <c r="D122" s="11" t="s">
        <v>1789</v>
      </c>
      <c r="E122" s="21" t="s">
        <v>3452</v>
      </c>
      <c r="F122" s="11" t="s">
        <v>84</v>
      </c>
      <c r="G122" s="11" t="s">
        <v>80</v>
      </c>
      <c r="H122" s="11">
        <v>1</v>
      </c>
      <c r="I122" s="11">
        <v>1</v>
      </c>
      <c r="J122" s="11">
        <v>2</v>
      </c>
      <c r="K122" s="11">
        <v>1</v>
      </c>
      <c r="L122" s="11">
        <v>4</v>
      </c>
      <c r="M122" s="11">
        <v>3</v>
      </c>
    </row>
    <row r="123" spans="1:13" x14ac:dyDescent="0.2">
      <c r="A123" s="9">
        <v>122</v>
      </c>
      <c r="B123" s="11" t="s">
        <v>84</v>
      </c>
      <c r="C123" s="11" t="s">
        <v>82</v>
      </c>
      <c r="F123" s="11" t="s">
        <v>84</v>
      </c>
      <c r="G123" s="11" t="s">
        <v>80</v>
      </c>
      <c r="H123" s="11">
        <v>5</v>
      </c>
      <c r="I123" s="11">
        <v>4</v>
      </c>
      <c r="J123" s="11">
        <v>2</v>
      </c>
      <c r="K123" s="11">
        <v>1</v>
      </c>
      <c r="L123" s="11">
        <v>4</v>
      </c>
      <c r="M123" s="11">
        <v>4</v>
      </c>
    </row>
    <row r="124" spans="1:13" ht="25.5" x14ac:dyDescent="0.2">
      <c r="A124" s="9">
        <v>123</v>
      </c>
      <c r="B124" s="11" t="s">
        <v>82</v>
      </c>
      <c r="C124" s="11" t="s">
        <v>84</v>
      </c>
      <c r="D124" s="11" t="s">
        <v>4191</v>
      </c>
      <c r="E124" s="21" t="s">
        <v>3464</v>
      </c>
      <c r="F124" s="11" t="s">
        <v>84</v>
      </c>
      <c r="G124" s="11" t="s">
        <v>80</v>
      </c>
      <c r="H124" s="11">
        <v>3</v>
      </c>
      <c r="I124" s="11">
        <v>2</v>
      </c>
      <c r="J124" s="11">
        <v>2</v>
      </c>
      <c r="K124" s="11">
        <v>1</v>
      </c>
      <c r="L124" s="11">
        <v>4</v>
      </c>
      <c r="M124" s="11">
        <v>3</v>
      </c>
    </row>
    <row r="125" spans="1:13" x14ac:dyDescent="0.2">
      <c r="A125" s="9">
        <v>124</v>
      </c>
      <c r="B125" s="11" t="s">
        <v>82</v>
      </c>
      <c r="C125" s="11" t="s">
        <v>84</v>
      </c>
      <c r="F125" s="11" t="s">
        <v>84</v>
      </c>
      <c r="G125" s="11" t="s">
        <v>80</v>
      </c>
      <c r="H125" s="11">
        <v>3</v>
      </c>
      <c r="I125" s="11">
        <v>1</v>
      </c>
      <c r="J125" s="11">
        <v>4</v>
      </c>
      <c r="K125" s="11">
        <v>1</v>
      </c>
      <c r="L125" s="11">
        <v>4</v>
      </c>
      <c r="M125" s="11">
        <v>1</v>
      </c>
    </row>
    <row r="126" spans="1:13" x14ac:dyDescent="0.2">
      <c r="A126" s="9">
        <v>125</v>
      </c>
      <c r="B126" s="11" t="s">
        <v>84</v>
      </c>
      <c r="C126" s="11" t="s">
        <v>84</v>
      </c>
      <c r="F126" s="11" t="s">
        <v>84</v>
      </c>
      <c r="G126" s="11" t="s">
        <v>80</v>
      </c>
      <c r="H126" s="11">
        <v>1</v>
      </c>
      <c r="I126" s="11">
        <v>1</v>
      </c>
      <c r="J126" s="11">
        <v>1</v>
      </c>
      <c r="K126" s="11">
        <v>1</v>
      </c>
      <c r="L126" s="11">
        <v>3</v>
      </c>
      <c r="M126" s="11">
        <v>3</v>
      </c>
    </row>
    <row r="127" spans="1:13" ht="153" x14ac:dyDescent="0.2">
      <c r="A127" s="9">
        <v>126</v>
      </c>
      <c r="B127" s="11" t="s">
        <v>84</v>
      </c>
      <c r="C127" s="11" t="s">
        <v>84</v>
      </c>
      <c r="D127" s="11" t="s">
        <v>3465</v>
      </c>
      <c r="E127" s="21" t="s">
        <v>3530</v>
      </c>
      <c r="F127" s="11" t="s">
        <v>84</v>
      </c>
      <c r="G127" s="11" t="s">
        <v>80</v>
      </c>
      <c r="H127" s="11">
        <v>3</v>
      </c>
      <c r="I127" s="11">
        <v>3</v>
      </c>
      <c r="J127" s="11">
        <v>1</v>
      </c>
      <c r="K127" s="11">
        <v>1</v>
      </c>
      <c r="L127" s="11">
        <v>1</v>
      </c>
      <c r="M127" s="11">
        <v>1</v>
      </c>
    </row>
    <row r="128" spans="1:13" ht="51" x14ac:dyDescent="0.2">
      <c r="A128" s="9">
        <v>127</v>
      </c>
      <c r="B128" s="11" t="s">
        <v>84</v>
      </c>
      <c r="C128" s="11" t="s">
        <v>84</v>
      </c>
      <c r="D128" s="11" t="s">
        <v>1846</v>
      </c>
      <c r="E128" s="21" t="s">
        <v>3466</v>
      </c>
      <c r="F128" s="11" t="s">
        <v>84</v>
      </c>
      <c r="G128" s="11" t="s">
        <v>80</v>
      </c>
      <c r="H128" s="11">
        <v>4</v>
      </c>
      <c r="I128" s="11">
        <v>2</v>
      </c>
      <c r="J128" s="11">
        <v>1</v>
      </c>
      <c r="K128" s="11">
        <v>1</v>
      </c>
      <c r="L128" s="11">
        <v>5</v>
      </c>
      <c r="M128" s="11">
        <v>2</v>
      </c>
    </row>
    <row r="129" spans="1:13" ht="51" x14ac:dyDescent="0.2">
      <c r="A129" s="9">
        <v>128</v>
      </c>
      <c r="B129" s="11" t="s">
        <v>84</v>
      </c>
      <c r="C129" s="11" t="s">
        <v>84</v>
      </c>
      <c r="D129" s="11" t="s">
        <v>1854</v>
      </c>
      <c r="E129" s="21" t="s">
        <v>3474</v>
      </c>
      <c r="F129" s="11" t="s">
        <v>84</v>
      </c>
      <c r="G129" s="11" t="s">
        <v>80</v>
      </c>
      <c r="H129" s="11">
        <v>3</v>
      </c>
      <c r="I129" s="11">
        <v>3</v>
      </c>
      <c r="J129" s="11">
        <v>5</v>
      </c>
      <c r="K129" s="11">
        <v>5</v>
      </c>
      <c r="L129" s="11">
        <v>3</v>
      </c>
      <c r="M129" s="11">
        <v>3</v>
      </c>
    </row>
    <row r="130" spans="1:13" ht="38.25" x14ac:dyDescent="0.2">
      <c r="A130" s="9">
        <v>129</v>
      </c>
      <c r="B130" s="11" t="s">
        <v>84</v>
      </c>
      <c r="C130" s="11" t="s">
        <v>84</v>
      </c>
      <c r="D130" s="11" t="s">
        <v>1869</v>
      </c>
      <c r="E130" s="21" t="s">
        <v>3467</v>
      </c>
      <c r="F130" s="11" t="s">
        <v>84</v>
      </c>
      <c r="G130" s="11" t="s">
        <v>80</v>
      </c>
      <c r="H130" s="11">
        <v>5</v>
      </c>
      <c r="I130" s="11">
        <v>5</v>
      </c>
      <c r="J130" s="11">
        <v>4</v>
      </c>
      <c r="K130" s="11">
        <v>4</v>
      </c>
      <c r="L130" s="11">
        <v>5</v>
      </c>
      <c r="M130" s="11">
        <v>5</v>
      </c>
    </row>
    <row r="131" spans="1:13" ht="114.75" x14ac:dyDescent="0.2">
      <c r="A131" s="9">
        <v>130</v>
      </c>
      <c r="B131" s="11" t="s">
        <v>84</v>
      </c>
      <c r="C131" s="11" t="s">
        <v>84</v>
      </c>
      <c r="D131" s="11" t="s">
        <v>1880</v>
      </c>
      <c r="E131" s="21" t="s">
        <v>3468</v>
      </c>
      <c r="F131" s="11" t="s">
        <v>84</v>
      </c>
      <c r="G131" s="11" t="s">
        <v>80</v>
      </c>
      <c r="H131" s="11">
        <v>3</v>
      </c>
      <c r="I131" s="11">
        <v>3</v>
      </c>
      <c r="J131" s="11">
        <v>2</v>
      </c>
      <c r="K131" s="11">
        <v>1</v>
      </c>
      <c r="L131" s="11">
        <v>3</v>
      </c>
      <c r="M131" s="11">
        <v>2</v>
      </c>
    </row>
    <row r="132" spans="1:13" x14ac:dyDescent="0.2">
      <c r="A132" s="9">
        <v>131</v>
      </c>
      <c r="B132" s="11" t="s">
        <v>145</v>
      </c>
      <c r="C132" s="11" t="s">
        <v>82</v>
      </c>
      <c r="F132" s="11" t="s">
        <v>84</v>
      </c>
      <c r="G132" s="11" t="s">
        <v>80</v>
      </c>
      <c r="H132" s="11">
        <v>3</v>
      </c>
      <c r="I132" s="11">
        <v>3</v>
      </c>
      <c r="J132" s="11">
        <v>3</v>
      </c>
      <c r="K132" s="11">
        <v>3</v>
      </c>
      <c r="L132" s="11">
        <v>3</v>
      </c>
      <c r="M132" s="11">
        <v>3</v>
      </c>
    </row>
    <row r="133" spans="1:13" x14ac:dyDescent="0.2">
      <c r="A133" s="9">
        <v>132</v>
      </c>
      <c r="B133" s="11" t="s">
        <v>82</v>
      </c>
      <c r="C133" s="11" t="s">
        <v>84</v>
      </c>
      <c r="F133" s="11" t="s">
        <v>84</v>
      </c>
      <c r="G133" s="11" t="s">
        <v>80</v>
      </c>
      <c r="H133" s="11">
        <v>3</v>
      </c>
      <c r="I133" s="11">
        <v>3</v>
      </c>
      <c r="J133" s="11">
        <v>5</v>
      </c>
      <c r="K133" s="11">
        <v>5</v>
      </c>
      <c r="L133" s="11">
        <v>3</v>
      </c>
      <c r="M133" s="11">
        <v>3</v>
      </c>
    </row>
    <row r="134" spans="1:13" x14ac:dyDescent="0.2">
      <c r="A134" s="9">
        <v>133</v>
      </c>
      <c r="B134" s="11" t="s">
        <v>84</v>
      </c>
      <c r="C134" s="11" t="s">
        <v>84</v>
      </c>
      <c r="F134" s="11" t="s">
        <v>84</v>
      </c>
      <c r="G134" s="11" t="s">
        <v>80</v>
      </c>
      <c r="H134" s="11">
        <v>3</v>
      </c>
      <c r="I134" s="11">
        <v>3</v>
      </c>
      <c r="J134" s="11">
        <v>5</v>
      </c>
      <c r="K134" s="11">
        <v>5</v>
      </c>
      <c r="L134" s="11">
        <v>3</v>
      </c>
      <c r="M134" s="11">
        <v>5</v>
      </c>
    </row>
    <row r="135" spans="1:13" ht="38.25" x14ac:dyDescent="0.2">
      <c r="A135" s="9">
        <v>134</v>
      </c>
      <c r="B135" s="11" t="s">
        <v>84</v>
      </c>
      <c r="C135" s="11" t="s">
        <v>84</v>
      </c>
      <c r="D135" s="11" t="s">
        <v>4192</v>
      </c>
      <c r="E135" s="21" t="s">
        <v>3454</v>
      </c>
      <c r="F135" s="11" t="s">
        <v>84</v>
      </c>
      <c r="G135" s="11" t="s">
        <v>80</v>
      </c>
      <c r="H135" s="11">
        <v>2</v>
      </c>
      <c r="I135" s="11">
        <v>1</v>
      </c>
      <c r="J135" s="11">
        <v>1</v>
      </c>
      <c r="K135" s="11">
        <v>1</v>
      </c>
      <c r="L135" s="11">
        <v>2</v>
      </c>
      <c r="M135" s="11">
        <v>1</v>
      </c>
    </row>
    <row r="136" spans="1:13" ht="25.5" x14ac:dyDescent="0.2">
      <c r="A136" s="9">
        <v>135</v>
      </c>
      <c r="B136" s="11" t="s">
        <v>84</v>
      </c>
      <c r="C136" s="11" t="s">
        <v>84</v>
      </c>
      <c r="D136" s="11" t="s">
        <v>2128</v>
      </c>
      <c r="E136" s="21" t="s">
        <v>1073</v>
      </c>
      <c r="F136" s="11" t="s">
        <v>84</v>
      </c>
      <c r="G136" s="11" t="s">
        <v>80</v>
      </c>
      <c r="H136" s="11">
        <v>2</v>
      </c>
      <c r="I136" s="11">
        <v>5</v>
      </c>
      <c r="J136" s="11">
        <v>2</v>
      </c>
      <c r="K136" s="11">
        <v>4</v>
      </c>
      <c r="L136" s="11">
        <v>2</v>
      </c>
      <c r="M136" s="11">
        <v>5</v>
      </c>
    </row>
    <row r="137" spans="1:13" x14ac:dyDescent="0.2">
      <c r="A137" s="9">
        <v>136</v>
      </c>
      <c r="B137" s="11" t="s">
        <v>84</v>
      </c>
      <c r="C137" s="11" t="s">
        <v>82</v>
      </c>
      <c r="F137" s="11" t="s">
        <v>84</v>
      </c>
      <c r="G137" s="11" t="s">
        <v>80</v>
      </c>
      <c r="H137" s="11">
        <v>4</v>
      </c>
      <c r="I137" s="11">
        <v>2</v>
      </c>
      <c r="J137" s="11">
        <v>1</v>
      </c>
      <c r="K137" s="11">
        <v>1</v>
      </c>
      <c r="L137" s="11">
        <v>4</v>
      </c>
      <c r="M137" s="11">
        <v>2</v>
      </c>
    </row>
    <row r="138" spans="1:13" x14ac:dyDescent="0.2">
      <c r="A138" s="9">
        <v>137</v>
      </c>
      <c r="B138" s="11" t="s">
        <v>84</v>
      </c>
      <c r="C138" s="11" t="s">
        <v>84</v>
      </c>
      <c r="F138" s="11" t="s">
        <v>84</v>
      </c>
      <c r="G138" s="11" t="s">
        <v>80</v>
      </c>
      <c r="H138" s="11">
        <v>4</v>
      </c>
      <c r="I138" s="11">
        <v>5</v>
      </c>
      <c r="J138" s="11">
        <v>4</v>
      </c>
      <c r="K138" s="11">
        <v>5</v>
      </c>
      <c r="L138" s="11">
        <v>3</v>
      </c>
      <c r="M138" s="11">
        <v>5</v>
      </c>
    </row>
    <row r="139" spans="1:13" x14ac:dyDescent="0.2">
      <c r="A139" s="9">
        <v>138</v>
      </c>
      <c r="B139" s="33" t="s">
        <v>145</v>
      </c>
      <c r="C139" s="33" t="s">
        <v>84</v>
      </c>
      <c r="D139" s="33"/>
      <c r="E139" s="45"/>
      <c r="F139" s="33" t="s">
        <v>82</v>
      </c>
      <c r="G139" s="33" t="s">
        <v>80</v>
      </c>
      <c r="H139" s="33">
        <v>3</v>
      </c>
      <c r="I139" s="33">
        <v>1</v>
      </c>
      <c r="J139" s="33">
        <v>1</v>
      </c>
      <c r="K139" s="33">
        <v>2</v>
      </c>
      <c r="L139" s="33">
        <v>2</v>
      </c>
      <c r="M139" s="33">
        <v>2</v>
      </c>
    </row>
    <row r="140" spans="1:13" ht="153" x14ac:dyDescent="0.2">
      <c r="A140" s="9">
        <v>139</v>
      </c>
      <c r="B140" s="11" t="s">
        <v>82</v>
      </c>
      <c r="C140" s="11" t="s">
        <v>84</v>
      </c>
      <c r="D140" s="11" t="s">
        <v>2129</v>
      </c>
      <c r="E140" s="21" t="s">
        <v>3469</v>
      </c>
      <c r="F140" s="11" t="s">
        <v>84</v>
      </c>
      <c r="G140" s="11" t="s">
        <v>80</v>
      </c>
      <c r="H140" s="11">
        <v>3</v>
      </c>
      <c r="I140" s="11">
        <v>5</v>
      </c>
      <c r="J140" s="11">
        <v>3</v>
      </c>
      <c r="K140" s="11">
        <v>5</v>
      </c>
      <c r="L140" s="11">
        <v>1</v>
      </c>
      <c r="M140" s="11">
        <v>2</v>
      </c>
    </row>
    <row r="141" spans="1:13" x14ac:dyDescent="0.2">
      <c r="A141" s="9">
        <v>140</v>
      </c>
      <c r="B141" s="11" t="s">
        <v>84</v>
      </c>
      <c r="C141" s="11" t="s">
        <v>84</v>
      </c>
      <c r="D141" s="11" t="s">
        <v>2130</v>
      </c>
      <c r="E141" s="21" t="s">
        <v>1043</v>
      </c>
      <c r="F141" s="11" t="s">
        <v>84</v>
      </c>
      <c r="G141" s="11" t="s">
        <v>80</v>
      </c>
      <c r="H141" s="11">
        <v>3</v>
      </c>
      <c r="I141" s="11">
        <v>3</v>
      </c>
      <c r="J141" s="11">
        <v>2</v>
      </c>
      <c r="K141" s="11">
        <v>2</v>
      </c>
      <c r="L141" s="11">
        <v>3</v>
      </c>
      <c r="M141" s="11">
        <v>3</v>
      </c>
    </row>
    <row r="142" spans="1:13" ht="25.5" x14ac:dyDescent="0.2">
      <c r="A142" s="9">
        <v>141</v>
      </c>
      <c r="B142" s="11" t="s">
        <v>84</v>
      </c>
      <c r="C142" s="11" t="s">
        <v>84</v>
      </c>
      <c r="D142" s="11" t="s">
        <v>2131</v>
      </c>
      <c r="E142" s="21" t="s">
        <v>3452</v>
      </c>
      <c r="F142" s="11" t="s">
        <v>84</v>
      </c>
      <c r="G142" s="11" t="s">
        <v>80</v>
      </c>
      <c r="H142" s="11">
        <v>3</v>
      </c>
      <c r="I142" s="11">
        <v>2</v>
      </c>
      <c r="J142" s="11">
        <v>2</v>
      </c>
      <c r="K142" s="11">
        <v>1</v>
      </c>
      <c r="L142" s="11">
        <v>3</v>
      </c>
      <c r="M142" s="11">
        <v>2</v>
      </c>
    </row>
    <row r="143" spans="1:13" x14ac:dyDescent="0.2">
      <c r="A143" s="9">
        <v>142</v>
      </c>
      <c r="B143" s="33" t="s">
        <v>84</v>
      </c>
      <c r="C143" s="33" t="s">
        <v>84</v>
      </c>
      <c r="D143" s="33" t="s">
        <v>2132</v>
      </c>
      <c r="E143" s="45" t="s">
        <v>3452</v>
      </c>
      <c r="F143" s="33" t="s">
        <v>84</v>
      </c>
      <c r="G143" s="33" t="s">
        <v>80</v>
      </c>
      <c r="H143" s="33">
        <v>5</v>
      </c>
      <c r="I143" s="33">
        <v>5</v>
      </c>
      <c r="J143" s="33">
        <v>5</v>
      </c>
      <c r="K143" s="33">
        <v>5</v>
      </c>
      <c r="L143" s="33">
        <v>3</v>
      </c>
      <c r="M143" s="33">
        <v>5</v>
      </c>
    </row>
    <row r="144" spans="1:13" x14ac:dyDescent="0.2">
      <c r="A144" s="9">
        <v>143</v>
      </c>
      <c r="B144" s="11" t="s">
        <v>82</v>
      </c>
      <c r="C144" s="11" t="s">
        <v>84</v>
      </c>
      <c r="F144" s="11" t="s">
        <v>84</v>
      </c>
      <c r="G144" s="11" t="s">
        <v>80</v>
      </c>
      <c r="H144" s="11">
        <v>5</v>
      </c>
      <c r="I144" s="11">
        <v>5</v>
      </c>
      <c r="J144" s="11">
        <v>2</v>
      </c>
      <c r="K144" s="11">
        <v>1</v>
      </c>
      <c r="L144" s="11">
        <v>5</v>
      </c>
      <c r="M144" s="11">
        <v>5</v>
      </c>
    </row>
    <row r="145" spans="1:13" x14ac:dyDescent="0.2">
      <c r="A145" s="9">
        <v>144</v>
      </c>
      <c r="B145" s="11" t="s">
        <v>145</v>
      </c>
      <c r="C145" s="11" t="s">
        <v>82</v>
      </c>
      <c r="F145" s="11" t="s">
        <v>84</v>
      </c>
      <c r="G145" s="11" t="s">
        <v>80</v>
      </c>
      <c r="H145" s="11">
        <v>2</v>
      </c>
      <c r="I145" s="11">
        <v>4</v>
      </c>
      <c r="J145" s="11">
        <v>3</v>
      </c>
      <c r="K145" s="11">
        <v>5</v>
      </c>
      <c r="L145" s="11">
        <v>4</v>
      </c>
      <c r="M145" s="11">
        <v>5</v>
      </c>
    </row>
    <row r="146" spans="1:13" ht="114.75" x14ac:dyDescent="0.2">
      <c r="A146" s="9">
        <v>145</v>
      </c>
      <c r="B146" s="11" t="s">
        <v>84</v>
      </c>
      <c r="C146" s="11" t="s">
        <v>84</v>
      </c>
      <c r="D146" s="11" t="s">
        <v>2133</v>
      </c>
      <c r="E146" s="21" t="s">
        <v>3470</v>
      </c>
      <c r="F146" s="11" t="s">
        <v>84</v>
      </c>
      <c r="G146" s="11" t="s">
        <v>80</v>
      </c>
      <c r="H146" s="11">
        <v>5</v>
      </c>
      <c r="I146" s="11">
        <v>5</v>
      </c>
      <c r="J146" s="11">
        <v>2</v>
      </c>
      <c r="K146" s="11">
        <v>1</v>
      </c>
      <c r="L146" s="11">
        <v>5</v>
      </c>
      <c r="M146" s="11">
        <v>5</v>
      </c>
    </row>
    <row r="147" spans="1:13" x14ac:dyDescent="0.2">
      <c r="A147" s="9">
        <v>146</v>
      </c>
      <c r="B147" s="11" t="s">
        <v>82</v>
      </c>
      <c r="C147" s="11" t="s">
        <v>84</v>
      </c>
      <c r="F147" s="11" t="s">
        <v>84</v>
      </c>
      <c r="G147" s="11" t="s">
        <v>80</v>
      </c>
      <c r="H147" s="11">
        <v>4</v>
      </c>
      <c r="I147" s="11">
        <v>5</v>
      </c>
      <c r="J147" s="11">
        <v>2</v>
      </c>
      <c r="K147" s="11">
        <v>5</v>
      </c>
      <c r="L147" s="11">
        <v>5</v>
      </c>
      <c r="M147" s="11">
        <v>5</v>
      </c>
    </row>
    <row r="148" spans="1:13" x14ac:dyDescent="0.2">
      <c r="A148" s="9">
        <v>147</v>
      </c>
      <c r="B148" s="11" t="s">
        <v>84</v>
      </c>
      <c r="C148" s="11" t="s">
        <v>84</v>
      </c>
      <c r="F148" s="11" t="s">
        <v>84</v>
      </c>
      <c r="G148" s="11" t="s">
        <v>80</v>
      </c>
      <c r="H148" s="11">
        <v>3</v>
      </c>
      <c r="I148" s="11">
        <v>2</v>
      </c>
      <c r="J148" s="11">
        <v>2</v>
      </c>
      <c r="K148" s="11">
        <v>2</v>
      </c>
      <c r="L148" s="11">
        <v>3</v>
      </c>
      <c r="M148" s="11">
        <v>2</v>
      </c>
    </row>
    <row r="149" spans="1:13" x14ac:dyDescent="0.2">
      <c r="A149" s="9">
        <v>148</v>
      </c>
      <c r="B149" s="11" t="s">
        <v>82</v>
      </c>
      <c r="C149" s="11" t="s">
        <v>84</v>
      </c>
      <c r="D149" s="11" t="s">
        <v>1770</v>
      </c>
      <c r="E149" s="21" t="s">
        <v>3452</v>
      </c>
      <c r="F149" s="11" t="s">
        <v>84</v>
      </c>
      <c r="G149" s="11" t="s">
        <v>80</v>
      </c>
      <c r="H149" s="11">
        <v>4</v>
      </c>
      <c r="I149" s="11">
        <v>4</v>
      </c>
      <c r="J149" s="11">
        <v>2</v>
      </c>
      <c r="K149" s="11">
        <v>1</v>
      </c>
      <c r="L149" s="11">
        <v>4</v>
      </c>
      <c r="M149" s="11">
        <v>4</v>
      </c>
    </row>
    <row r="150" spans="1:13" ht="114.75" x14ac:dyDescent="0.2">
      <c r="A150" s="9">
        <v>149</v>
      </c>
      <c r="B150" s="11" t="s">
        <v>84</v>
      </c>
      <c r="C150" s="11" t="s">
        <v>84</v>
      </c>
      <c r="D150" s="11" t="s">
        <v>2134</v>
      </c>
      <c r="E150" s="21" t="s">
        <v>3471</v>
      </c>
      <c r="F150" s="11" t="s">
        <v>84</v>
      </c>
      <c r="G150" s="11" t="s">
        <v>80</v>
      </c>
      <c r="H150" s="11">
        <v>5</v>
      </c>
      <c r="I150" s="11">
        <v>5</v>
      </c>
      <c r="J150" s="11">
        <v>5</v>
      </c>
      <c r="K150" s="11">
        <v>5</v>
      </c>
      <c r="L150" s="11">
        <v>5</v>
      </c>
      <c r="M150" s="11">
        <v>5</v>
      </c>
    </row>
    <row r="151" spans="1:13" x14ac:dyDescent="0.2">
      <c r="A151" s="9">
        <v>150</v>
      </c>
      <c r="B151" s="11" t="s">
        <v>84</v>
      </c>
      <c r="C151" s="11" t="s">
        <v>82</v>
      </c>
      <c r="F151" s="11" t="s">
        <v>84</v>
      </c>
      <c r="G151" s="11" t="s">
        <v>80</v>
      </c>
      <c r="H151" s="11">
        <v>3</v>
      </c>
      <c r="I151" s="11">
        <v>3</v>
      </c>
      <c r="J151" s="11">
        <v>4</v>
      </c>
      <c r="K151" s="11">
        <v>2</v>
      </c>
      <c r="L151" s="11">
        <v>2</v>
      </c>
      <c r="M151" s="11">
        <v>1</v>
      </c>
    </row>
    <row r="152" spans="1:13" x14ac:dyDescent="0.2">
      <c r="A152" s="9">
        <v>151</v>
      </c>
      <c r="B152" s="33" t="s">
        <v>84</v>
      </c>
      <c r="C152" s="33" t="s">
        <v>82</v>
      </c>
      <c r="D152" s="33"/>
      <c r="E152" s="45"/>
      <c r="F152" s="33" t="s">
        <v>84</v>
      </c>
      <c r="G152" s="33" t="s">
        <v>80</v>
      </c>
      <c r="H152" s="33">
        <v>3</v>
      </c>
      <c r="I152" s="33">
        <v>1</v>
      </c>
      <c r="J152" s="33">
        <v>1</v>
      </c>
      <c r="K152" s="33">
        <v>1</v>
      </c>
      <c r="L152" s="33">
        <v>3</v>
      </c>
      <c r="M152" s="33">
        <v>1</v>
      </c>
    </row>
    <row r="153" spans="1:13" ht="165.75" x14ac:dyDescent="0.2">
      <c r="A153" s="9">
        <v>152</v>
      </c>
      <c r="B153" s="11" t="s">
        <v>82</v>
      </c>
      <c r="C153" s="11" t="s">
        <v>84</v>
      </c>
      <c r="D153" s="11" t="s">
        <v>3472</v>
      </c>
      <c r="E153" s="21" t="s">
        <v>3522</v>
      </c>
      <c r="F153" s="11" t="s">
        <v>84</v>
      </c>
      <c r="G153" s="11" t="s">
        <v>80</v>
      </c>
      <c r="H153" s="11">
        <v>2</v>
      </c>
      <c r="I153" s="11">
        <v>3</v>
      </c>
      <c r="J153" s="11">
        <v>4</v>
      </c>
      <c r="K153" s="11">
        <v>5</v>
      </c>
      <c r="L153" s="11">
        <v>2</v>
      </c>
      <c r="M153" s="11">
        <v>3</v>
      </c>
    </row>
    <row r="154" spans="1:13" x14ac:dyDescent="0.2">
      <c r="A154" s="9">
        <v>153</v>
      </c>
      <c r="B154" s="11" t="s">
        <v>84</v>
      </c>
      <c r="C154" s="11" t="s">
        <v>84</v>
      </c>
      <c r="F154" s="11" t="s">
        <v>84</v>
      </c>
      <c r="G154" s="11" t="s">
        <v>80</v>
      </c>
      <c r="H154" s="11">
        <v>4</v>
      </c>
      <c r="I154" s="11">
        <v>4</v>
      </c>
      <c r="J154" s="11">
        <v>4</v>
      </c>
      <c r="K154" s="11">
        <v>5</v>
      </c>
      <c r="L154" s="11">
        <v>1</v>
      </c>
      <c r="M154" s="11">
        <v>2</v>
      </c>
    </row>
    <row r="155" spans="1:13" x14ac:dyDescent="0.2">
      <c r="A155" s="9">
        <v>154</v>
      </c>
      <c r="B155" s="11" t="s">
        <v>82</v>
      </c>
      <c r="C155" s="11" t="s">
        <v>84</v>
      </c>
      <c r="F155" s="11" t="s">
        <v>84</v>
      </c>
      <c r="G155" s="11" t="s">
        <v>80</v>
      </c>
      <c r="H155" s="11">
        <v>2</v>
      </c>
      <c r="I155" s="11">
        <v>4</v>
      </c>
      <c r="J155" s="11">
        <v>4</v>
      </c>
      <c r="K155" s="11">
        <v>4</v>
      </c>
      <c r="L155" s="11">
        <v>4</v>
      </c>
      <c r="M155" s="11">
        <v>4</v>
      </c>
    </row>
    <row r="156" spans="1:13" x14ac:dyDescent="0.2">
      <c r="A156" s="9">
        <v>155</v>
      </c>
      <c r="B156" s="11" t="s">
        <v>82</v>
      </c>
      <c r="C156" s="11" t="s">
        <v>84</v>
      </c>
      <c r="F156" s="11" t="s">
        <v>84</v>
      </c>
      <c r="G156" s="11" t="s">
        <v>80</v>
      </c>
      <c r="H156" s="11">
        <v>4</v>
      </c>
      <c r="I156" s="11">
        <v>3</v>
      </c>
      <c r="J156" s="11">
        <v>2</v>
      </c>
      <c r="K156" s="11">
        <v>2</v>
      </c>
      <c r="L156" s="11">
        <v>4</v>
      </c>
      <c r="M156" s="11">
        <v>3</v>
      </c>
    </row>
    <row r="157" spans="1:13" ht="38.25" x14ac:dyDescent="0.2">
      <c r="A157" s="9">
        <v>156</v>
      </c>
      <c r="B157" s="11" t="s">
        <v>84</v>
      </c>
      <c r="C157" s="11" t="s">
        <v>84</v>
      </c>
      <c r="D157" s="11" t="s">
        <v>2136</v>
      </c>
      <c r="E157" s="21" t="s">
        <v>3474</v>
      </c>
      <c r="F157" s="11" t="s">
        <v>84</v>
      </c>
      <c r="G157" s="11" t="s">
        <v>80</v>
      </c>
      <c r="H157" s="11">
        <v>1</v>
      </c>
      <c r="I157" s="11">
        <v>1</v>
      </c>
      <c r="J157" s="11">
        <v>5</v>
      </c>
      <c r="K157" s="11">
        <v>5</v>
      </c>
      <c r="L157" s="11">
        <v>1</v>
      </c>
      <c r="M157" s="11">
        <v>1</v>
      </c>
    </row>
    <row r="158" spans="1:13" x14ac:dyDescent="0.2">
      <c r="A158" s="9">
        <v>157</v>
      </c>
      <c r="B158" s="11" t="s">
        <v>84</v>
      </c>
      <c r="C158" s="11" t="s">
        <v>84</v>
      </c>
      <c r="F158" s="11" t="s">
        <v>84</v>
      </c>
      <c r="G158" s="11" t="s">
        <v>80</v>
      </c>
      <c r="H158" s="11">
        <v>4</v>
      </c>
      <c r="I158" s="11">
        <v>3</v>
      </c>
      <c r="J158" s="11">
        <v>2</v>
      </c>
      <c r="K158" s="11">
        <v>1</v>
      </c>
      <c r="L158" s="11">
        <v>4</v>
      </c>
      <c r="M158" s="11">
        <v>3</v>
      </c>
    </row>
    <row r="159" spans="1:13" ht="89.25" x14ac:dyDescent="0.2">
      <c r="A159" s="9">
        <v>158</v>
      </c>
      <c r="B159" s="11" t="s">
        <v>84</v>
      </c>
      <c r="C159" s="11" t="s">
        <v>84</v>
      </c>
      <c r="D159" s="11" t="s">
        <v>2137</v>
      </c>
      <c r="E159" s="21" t="s">
        <v>3474</v>
      </c>
      <c r="F159" s="11" t="s">
        <v>84</v>
      </c>
      <c r="G159" s="11" t="s">
        <v>80</v>
      </c>
      <c r="H159" s="11">
        <v>3</v>
      </c>
      <c r="I159" s="11">
        <v>3</v>
      </c>
      <c r="J159" s="11">
        <v>3</v>
      </c>
      <c r="K159" s="11">
        <v>3</v>
      </c>
      <c r="L159" s="11">
        <v>3</v>
      </c>
      <c r="M159" s="11">
        <v>3</v>
      </c>
    </row>
    <row r="160" spans="1:13" x14ac:dyDescent="0.2">
      <c r="A160" s="9">
        <v>159</v>
      </c>
      <c r="B160" s="11" t="s">
        <v>82</v>
      </c>
      <c r="C160" s="11" t="s">
        <v>82</v>
      </c>
      <c r="F160" s="11" t="s">
        <v>84</v>
      </c>
      <c r="G160" s="11" t="s">
        <v>80</v>
      </c>
      <c r="H160" s="11">
        <v>2</v>
      </c>
      <c r="I160" s="11">
        <v>2</v>
      </c>
      <c r="J160" s="11">
        <v>1</v>
      </c>
      <c r="K160" s="11">
        <v>1</v>
      </c>
      <c r="L160" s="11">
        <v>2</v>
      </c>
      <c r="M160" s="11">
        <v>2</v>
      </c>
    </row>
    <row r="161" spans="1:13" ht="63.75" x14ac:dyDescent="0.2">
      <c r="A161" s="9">
        <v>160</v>
      </c>
      <c r="B161" s="11" t="s">
        <v>84</v>
      </c>
      <c r="C161" s="11" t="s">
        <v>84</v>
      </c>
      <c r="D161" s="11" t="s">
        <v>2138</v>
      </c>
      <c r="E161" s="21" t="s">
        <v>3531</v>
      </c>
      <c r="F161" s="11" t="s">
        <v>84</v>
      </c>
      <c r="G161" s="11" t="s">
        <v>80</v>
      </c>
      <c r="H161" s="11">
        <v>3</v>
      </c>
      <c r="I161" s="11">
        <v>1</v>
      </c>
      <c r="J161" s="11">
        <v>3</v>
      </c>
      <c r="K161" s="11">
        <v>1</v>
      </c>
      <c r="L161" s="11">
        <v>3</v>
      </c>
      <c r="M161" s="11">
        <v>1</v>
      </c>
    </row>
    <row r="162" spans="1:13" ht="51" x14ac:dyDescent="0.2">
      <c r="A162" s="9">
        <v>161</v>
      </c>
      <c r="B162" s="11" t="s">
        <v>84</v>
      </c>
      <c r="C162" s="11" t="s">
        <v>84</v>
      </c>
      <c r="D162" s="11" t="s">
        <v>2139</v>
      </c>
      <c r="E162" s="21" t="s">
        <v>3476</v>
      </c>
      <c r="F162" s="11" t="s">
        <v>84</v>
      </c>
      <c r="G162" s="11" t="s">
        <v>80</v>
      </c>
      <c r="H162" s="11">
        <v>2</v>
      </c>
      <c r="I162" s="11">
        <v>2</v>
      </c>
      <c r="J162" s="11">
        <v>4</v>
      </c>
      <c r="K162" s="11">
        <v>4</v>
      </c>
      <c r="L162" s="11">
        <v>2</v>
      </c>
      <c r="M162" s="11">
        <v>2</v>
      </c>
    </row>
    <row r="163" spans="1:13" ht="25.5" x14ac:dyDescent="0.2">
      <c r="A163" s="9">
        <v>162</v>
      </c>
      <c r="B163" s="11" t="s">
        <v>84</v>
      </c>
      <c r="C163" s="11" t="s">
        <v>84</v>
      </c>
      <c r="D163" s="11" t="s">
        <v>2140</v>
      </c>
      <c r="E163" s="21" t="s">
        <v>3532</v>
      </c>
      <c r="F163" s="11" t="s">
        <v>84</v>
      </c>
      <c r="G163" s="11" t="s">
        <v>80</v>
      </c>
      <c r="H163" s="11">
        <v>3</v>
      </c>
      <c r="I163" s="11">
        <v>1</v>
      </c>
      <c r="J163" s="11">
        <v>3</v>
      </c>
      <c r="K163" s="11">
        <v>1</v>
      </c>
      <c r="L163" s="11">
        <v>1</v>
      </c>
      <c r="M163" s="11">
        <v>1</v>
      </c>
    </row>
    <row r="164" spans="1:13" ht="25.5" x14ac:dyDescent="0.2">
      <c r="A164" s="9">
        <v>163</v>
      </c>
      <c r="B164" s="11" t="s">
        <v>84</v>
      </c>
      <c r="C164" s="11" t="s">
        <v>84</v>
      </c>
      <c r="D164" s="28" t="s">
        <v>2141</v>
      </c>
      <c r="E164" s="21" t="s">
        <v>1073</v>
      </c>
      <c r="F164" s="11" t="s">
        <v>84</v>
      </c>
      <c r="G164" s="11" t="s">
        <v>80</v>
      </c>
      <c r="H164" s="11">
        <v>3</v>
      </c>
      <c r="I164" s="11">
        <v>2</v>
      </c>
      <c r="J164" s="11">
        <v>1</v>
      </c>
      <c r="K164" s="11">
        <v>1</v>
      </c>
      <c r="L164" s="11">
        <v>3</v>
      </c>
      <c r="M164" s="11">
        <v>2</v>
      </c>
    </row>
    <row r="165" spans="1:13" x14ac:dyDescent="0.2">
      <c r="A165" s="9">
        <v>164</v>
      </c>
      <c r="B165" s="11" t="s">
        <v>84</v>
      </c>
      <c r="C165" s="11" t="s">
        <v>82</v>
      </c>
      <c r="F165" s="11" t="s">
        <v>84</v>
      </c>
      <c r="G165" s="11" t="s">
        <v>80</v>
      </c>
      <c r="H165" s="11">
        <v>3</v>
      </c>
      <c r="I165" s="11">
        <v>3</v>
      </c>
      <c r="J165" s="11">
        <v>3</v>
      </c>
      <c r="K165" s="11">
        <v>3</v>
      </c>
      <c r="L165" s="11">
        <v>3</v>
      </c>
      <c r="M165" s="11">
        <v>3</v>
      </c>
    </row>
    <row r="166" spans="1:13" ht="25.5" x14ac:dyDescent="0.2">
      <c r="A166" s="9">
        <v>165</v>
      </c>
      <c r="B166" s="11" t="s">
        <v>84</v>
      </c>
      <c r="C166" s="11" t="s">
        <v>84</v>
      </c>
      <c r="D166" s="11" t="s">
        <v>2142</v>
      </c>
      <c r="E166" s="21" t="s">
        <v>3499</v>
      </c>
      <c r="F166" s="11" t="s">
        <v>84</v>
      </c>
      <c r="G166" s="11" t="s">
        <v>80</v>
      </c>
      <c r="H166" s="11">
        <v>1</v>
      </c>
      <c r="I166" s="11">
        <v>1</v>
      </c>
      <c r="J166" s="11">
        <v>3</v>
      </c>
      <c r="K166" s="11">
        <v>1</v>
      </c>
      <c r="L166" s="11">
        <v>3</v>
      </c>
      <c r="M166" s="11">
        <v>3</v>
      </c>
    </row>
    <row r="167" spans="1:13" ht="76.5" x14ac:dyDescent="0.2">
      <c r="A167" s="9">
        <v>166</v>
      </c>
      <c r="B167" s="11" t="s">
        <v>84</v>
      </c>
      <c r="C167" s="11" t="s">
        <v>84</v>
      </c>
      <c r="D167" s="11" t="s">
        <v>2143</v>
      </c>
      <c r="E167" s="21" t="s">
        <v>3533</v>
      </c>
      <c r="F167" s="11" t="s">
        <v>84</v>
      </c>
      <c r="G167" s="11" t="s">
        <v>80</v>
      </c>
      <c r="H167" s="11">
        <v>5</v>
      </c>
      <c r="I167" s="11">
        <v>4</v>
      </c>
      <c r="J167" s="11">
        <v>1</v>
      </c>
      <c r="K167" s="11">
        <v>1</v>
      </c>
      <c r="L167" s="11">
        <v>5</v>
      </c>
      <c r="M167" s="11">
        <v>2</v>
      </c>
    </row>
    <row r="168" spans="1:13" ht="38.25" x14ac:dyDescent="0.2">
      <c r="A168" s="9">
        <v>167</v>
      </c>
      <c r="B168" s="11" t="s">
        <v>82</v>
      </c>
      <c r="C168" s="11" t="s">
        <v>84</v>
      </c>
      <c r="D168" s="11" t="s">
        <v>2144</v>
      </c>
      <c r="E168" s="21" t="s">
        <v>3477</v>
      </c>
      <c r="F168" s="11" t="s">
        <v>84</v>
      </c>
      <c r="G168" s="11" t="s">
        <v>80</v>
      </c>
      <c r="H168" s="11">
        <v>5</v>
      </c>
      <c r="I168" s="11">
        <v>4</v>
      </c>
      <c r="J168" s="11">
        <v>2</v>
      </c>
      <c r="K168" s="11">
        <v>1</v>
      </c>
      <c r="L168" s="11">
        <v>5</v>
      </c>
      <c r="M168" s="11">
        <v>3</v>
      </c>
    </row>
    <row r="169" spans="1:13" x14ac:dyDescent="0.2">
      <c r="A169" s="9">
        <v>168</v>
      </c>
      <c r="B169" s="11" t="s">
        <v>84</v>
      </c>
      <c r="C169" s="11" t="s">
        <v>84</v>
      </c>
      <c r="F169" s="11" t="s">
        <v>84</v>
      </c>
      <c r="G169" s="11" t="s">
        <v>80</v>
      </c>
      <c r="H169" s="11">
        <v>1</v>
      </c>
      <c r="I169" s="11">
        <v>1</v>
      </c>
      <c r="J169" s="11">
        <v>1</v>
      </c>
      <c r="K169" s="11">
        <v>1</v>
      </c>
      <c r="L169" s="11">
        <v>1</v>
      </c>
      <c r="M169" s="11">
        <v>1</v>
      </c>
    </row>
    <row r="170" spans="1:13" ht="51" x14ac:dyDescent="0.2">
      <c r="A170" s="9">
        <v>169</v>
      </c>
      <c r="B170" s="11" t="s">
        <v>82</v>
      </c>
      <c r="C170" s="11" t="s">
        <v>84</v>
      </c>
      <c r="D170" s="11" t="s">
        <v>2145</v>
      </c>
      <c r="F170" s="11" t="s">
        <v>84</v>
      </c>
      <c r="G170" s="11" t="s">
        <v>80</v>
      </c>
      <c r="H170" s="11">
        <v>3</v>
      </c>
      <c r="I170" s="11">
        <v>3</v>
      </c>
      <c r="J170" s="11">
        <v>3</v>
      </c>
      <c r="K170" s="11">
        <v>1</v>
      </c>
      <c r="L170" s="11">
        <v>5</v>
      </c>
      <c r="M170" s="11">
        <v>3</v>
      </c>
    </row>
    <row r="171" spans="1:13" ht="89.25" x14ac:dyDescent="0.2">
      <c r="A171" s="9">
        <v>170</v>
      </c>
      <c r="B171" s="11" t="s">
        <v>82</v>
      </c>
      <c r="C171" s="11" t="s">
        <v>84</v>
      </c>
      <c r="D171" s="11" t="s">
        <v>4193</v>
      </c>
      <c r="E171" s="21" t="s">
        <v>3478</v>
      </c>
      <c r="F171" s="11" t="s">
        <v>84</v>
      </c>
      <c r="G171" s="11" t="s">
        <v>80</v>
      </c>
      <c r="H171" s="11">
        <v>3</v>
      </c>
      <c r="I171" s="11">
        <v>4</v>
      </c>
      <c r="J171" s="11">
        <v>3</v>
      </c>
      <c r="K171" s="11">
        <v>5</v>
      </c>
      <c r="L171" s="11">
        <v>3</v>
      </c>
      <c r="M171" s="11">
        <v>4</v>
      </c>
    </row>
    <row r="172" spans="1:13" ht="76.5" x14ac:dyDescent="0.2">
      <c r="A172" s="9">
        <v>171</v>
      </c>
      <c r="B172" s="11" t="s">
        <v>84</v>
      </c>
      <c r="C172" s="11" t="s">
        <v>84</v>
      </c>
      <c r="D172" s="19" t="s">
        <v>2147</v>
      </c>
      <c r="E172" s="21" t="s">
        <v>3479</v>
      </c>
      <c r="F172" s="11" t="s">
        <v>84</v>
      </c>
      <c r="G172" s="11" t="s">
        <v>80</v>
      </c>
      <c r="H172" s="11">
        <v>4</v>
      </c>
      <c r="I172" s="11">
        <v>4</v>
      </c>
      <c r="J172" s="11">
        <v>2</v>
      </c>
      <c r="K172" s="11">
        <v>1</v>
      </c>
      <c r="L172" s="11">
        <v>5</v>
      </c>
      <c r="M172" s="11">
        <v>5</v>
      </c>
    </row>
    <row r="173" spans="1:13" x14ac:dyDescent="0.2">
      <c r="A173" s="9">
        <v>172</v>
      </c>
      <c r="B173" s="11" t="s">
        <v>82</v>
      </c>
      <c r="C173" s="11" t="s">
        <v>82</v>
      </c>
      <c r="F173" s="11" t="s">
        <v>82</v>
      </c>
      <c r="G173" s="11" t="s">
        <v>82</v>
      </c>
      <c r="H173" s="11">
        <v>4</v>
      </c>
      <c r="I173" s="11">
        <v>1</v>
      </c>
      <c r="J173" s="11">
        <v>2</v>
      </c>
      <c r="K173" s="11">
        <v>1</v>
      </c>
      <c r="L173" s="11">
        <v>5</v>
      </c>
      <c r="M173" s="11">
        <v>1</v>
      </c>
    </row>
    <row r="174" spans="1:13" x14ac:dyDescent="0.2">
      <c r="A174" s="9">
        <v>173</v>
      </c>
      <c r="B174" s="11" t="s">
        <v>84</v>
      </c>
      <c r="C174" s="11" t="s">
        <v>82</v>
      </c>
      <c r="F174" s="11" t="s">
        <v>84</v>
      </c>
      <c r="G174" s="11" t="s">
        <v>80</v>
      </c>
      <c r="H174" s="11">
        <v>3</v>
      </c>
      <c r="I174" s="11">
        <v>3</v>
      </c>
      <c r="J174" s="11">
        <v>4</v>
      </c>
      <c r="K174" s="11">
        <v>5</v>
      </c>
      <c r="L174" s="11">
        <v>3</v>
      </c>
      <c r="M174" s="11">
        <v>3</v>
      </c>
    </row>
    <row r="175" spans="1:13" ht="38.25" x14ac:dyDescent="0.2">
      <c r="A175" s="9">
        <v>174</v>
      </c>
      <c r="B175" s="11" t="s">
        <v>84</v>
      </c>
      <c r="C175" s="11" t="s">
        <v>84</v>
      </c>
      <c r="D175" s="11" t="s">
        <v>2148</v>
      </c>
      <c r="E175" s="21" t="s">
        <v>3534</v>
      </c>
      <c r="F175" s="11" t="s">
        <v>84</v>
      </c>
      <c r="G175" s="11" t="s">
        <v>80</v>
      </c>
      <c r="H175" s="11">
        <v>2</v>
      </c>
      <c r="I175" s="11">
        <v>1</v>
      </c>
      <c r="J175" s="11">
        <v>1</v>
      </c>
      <c r="K175" s="11">
        <v>1</v>
      </c>
      <c r="L175" s="11">
        <v>2</v>
      </c>
      <c r="M175" s="11">
        <v>2</v>
      </c>
    </row>
    <row r="176" spans="1:13" ht="76.5" x14ac:dyDescent="0.2">
      <c r="A176" s="9">
        <v>175</v>
      </c>
      <c r="B176" s="11" t="s">
        <v>82</v>
      </c>
      <c r="C176" s="11" t="s">
        <v>84</v>
      </c>
      <c r="D176" s="11" t="s">
        <v>2149</v>
      </c>
      <c r="E176" s="21" t="s">
        <v>3456</v>
      </c>
      <c r="F176" s="11" t="s">
        <v>84</v>
      </c>
      <c r="G176" s="11" t="s">
        <v>80</v>
      </c>
      <c r="H176" s="11">
        <v>2</v>
      </c>
      <c r="I176" s="11">
        <v>2</v>
      </c>
      <c r="J176" s="11">
        <v>1</v>
      </c>
      <c r="K176" s="11">
        <v>1</v>
      </c>
      <c r="L176" s="11">
        <v>5</v>
      </c>
      <c r="M176" s="11">
        <v>5</v>
      </c>
    </row>
    <row r="177" spans="1:13" ht="25.5" x14ac:dyDescent="0.2">
      <c r="A177" s="9">
        <v>176</v>
      </c>
      <c r="B177" s="11" t="s">
        <v>84</v>
      </c>
      <c r="C177" s="11" t="s">
        <v>84</v>
      </c>
      <c r="D177" s="11" t="s">
        <v>2150</v>
      </c>
      <c r="E177" s="21" t="s">
        <v>651</v>
      </c>
      <c r="F177" s="11" t="s">
        <v>84</v>
      </c>
      <c r="G177" s="11" t="s">
        <v>80</v>
      </c>
      <c r="H177" s="11">
        <v>3</v>
      </c>
      <c r="I177" s="11">
        <v>3</v>
      </c>
      <c r="J177" s="11">
        <v>1</v>
      </c>
      <c r="K177" s="11">
        <v>1</v>
      </c>
      <c r="L177" s="11">
        <v>3</v>
      </c>
      <c r="M177" s="11">
        <v>3</v>
      </c>
    </row>
    <row r="178" spans="1:13" x14ac:dyDescent="0.2">
      <c r="A178" s="9">
        <v>177</v>
      </c>
      <c r="B178" s="11" t="s">
        <v>84</v>
      </c>
      <c r="C178" s="11" t="s">
        <v>82</v>
      </c>
      <c r="F178" s="11" t="s">
        <v>84</v>
      </c>
      <c r="G178" s="11" t="s">
        <v>80</v>
      </c>
      <c r="H178" s="11">
        <v>3</v>
      </c>
      <c r="I178" s="11">
        <v>1</v>
      </c>
      <c r="J178" s="11">
        <v>3</v>
      </c>
      <c r="K178" s="11">
        <v>1</v>
      </c>
      <c r="L178" s="11">
        <v>3</v>
      </c>
      <c r="M178" s="11">
        <v>1</v>
      </c>
    </row>
    <row r="179" spans="1:13" ht="140.25" x14ac:dyDescent="0.2">
      <c r="A179" s="9">
        <v>178</v>
      </c>
      <c r="B179" s="11" t="s">
        <v>84</v>
      </c>
      <c r="C179" s="11" t="s">
        <v>84</v>
      </c>
      <c r="D179" s="11" t="s">
        <v>2151</v>
      </c>
      <c r="E179" s="21" t="s">
        <v>3480</v>
      </c>
      <c r="F179" s="11" t="s">
        <v>84</v>
      </c>
      <c r="G179" s="11" t="s">
        <v>80</v>
      </c>
      <c r="H179" s="11">
        <v>3</v>
      </c>
      <c r="I179" s="11">
        <v>2</v>
      </c>
      <c r="J179" s="11">
        <v>3</v>
      </c>
      <c r="K179" s="11">
        <v>2</v>
      </c>
      <c r="L179" s="11">
        <v>5</v>
      </c>
      <c r="M179" s="11">
        <v>3</v>
      </c>
    </row>
    <row r="180" spans="1:13" ht="38.25" x14ac:dyDescent="0.2">
      <c r="A180" s="9">
        <v>179</v>
      </c>
      <c r="B180" s="11" t="s">
        <v>84</v>
      </c>
      <c r="C180" s="11" t="s">
        <v>84</v>
      </c>
      <c r="D180" s="11" t="s">
        <v>2152</v>
      </c>
      <c r="E180" s="21" t="s">
        <v>3481</v>
      </c>
      <c r="F180" s="11" t="s">
        <v>84</v>
      </c>
      <c r="G180" s="11" t="s">
        <v>80</v>
      </c>
      <c r="H180" s="11">
        <v>2</v>
      </c>
      <c r="I180" s="11">
        <v>2</v>
      </c>
      <c r="J180" s="11">
        <v>2</v>
      </c>
      <c r="K180" s="11">
        <v>2</v>
      </c>
      <c r="L180" s="11">
        <v>3</v>
      </c>
      <c r="M180" s="11">
        <v>3</v>
      </c>
    </row>
    <row r="181" spans="1:13" ht="255" x14ac:dyDescent="0.2">
      <c r="A181" s="9">
        <v>180</v>
      </c>
      <c r="B181" s="11" t="s">
        <v>82</v>
      </c>
      <c r="C181" s="11" t="s">
        <v>84</v>
      </c>
      <c r="D181" s="11" t="s">
        <v>2154</v>
      </c>
      <c r="E181" s="21" t="s">
        <v>3482</v>
      </c>
      <c r="F181" s="11" t="s">
        <v>84</v>
      </c>
      <c r="G181" s="11" t="s">
        <v>80</v>
      </c>
      <c r="H181" s="11">
        <v>3</v>
      </c>
      <c r="I181" s="11">
        <v>5</v>
      </c>
      <c r="J181" s="11">
        <v>3</v>
      </c>
      <c r="K181" s="11">
        <v>5</v>
      </c>
      <c r="L181" s="11">
        <v>1</v>
      </c>
      <c r="M181" s="11">
        <v>5</v>
      </c>
    </row>
    <row r="182" spans="1:13" x14ac:dyDescent="0.2">
      <c r="A182" s="9">
        <v>181</v>
      </c>
      <c r="B182" s="11" t="s">
        <v>82</v>
      </c>
      <c r="C182" s="11" t="s">
        <v>82</v>
      </c>
      <c r="F182" s="11" t="s">
        <v>84</v>
      </c>
      <c r="G182" s="11" t="s">
        <v>80</v>
      </c>
      <c r="H182" s="11">
        <v>3</v>
      </c>
      <c r="I182" s="11">
        <v>3</v>
      </c>
      <c r="J182" s="11">
        <v>2</v>
      </c>
      <c r="K182" s="11">
        <v>1</v>
      </c>
      <c r="L182" s="11">
        <v>3</v>
      </c>
      <c r="M182" s="11">
        <v>3</v>
      </c>
    </row>
    <row r="183" spans="1:13" ht="38.25" x14ac:dyDescent="0.2">
      <c r="A183" s="9">
        <v>182</v>
      </c>
      <c r="B183" s="11" t="s">
        <v>82</v>
      </c>
      <c r="C183" s="11" t="s">
        <v>84</v>
      </c>
      <c r="D183" s="11" t="s">
        <v>2155</v>
      </c>
      <c r="E183" s="21" t="s">
        <v>3454</v>
      </c>
      <c r="F183" s="11" t="s">
        <v>84</v>
      </c>
      <c r="G183" s="11" t="s">
        <v>80</v>
      </c>
      <c r="H183" s="11">
        <v>3</v>
      </c>
      <c r="I183" s="11">
        <v>4</v>
      </c>
      <c r="J183" s="11">
        <v>4</v>
      </c>
      <c r="K183" s="11">
        <v>5</v>
      </c>
      <c r="L183" s="11">
        <v>2</v>
      </c>
      <c r="M183" s="11">
        <v>3</v>
      </c>
    </row>
    <row r="184" spans="1:13" ht="89.25" x14ac:dyDescent="0.2">
      <c r="A184" s="9">
        <v>183</v>
      </c>
      <c r="B184" s="11" t="s">
        <v>82</v>
      </c>
      <c r="C184" s="11" t="s">
        <v>84</v>
      </c>
      <c r="D184" s="11" t="s">
        <v>2156</v>
      </c>
      <c r="E184" s="21" t="s">
        <v>3483</v>
      </c>
      <c r="F184" s="11" t="s">
        <v>84</v>
      </c>
      <c r="G184" s="11" t="s">
        <v>80</v>
      </c>
      <c r="H184" s="11">
        <v>1</v>
      </c>
      <c r="I184" s="11">
        <v>1</v>
      </c>
      <c r="J184" s="11">
        <v>1</v>
      </c>
      <c r="K184" s="11">
        <v>1</v>
      </c>
      <c r="L184" s="11">
        <v>2</v>
      </c>
      <c r="M184" s="11">
        <v>2</v>
      </c>
    </row>
    <row r="185" spans="1:13" x14ac:dyDescent="0.2">
      <c r="A185" s="9">
        <v>184</v>
      </c>
      <c r="B185" s="11" t="s">
        <v>84</v>
      </c>
      <c r="C185" s="11" t="s">
        <v>84</v>
      </c>
      <c r="D185" s="11" t="s">
        <v>2157</v>
      </c>
      <c r="E185" s="21" t="s">
        <v>3452</v>
      </c>
      <c r="F185" s="11" t="s">
        <v>84</v>
      </c>
      <c r="G185" s="11" t="s">
        <v>80</v>
      </c>
      <c r="H185" s="11">
        <v>3</v>
      </c>
      <c r="I185" s="11">
        <v>5</v>
      </c>
      <c r="J185" s="11">
        <v>1</v>
      </c>
      <c r="K185" s="11">
        <v>1</v>
      </c>
      <c r="L185" s="11">
        <v>4</v>
      </c>
      <c r="M185" s="11">
        <v>4</v>
      </c>
    </row>
    <row r="186" spans="1:13" x14ac:dyDescent="0.2">
      <c r="A186" s="9">
        <v>185</v>
      </c>
      <c r="B186" s="11" t="s">
        <v>84</v>
      </c>
      <c r="C186" s="11" t="s">
        <v>84</v>
      </c>
      <c r="F186" s="11" t="s">
        <v>84</v>
      </c>
      <c r="G186" s="11" t="s">
        <v>80</v>
      </c>
      <c r="H186" s="11">
        <v>3</v>
      </c>
      <c r="I186" s="11">
        <v>3</v>
      </c>
      <c r="J186" s="11">
        <v>1</v>
      </c>
      <c r="K186" s="11">
        <v>2</v>
      </c>
      <c r="L186" s="11">
        <v>4</v>
      </c>
      <c r="M186" s="11">
        <v>3</v>
      </c>
    </row>
    <row r="187" spans="1:13" x14ac:dyDescent="0.2">
      <c r="A187" s="9">
        <v>186</v>
      </c>
      <c r="B187" s="11" t="s">
        <v>82</v>
      </c>
      <c r="C187" s="11" t="s">
        <v>82</v>
      </c>
      <c r="F187" s="11" t="s">
        <v>84</v>
      </c>
      <c r="G187" s="11" t="s">
        <v>80</v>
      </c>
      <c r="H187" s="11">
        <v>5</v>
      </c>
      <c r="I187" s="11">
        <v>1</v>
      </c>
      <c r="J187" s="11">
        <v>1</v>
      </c>
      <c r="K187" s="11">
        <v>1</v>
      </c>
      <c r="L187" s="11">
        <v>5</v>
      </c>
      <c r="M187" s="11">
        <v>2</v>
      </c>
    </row>
    <row r="188" spans="1:13" x14ac:dyDescent="0.2">
      <c r="A188" s="9">
        <v>187</v>
      </c>
      <c r="B188" s="11" t="s">
        <v>84</v>
      </c>
      <c r="C188" s="11" t="s">
        <v>84</v>
      </c>
      <c r="F188" s="11" t="s">
        <v>84</v>
      </c>
      <c r="G188" s="11" t="s">
        <v>80</v>
      </c>
      <c r="H188" s="11">
        <v>2</v>
      </c>
      <c r="I188" s="11">
        <v>2</v>
      </c>
      <c r="J188" s="11">
        <v>2</v>
      </c>
      <c r="K188" s="11">
        <v>2</v>
      </c>
      <c r="L188" s="11">
        <v>2</v>
      </c>
      <c r="M188" s="11">
        <v>2</v>
      </c>
    </row>
    <row r="189" spans="1:13" x14ac:dyDescent="0.2">
      <c r="A189" s="9">
        <v>188</v>
      </c>
      <c r="B189" s="11" t="s">
        <v>82</v>
      </c>
      <c r="C189" s="11" t="s">
        <v>84</v>
      </c>
      <c r="D189" s="11" t="s">
        <v>2158</v>
      </c>
      <c r="E189" s="21" t="s">
        <v>1073</v>
      </c>
      <c r="F189" s="11" t="s">
        <v>84</v>
      </c>
      <c r="G189" s="11" t="s">
        <v>80</v>
      </c>
      <c r="H189" s="11">
        <v>3</v>
      </c>
      <c r="I189" s="11">
        <v>1</v>
      </c>
      <c r="J189" s="11">
        <v>3</v>
      </c>
      <c r="K189" s="11">
        <v>1</v>
      </c>
      <c r="L189" s="11">
        <v>3</v>
      </c>
      <c r="M189" s="11">
        <v>1</v>
      </c>
    </row>
    <row r="190" spans="1:13" x14ac:dyDescent="0.2">
      <c r="A190" s="9">
        <v>189</v>
      </c>
      <c r="B190" s="11" t="s">
        <v>82</v>
      </c>
      <c r="C190" s="11" t="s">
        <v>82</v>
      </c>
      <c r="F190" s="11" t="s">
        <v>84</v>
      </c>
      <c r="G190" s="11" t="s">
        <v>80</v>
      </c>
      <c r="H190" s="11">
        <v>3</v>
      </c>
      <c r="I190" s="11">
        <v>3</v>
      </c>
      <c r="J190" s="11">
        <v>1</v>
      </c>
      <c r="K190" s="11">
        <v>1</v>
      </c>
      <c r="L190" s="11">
        <v>3</v>
      </c>
      <c r="M190" s="11">
        <v>3</v>
      </c>
    </row>
    <row r="191" spans="1:13" ht="38.25" x14ac:dyDescent="0.2">
      <c r="A191" s="9">
        <v>190</v>
      </c>
      <c r="B191" s="11" t="s">
        <v>84</v>
      </c>
      <c r="C191" s="11" t="s">
        <v>84</v>
      </c>
      <c r="D191" s="11" t="s">
        <v>2159</v>
      </c>
      <c r="E191" s="21" t="s">
        <v>3452</v>
      </c>
      <c r="F191" s="11" t="s">
        <v>84</v>
      </c>
      <c r="G191" s="11" t="s">
        <v>80</v>
      </c>
      <c r="H191" s="11">
        <v>3</v>
      </c>
      <c r="I191" s="11">
        <v>1</v>
      </c>
      <c r="J191" s="11">
        <v>3</v>
      </c>
      <c r="K191" s="11">
        <v>1</v>
      </c>
      <c r="L191" s="11">
        <v>5</v>
      </c>
      <c r="M191" s="11">
        <v>1</v>
      </c>
    </row>
    <row r="192" spans="1:13" x14ac:dyDescent="0.2">
      <c r="A192" s="9">
        <v>191</v>
      </c>
      <c r="B192" s="11" t="s">
        <v>84</v>
      </c>
      <c r="C192" s="11" t="s">
        <v>82</v>
      </c>
      <c r="F192" s="11" t="s">
        <v>84</v>
      </c>
      <c r="G192" s="11" t="s">
        <v>80</v>
      </c>
      <c r="H192" s="11">
        <v>1</v>
      </c>
      <c r="I192" s="11">
        <v>1</v>
      </c>
      <c r="J192" s="11">
        <v>4</v>
      </c>
      <c r="K192" s="11">
        <v>5</v>
      </c>
      <c r="L192" s="11">
        <v>2</v>
      </c>
      <c r="M192" s="11">
        <v>1</v>
      </c>
    </row>
    <row r="193" spans="1:13" x14ac:dyDescent="0.2">
      <c r="A193" s="9">
        <v>192</v>
      </c>
      <c r="B193" s="11" t="s">
        <v>84</v>
      </c>
      <c r="C193" s="11" t="s">
        <v>84</v>
      </c>
      <c r="F193" s="11" t="s">
        <v>84</v>
      </c>
      <c r="G193" s="11" t="s">
        <v>80</v>
      </c>
      <c r="H193" s="11">
        <v>5</v>
      </c>
      <c r="I193" s="11">
        <v>1</v>
      </c>
      <c r="J193" s="11">
        <v>1</v>
      </c>
      <c r="K193" s="11">
        <v>5</v>
      </c>
      <c r="L193" s="11">
        <v>5</v>
      </c>
      <c r="M193" s="11">
        <v>1</v>
      </c>
    </row>
    <row r="194" spans="1:13" x14ac:dyDescent="0.2">
      <c r="A194" s="9">
        <v>193</v>
      </c>
      <c r="B194" s="11" t="s">
        <v>84</v>
      </c>
      <c r="C194" s="11" t="s">
        <v>82</v>
      </c>
      <c r="F194" s="11" t="s">
        <v>84</v>
      </c>
      <c r="G194" s="11" t="s">
        <v>80</v>
      </c>
      <c r="H194" s="11">
        <v>3</v>
      </c>
      <c r="I194" s="11">
        <v>3</v>
      </c>
      <c r="J194" s="11">
        <v>3</v>
      </c>
      <c r="K194" s="11">
        <v>3</v>
      </c>
      <c r="L194" s="11">
        <v>3</v>
      </c>
      <c r="M194" s="11">
        <v>3</v>
      </c>
    </row>
    <row r="195" spans="1:13" x14ac:dyDescent="0.2">
      <c r="A195" s="9">
        <v>194</v>
      </c>
      <c r="B195" s="11" t="s">
        <v>82</v>
      </c>
      <c r="C195" s="11" t="s">
        <v>82</v>
      </c>
      <c r="F195" s="11" t="s">
        <v>84</v>
      </c>
      <c r="G195" s="11" t="s">
        <v>80</v>
      </c>
      <c r="H195" s="11">
        <v>5</v>
      </c>
      <c r="I195" s="11">
        <v>2</v>
      </c>
      <c r="J195" s="11">
        <v>5</v>
      </c>
      <c r="K195" s="11">
        <v>1</v>
      </c>
      <c r="L195" s="11">
        <v>5</v>
      </c>
      <c r="M195" s="11">
        <v>3</v>
      </c>
    </row>
    <row r="196" spans="1:13" x14ac:dyDescent="0.2">
      <c r="A196" s="9">
        <v>195</v>
      </c>
      <c r="B196" s="11" t="s">
        <v>82</v>
      </c>
      <c r="C196" s="11" t="s">
        <v>82</v>
      </c>
      <c r="F196" s="11" t="s">
        <v>84</v>
      </c>
      <c r="G196" s="11" t="s">
        <v>80</v>
      </c>
      <c r="H196" s="11">
        <v>4</v>
      </c>
      <c r="I196" s="11">
        <v>5</v>
      </c>
      <c r="J196" s="11">
        <v>5</v>
      </c>
      <c r="K196" s="11">
        <v>5</v>
      </c>
      <c r="L196" s="11">
        <v>2</v>
      </c>
      <c r="M196" s="11">
        <v>2</v>
      </c>
    </row>
    <row r="197" spans="1:13" ht="76.5" x14ac:dyDescent="0.2">
      <c r="A197" s="9">
        <v>196</v>
      </c>
      <c r="B197" s="11" t="s">
        <v>84</v>
      </c>
      <c r="C197" s="11" t="s">
        <v>84</v>
      </c>
      <c r="D197" s="11" t="s">
        <v>2506</v>
      </c>
      <c r="E197" s="21" t="s">
        <v>3525</v>
      </c>
      <c r="F197" s="11" t="s">
        <v>84</v>
      </c>
      <c r="G197" s="11" t="s">
        <v>80</v>
      </c>
      <c r="H197" s="11">
        <v>1</v>
      </c>
      <c r="I197" s="11">
        <v>1</v>
      </c>
      <c r="J197" s="11">
        <v>1</v>
      </c>
      <c r="K197" s="11">
        <v>1</v>
      </c>
      <c r="L197" s="11">
        <v>1</v>
      </c>
      <c r="M197" s="11">
        <v>1</v>
      </c>
    </row>
    <row r="198" spans="1:13" x14ac:dyDescent="0.2">
      <c r="A198" s="9">
        <v>197</v>
      </c>
      <c r="B198" s="33" t="s">
        <v>84</v>
      </c>
      <c r="C198" s="33" t="s">
        <v>82</v>
      </c>
      <c r="D198" s="33"/>
      <c r="E198" s="45"/>
      <c r="F198" s="33" t="s">
        <v>84</v>
      </c>
      <c r="G198" s="33" t="s">
        <v>80</v>
      </c>
      <c r="H198" s="33">
        <v>2</v>
      </c>
      <c r="I198" s="33">
        <v>2</v>
      </c>
      <c r="J198" s="33">
        <v>1</v>
      </c>
      <c r="K198" s="33">
        <v>1</v>
      </c>
      <c r="L198" s="33">
        <v>2</v>
      </c>
      <c r="M198" s="33">
        <v>2</v>
      </c>
    </row>
    <row r="199" spans="1:13" x14ac:dyDescent="0.2">
      <c r="A199" s="9">
        <v>198</v>
      </c>
      <c r="B199" s="33" t="s">
        <v>80</v>
      </c>
      <c r="C199" s="33" t="s">
        <v>80</v>
      </c>
      <c r="D199" s="33"/>
      <c r="E199" s="45"/>
      <c r="F199" s="33" t="s">
        <v>80</v>
      </c>
      <c r="G199" s="33" t="s">
        <v>80</v>
      </c>
      <c r="H199" s="33"/>
      <c r="I199" s="33"/>
      <c r="J199" s="33"/>
      <c r="K199" s="33"/>
      <c r="L199" s="33"/>
      <c r="M199" s="33"/>
    </row>
    <row r="200" spans="1:13" ht="76.5" x14ac:dyDescent="0.2">
      <c r="A200" s="9">
        <v>199</v>
      </c>
      <c r="B200" s="11" t="s">
        <v>84</v>
      </c>
      <c r="C200" s="11" t="s">
        <v>84</v>
      </c>
      <c r="D200" s="11" t="s">
        <v>2523</v>
      </c>
      <c r="E200" s="21" t="s">
        <v>3492</v>
      </c>
      <c r="F200" s="11" t="s">
        <v>84</v>
      </c>
      <c r="G200" s="11" t="s">
        <v>80</v>
      </c>
      <c r="H200" s="11">
        <v>1</v>
      </c>
      <c r="I200" s="11">
        <v>1</v>
      </c>
      <c r="J200" s="11">
        <v>1</v>
      </c>
      <c r="K200" s="11">
        <v>1</v>
      </c>
      <c r="L200" s="11">
        <v>2</v>
      </c>
      <c r="M200" s="11">
        <v>2</v>
      </c>
    </row>
    <row r="201" spans="1:13" ht="38.25" x14ac:dyDescent="0.2">
      <c r="A201" s="9">
        <v>200</v>
      </c>
      <c r="B201" s="11" t="s">
        <v>84</v>
      </c>
      <c r="C201" s="11" t="s">
        <v>84</v>
      </c>
      <c r="D201" s="11" t="s">
        <v>2529</v>
      </c>
      <c r="E201" s="21" t="s">
        <v>3484</v>
      </c>
      <c r="F201" s="11" t="s">
        <v>84</v>
      </c>
      <c r="G201" s="11" t="s">
        <v>80</v>
      </c>
      <c r="H201" s="11">
        <v>5</v>
      </c>
      <c r="I201" s="11">
        <v>5</v>
      </c>
      <c r="J201" s="11">
        <v>1</v>
      </c>
      <c r="K201" s="11">
        <v>1</v>
      </c>
      <c r="L201" s="11">
        <v>5</v>
      </c>
      <c r="M201" s="11">
        <v>5</v>
      </c>
    </row>
    <row r="202" spans="1:13" ht="38.25" x14ac:dyDescent="0.2">
      <c r="A202" s="9">
        <v>201</v>
      </c>
      <c r="B202" s="11" t="s">
        <v>84</v>
      </c>
      <c r="C202" s="11" t="s">
        <v>84</v>
      </c>
      <c r="D202" s="11" t="s">
        <v>2541</v>
      </c>
      <c r="E202" s="21" t="s">
        <v>1043</v>
      </c>
      <c r="F202" s="11" t="s">
        <v>84</v>
      </c>
      <c r="G202" s="11" t="s">
        <v>80</v>
      </c>
      <c r="H202" s="11">
        <v>2</v>
      </c>
      <c r="I202" s="11">
        <v>2</v>
      </c>
      <c r="J202" s="11">
        <v>2</v>
      </c>
      <c r="K202" s="11">
        <v>2</v>
      </c>
      <c r="L202" s="11">
        <v>1</v>
      </c>
      <c r="M202" s="11">
        <v>1</v>
      </c>
    </row>
    <row r="203" spans="1:13" ht="38.25" x14ac:dyDescent="0.2">
      <c r="A203" s="9">
        <v>202</v>
      </c>
      <c r="B203" s="11" t="s">
        <v>84</v>
      </c>
      <c r="C203" s="11" t="s">
        <v>84</v>
      </c>
      <c r="D203" s="11" t="s">
        <v>2551</v>
      </c>
      <c r="E203" s="21" t="s">
        <v>3485</v>
      </c>
      <c r="F203" s="11" t="s">
        <v>84</v>
      </c>
      <c r="G203" s="11" t="s">
        <v>80</v>
      </c>
      <c r="H203" s="11">
        <v>3</v>
      </c>
      <c r="I203" s="11">
        <v>3</v>
      </c>
      <c r="J203" s="11">
        <v>5</v>
      </c>
      <c r="K203" s="11">
        <v>5</v>
      </c>
      <c r="L203" s="11">
        <v>4</v>
      </c>
      <c r="M203" s="11">
        <v>4</v>
      </c>
    </row>
    <row r="204" spans="1:13" x14ac:dyDescent="0.2">
      <c r="A204" s="9">
        <v>203</v>
      </c>
      <c r="B204" s="11" t="s">
        <v>82</v>
      </c>
      <c r="C204" s="11" t="s">
        <v>82</v>
      </c>
      <c r="F204" s="11" t="s">
        <v>84</v>
      </c>
      <c r="G204" s="11" t="s">
        <v>80</v>
      </c>
      <c r="H204" s="11">
        <v>5</v>
      </c>
      <c r="I204" s="11">
        <v>3</v>
      </c>
      <c r="J204" s="11">
        <v>2</v>
      </c>
      <c r="K204" s="11">
        <v>1</v>
      </c>
      <c r="L204" s="11">
        <v>3</v>
      </c>
      <c r="M204" s="11">
        <v>3</v>
      </c>
    </row>
    <row r="205" spans="1:13" x14ac:dyDescent="0.2">
      <c r="A205" s="9">
        <v>204</v>
      </c>
      <c r="B205" s="11" t="s">
        <v>84</v>
      </c>
      <c r="C205" s="11" t="s">
        <v>84</v>
      </c>
      <c r="F205" s="11" t="s">
        <v>84</v>
      </c>
      <c r="G205" s="11" t="s">
        <v>80</v>
      </c>
      <c r="H205" s="11">
        <v>5</v>
      </c>
      <c r="I205" s="11">
        <v>5</v>
      </c>
      <c r="J205" s="11">
        <v>2</v>
      </c>
      <c r="K205" s="11">
        <v>1</v>
      </c>
      <c r="L205" s="11">
        <v>5</v>
      </c>
      <c r="M205" s="11">
        <v>5</v>
      </c>
    </row>
    <row r="206" spans="1:13" x14ac:dyDescent="0.2">
      <c r="A206" s="9">
        <v>205</v>
      </c>
      <c r="B206" s="11" t="s">
        <v>84</v>
      </c>
      <c r="C206" s="11" t="s">
        <v>84</v>
      </c>
      <c r="F206" s="11" t="s">
        <v>84</v>
      </c>
      <c r="G206" s="11" t="s">
        <v>80</v>
      </c>
      <c r="H206" s="11">
        <v>2</v>
      </c>
      <c r="I206" s="11">
        <v>1</v>
      </c>
      <c r="J206" s="11">
        <v>5</v>
      </c>
      <c r="K206" s="11">
        <v>5</v>
      </c>
      <c r="L206" s="11">
        <v>4</v>
      </c>
      <c r="M206" s="11">
        <v>2</v>
      </c>
    </row>
    <row r="207" spans="1:13" ht="38.25" x14ac:dyDescent="0.2">
      <c r="A207" s="9">
        <v>206</v>
      </c>
      <c r="B207" s="33" t="s">
        <v>84</v>
      </c>
      <c r="C207" s="33" t="s">
        <v>84</v>
      </c>
      <c r="D207" s="33" t="s">
        <v>2562</v>
      </c>
      <c r="E207" s="45" t="s">
        <v>3535</v>
      </c>
      <c r="F207" s="33" t="s">
        <v>84</v>
      </c>
      <c r="G207" s="33" t="s">
        <v>80</v>
      </c>
      <c r="H207" s="33">
        <v>1</v>
      </c>
      <c r="I207" s="33">
        <v>1</v>
      </c>
      <c r="J207" s="33">
        <v>1</v>
      </c>
      <c r="K207" s="33">
        <v>1</v>
      </c>
      <c r="L207" s="33">
        <v>3</v>
      </c>
      <c r="M207" s="33">
        <v>5</v>
      </c>
    </row>
    <row r="208" spans="1:13" x14ac:dyDescent="0.2">
      <c r="A208" s="9">
        <v>207</v>
      </c>
      <c r="B208" s="11" t="s">
        <v>82</v>
      </c>
      <c r="C208" s="11" t="s">
        <v>84</v>
      </c>
      <c r="F208" s="11" t="s">
        <v>84</v>
      </c>
      <c r="G208" s="11" t="s">
        <v>80</v>
      </c>
      <c r="H208" s="11">
        <v>4</v>
      </c>
      <c r="I208" s="11">
        <v>2</v>
      </c>
      <c r="J208" s="11">
        <v>1</v>
      </c>
      <c r="K208" s="11">
        <v>1</v>
      </c>
      <c r="L208" s="11">
        <v>4</v>
      </c>
      <c r="M208" s="11">
        <v>2</v>
      </c>
    </row>
    <row r="209" spans="1:13" x14ac:dyDescent="0.2">
      <c r="A209" s="9">
        <v>208</v>
      </c>
      <c r="B209" s="11" t="s">
        <v>84</v>
      </c>
      <c r="C209" s="11" t="s">
        <v>84</v>
      </c>
      <c r="F209" s="11" t="s">
        <v>84</v>
      </c>
      <c r="G209" s="11" t="s">
        <v>80</v>
      </c>
      <c r="H209" s="11">
        <v>5</v>
      </c>
      <c r="I209" s="11">
        <v>5</v>
      </c>
      <c r="J209" s="11">
        <v>5</v>
      </c>
      <c r="K209" s="11">
        <v>5</v>
      </c>
      <c r="L209" s="11">
        <v>5</v>
      </c>
      <c r="M209" s="11">
        <v>5</v>
      </c>
    </row>
    <row r="210" spans="1:13" x14ac:dyDescent="0.2">
      <c r="A210" s="9">
        <v>209</v>
      </c>
      <c r="B210" s="11" t="s">
        <v>145</v>
      </c>
      <c r="C210" s="11" t="s">
        <v>84</v>
      </c>
      <c r="F210" s="11" t="s">
        <v>84</v>
      </c>
      <c r="G210" s="11" t="s">
        <v>80</v>
      </c>
      <c r="H210" s="11">
        <v>2</v>
      </c>
      <c r="I210" s="11">
        <v>2</v>
      </c>
      <c r="J210" s="11">
        <v>2</v>
      </c>
      <c r="K210" s="11">
        <v>2</v>
      </c>
      <c r="L210" s="11">
        <v>5</v>
      </c>
      <c r="M210" s="11">
        <v>5</v>
      </c>
    </row>
    <row r="211" spans="1:13" ht="51" x14ac:dyDescent="0.2">
      <c r="A211" s="9">
        <v>210</v>
      </c>
      <c r="B211" s="11" t="s">
        <v>84</v>
      </c>
      <c r="C211" s="11" t="s">
        <v>84</v>
      </c>
      <c r="D211" s="11" t="s">
        <v>2588</v>
      </c>
      <c r="E211" s="21" t="s">
        <v>3536</v>
      </c>
      <c r="F211" s="11" t="s">
        <v>84</v>
      </c>
      <c r="G211" s="11" t="s">
        <v>80</v>
      </c>
      <c r="H211" s="11">
        <v>3</v>
      </c>
      <c r="I211" s="11">
        <v>3</v>
      </c>
      <c r="J211" s="11">
        <v>3</v>
      </c>
      <c r="K211" s="11">
        <v>1</v>
      </c>
      <c r="L211" s="11">
        <v>3</v>
      </c>
      <c r="M211" s="11">
        <v>3</v>
      </c>
    </row>
    <row r="212" spans="1:13" ht="25.5" x14ac:dyDescent="0.2">
      <c r="A212" s="9">
        <v>211</v>
      </c>
      <c r="B212" s="11" t="s">
        <v>84</v>
      </c>
      <c r="C212" s="11" t="s">
        <v>84</v>
      </c>
      <c r="D212" s="11" t="s">
        <v>2597</v>
      </c>
      <c r="E212" s="21" t="s">
        <v>3537</v>
      </c>
      <c r="F212" s="11" t="s">
        <v>84</v>
      </c>
      <c r="G212" s="11" t="s">
        <v>80</v>
      </c>
      <c r="H212" s="11">
        <v>2</v>
      </c>
      <c r="I212" s="11">
        <v>3</v>
      </c>
      <c r="J212" s="11">
        <v>5</v>
      </c>
      <c r="K212" s="11">
        <v>5</v>
      </c>
      <c r="L212" s="11">
        <v>2</v>
      </c>
      <c r="M212" s="11">
        <v>3</v>
      </c>
    </row>
    <row r="213" spans="1:13" ht="25.5" x14ac:dyDescent="0.2">
      <c r="A213" s="9">
        <v>212</v>
      </c>
      <c r="B213" s="11" t="s">
        <v>84</v>
      </c>
      <c r="C213" s="11" t="s">
        <v>84</v>
      </c>
      <c r="D213" s="11" t="s">
        <v>2617</v>
      </c>
      <c r="E213" s="21" t="s">
        <v>3487</v>
      </c>
      <c r="F213" s="11" t="s">
        <v>84</v>
      </c>
      <c r="G213" s="11" t="s">
        <v>80</v>
      </c>
      <c r="H213" s="11">
        <v>5</v>
      </c>
      <c r="I213" s="11">
        <v>1</v>
      </c>
      <c r="J213" s="11">
        <v>3</v>
      </c>
      <c r="K213" s="11">
        <v>4</v>
      </c>
      <c r="L213" s="11">
        <v>5</v>
      </c>
      <c r="M213" s="11">
        <v>1</v>
      </c>
    </row>
    <row r="214" spans="1:13" x14ac:dyDescent="0.2">
      <c r="A214" s="9">
        <v>213</v>
      </c>
      <c r="B214" s="11" t="s">
        <v>82</v>
      </c>
      <c r="C214" s="11" t="s">
        <v>84</v>
      </c>
      <c r="D214" s="11" t="s">
        <v>2630</v>
      </c>
      <c r="F214" s="11" t="s">
        <v>84</v>
      </c>
      <c r="G214" s="11" t="s">
        <v>80</v>
      </c>
      <c r="H214" s="11">
        <v>5</v>
      </c>
      <c r="I214" s="11">
        <v>5</v>
      </c>
      <c r="J214" s="11">
        <v>1</v>
      </c>
      <c r="K214" s="11">
        <v>1</v>
      </c>
      <c r="L214" s="11">
        <v>5</v>
      </c>
      <c r="M214" s="11">
        <v>5</v>
      </c>
    </row>
    <row r="215" spans="1:13" ht="76.5" x14ac:dyDescent="0.2">
      <c r="A215" s="9">
        <v>214</v>
      </c>
      <c r="B215" s="11" t="s">
        <v>82</v>
      </c>
      <c r="C215" s="11" t="s">
        <v>84</v>
      </c>
      <c r="D215" s="11" t="s">
        <v>2637</v>
      </c>
      <c r="E215" s="21" t="s">
        <v>3488</v>
      </c>
      <c r="F215" s="11" t="s">
        <v>84</v>
      </c>
      <c r="G215" s="11" t="s">
        <v>80</v>
      </c>
      <c r="H215" s="11">
        <v>5</v>
      </c>
      <c r="I215" s="11">
        <v>5</v>
      </c>
      <c r="J215" s="11">
        <v>2</v>
      </c>
      <c r="K215" s="11">
        <v>1</v>
      </c>
      <c r="L215" s="11">
        <v>3</v>
      </c>
      <c r="M215" s="11">
        <v>3</v>
      </c>
    </row>
    <row r="216" spans="1:13" x14ac:dyDescent="0.2">
      <c r="A216" s="9">
        <v>215</v>
      </c>
      <c r="B216" s="33" t="s">
        <v>80</v>
      </c>
      <c r="C216" s="33" t="s">
        <v>80</v>
      </c>
      <c r="D216" s="33"/>
      <c r="E216" s="45"/>
      <c r="F216" s="33" t="s">
        <v>80</v>
      </c>
      <c r="G216" s="33" t="s">
        <v>80</v>
      </c>
      <c r="H216" s="33"/>
      <c r="I216" s="33"/>
      <c r="J216" s="33"/>
      <c r="K216" s="33"/>
      <c r="L216" s="33"/>
      <c r="M216" s="33"/>
    </row>
    <row r="217" spans="1:13" ht="127.5" x14ac:dyDescent="0.2">
      <c r="A217" s="9">
        <v>216</v>
      </c>
      <c r="B217" s="11" t="s">
        <v>82</v>
      </c>
      <c r="C217" s="11" t="s">
        <v>84</v>
      </c>
      <c r="D217" s="11" t="s">
        <v>2646</v>
      </c>
      <c r="E217" s="21" t="s">
        <v>3489</v>
      </c>
      <c r="F217" s="11" t="s">
        <v>84</v>
      </c>
      <c r="G217" s="11" t="s">
        <v>80</v>
      </c>
      <c r="H217" s="11">
        <v>2</v>
      </c>
      <c r="I217" s="11">
        <v>1</v>
      </c>
      <c r="J217" s="11">
        <v>2</v>
      </c>
      <c r="K217" s="11">
        <v>2</v>
      </c>
      <c r="L217" s="11">
        <v>4</v>
      </c>
      <c r="M217" s="11">
        <v>5</v>
      </c>
    </row>
    <row r="218" spans="1:13" x14ac:dyDescent="0.2">
      <c r="A218" s="9">
        <v>217</v>
      </c>
      <c r="B218" s="11" t="s">
        <v>84</v>
      </c>
      <c r="C218" s="11" t="s">
        <v>84</v>
      </c>
      <c r="F218" s="11" t="s">
        <v>84</v>
      </c>
      <c r="G218" s="11" t="s">
        <v>80</v>
      </c>
      <c r="H218" s="11">
        <v>1</v>
      </c>
      <c r="I218" s="11">
        <v>1</v>
      </c>
      <c r="J218" s="11">
        <v>1</v>
      </c>
      <c r="K218" s="11">
        <v>1</v>
      </c>
      <c r="L218" s="11">
        <v>1</v>
      </c>
      <c r="M218" s="11">
        <v>1</v>
      </c>
    </row>
    <row r="219" spans="1:13" ht="25.5" x14ac:dyDescent="0.2">
      <c r="A219" s="9">
        <v>218</v>
      </c>
      <c r="B219" s="11" t="s">
        <v>84</v>
      </c>
      <c r="C219" s="11" t="s">
        <v>84</v>
      </c>
      <c r="D219" s="11" t="s">
        <v>2659</v>
      </c>
      <c r="E219" s="21" t="s">
        <v>3490</v>
      </c>
      <c r="F219" s="11" t="s">
        <v>84</v>
      </c>
      <c r="G219" s="11" t="s">
        <v>80</v>
      </c>
      <c r="H219" s="11">
        <v>1</v>
      </c>
      <c r="I219" s="11">
        <v>3</v>
      </c>
      <c r="J219" s="11">
        <v>2</v>
      </c>
      <c r="K219" s="11">
        <v>3</v>
      </c>
      <c r="L219" s="11">
        <v>2</v>
      </c>
      <c r="M219" s="11">
        <v>3</v>
      </c>
    </row>
    <row r="220" spans="1:13" x14ac:dyDescent="0.2">
      <c r="A220" s="9">
        <v>219</v>
      </c>
      <c r="B220" s="11" t="s">
        <v>84</v>
      </c>
      <c r="C220" s="11" t="s">
        <v>82</v>
      </c>
      <c r="F220" s="11" t="s">
        <v>84</v>
      </c>
      <c r="G220" s="11" t="s">
        <v>80</v>
      </c>
      <c r="H220" s="11">
        <v>3</v>
      </c>
      <c r="I220" s="11">
        <v>3</v>
      </c>
      <c r="J220" s="11">
        <v>3</v>
      </c>
      <c r="K220" s="11">
        <v>3</v>
      </c>
      <c r="L220" s="11">
        <v>3</v>
      </c>
      <c r="M220" s="11">
        <v>3</v>
      </c>
    </row>
    <row r="221" spans="1:13" ht="63.75" x14ac:dyDescent="0.2">
      <c r="A221" s="9">
        <v>220</v>
      </c>
      <c r="B221" s="11" t="s">
        <v>84</v>
      </c>
      <c r="C221" s="11" t="s">
        <v>84</v>
      </c>
      <c r="D221" s="11" t="s">
        <v>4194</v>
      </c>
      <c r="E221" s="21" t="s">
        <v>3491</v>
      </c>
      <c r="F221" s="11" t="s">
        <v>84</v>
      </c>
      <c r="G221" s="11" t="s">
        <v>80</v>
      </c>
      <c r="H221" s="11">
        <v>1</v>
      </c>
      <c r="I221" s="11">
        <v>1</v>
      </c>
      <c r="J221" s="11">
        <v>1</v>
      </c>
      <c r="K221" s="11">
        <v>1</v>
      </c>
      <c r="L221" s="11">
        <v>2</v>
      </c>
      <c r="M221" s="11">
        <v>2</v>
      </c>
    </row>
    <row r="222" spans="1:13" x14ac:dyDescent="0.2">
      <c r="A222" s="9">
        <v>221</v>
      </c>
      <c r="B222" s="11" t="s">
        <v>82</v>
      </c>
      <c r="C222" s="11" t="s">
        <v>84</v>
      </c>
      <c r="F222" s="11" t="s">
        <v>84</v>
      </c>
      <c r="G222" s="11" t="s">
        <v>80</v>
      </c>
      <c r="H222" s="11">
        <v>4</v>
      </c>
      <c r="I222" s="11">
        <v>1</v>
      </c>
      <c r="J222" s="11">
        <v>3</v>
      </c>
      <c r="K222" s="11">
        <v>1</v>
      </c>
      <c r="L222" s="11">
        <v>3</v>
      </c>
      <c r="M222" s="11">
        <v>1</v>
      </c>
    </row>
    <row r="223" spans="1:13" x14ac:dyDescent="0.2">
      <c r="A223" s="9">
        <v>222</v>
      </c>
      <c r="B223" s="11" t="s">
        <v>82</v>
      </c>
      <c r="C223" s="11" t="s">
        <v>84</v>
      </c>
      <c r="F223" s="11" t="s">
        <v>84</v>
      </c>
      <c r="G223" s="11" t="s">
        <v>80</v>
      </c>
      <c r="H223" s="11">
        <v>3</v>
      </c>
      <c r="I223" s="11">
        <v>2</v>
      </c>
      <c r="J223" s="11">
        <v>3</v>
      </c>
      <c r="K223" s="11">
        <v>1</v>
      </c>
      <c r="L223" s="11">
        <v>3</v>
      </c>
      <c r="M223" s="11">
        <v>2</v>
      </c>
    </row>
    <row r="224" spans="1:13" x14ac:dyDescent="0.2">
      <c r="A224" s="9">
        <v>223</v>
      </c>
      <c r="B224" s="33" t="s">
        <v>84</v>
      </c>
      <c r="C224" s="33" t="s">
        <v>84</v>
      </c>
      <c r="D224" s="33"/>
      <c r="E224" s="45"/>
      <c r="F224" s="33" t="s">
        <v>84</v>
      </c>
      <c r="G224" s="33" t="s">
        <v>80</v>
      </c>
      <c r="H224" s="33">
        <v>3</v>
      </c>
      <c r="I224" s="33">
        <v>3</v>
      </c>
      <c r="J224" s="33">
        <v>1</v>
      </c>
      <c r="K224" s="33">
        <v>1</v>
      </c>
      <c r="L224" s="33">
        <v>3</v>
      </c>
      <c r="M224" s="33">
        <v>2</v>
      </c>
    </row>
    <row r="225" spans="1:13" ht="102" x14ac:dyDescent="0.2">
      <c r="A225" s="9">
        <v>224</v>
      </c>
      <c r="B225" s="11" t="s">
        <v>84</v>
      </c>
      <c r="C225" s="11" t="s">
        <v>84</v>
      </c>
      <c r="D225" s="11" t="s">
        <v>2699</v>
      </c>
      <c r="E225" s="21" t="s">
        <v>3492</v>
      </c>
      <c r="F225" s="11" t="s">
        <v>84</v>
      </c>
      <c r="G225" s="11" t="s">
        <v>80</v>
      </c>
      <c r="H225" s="11">
        <v>3</v>
      </c>
      <c r="I225" s="11">
        <v>3</v>
      </c>
      <c r="J225" s="11">
        <v>1</v>
      </c>
      <c r="K225" s="11">
        <v>1</v>
      </c>
      <c r="L225" s="11">
        <v>3</v>
      </c>
      <c r="M225" s="11">
        <v>3</v>
      </c>
    </row>
    <row r="226" spans="1:13" ht="25.5" x14ac:dyDescent="0.2">
      <c r="A226" s="9">
        <v>225</v>
      </c>
      <c r="B226" s="11" t="s">
        <v>84</v>
      </c>
      <c r="C226" s="11" t="s">
        <v>84</v>
      </c>
      <c r="D226" s="11" t="s">
        <v>2706</v>
      </c>
      <c r="E226" s="21" t="s">
        <v>3493</v>
      </c>
      <c r="F226" s="11" t="s">
        <v>84</v>
      </c>
      <c r="G226" s="11" t="s">
        <v>80</v>
      </c>
      <c r="H226" s="11">
        <v>3</v>
      </c>
      <c r="I226" s="11">
        <v>2</v>
      </c>
      <c r="J226" s="11">
        <v>1</v>
      </c>
      <c r="K226" s="11">
        <v>1</v>
      </c>
      <c r="L226" s="11">
        <v>3</v>
      </c>
      <c r="M226" s="11">
        <v>2</v>
      </c>
    </row>
    <row r="227" spans="1:13" ht="25.5" x14ac:dyDescent="0.2">
      <c r="A227" s="9">
        <v>226</v>
      </c>
      <c r="B227" s="11" t="s">
        <v>84</v>
      </c>
      <c r="C227" s="11" t="s">
        <v>84</v>
      </c>
      <c r="D227" s="11" t="s">
        <v>2721</v>
      </c>
      <c r="E227" s="21" t="s">
        <v>3494</v>
      </c>
      <c r="F227" s="11" t="s">
        <v>84</v>
      </c>
      <c r="G227" s="11" t="s">
        <v>80</v>
      </c>
      <c r="H227" s="11">
        <v>1</v>
      </c>
      <c r="I227" s="11">
        <v>1</v>
      </c>
      <c r="J227" s="11">
        <v>2</v>
      </c>
      <c r="K227" s="11">
        <v>1</v>
      </c>
      <c r="L227" s="11">
        <v>3</v>
      </c>
      <c r="M227" s="11">
        <v>3</v>
      </c>
    </row>
    <row r="228" spans="1:13" ht="25.5" x14ac:dyDescent="0.2">
      <c r="A228" s="9">
        <v>227</v>
      </c>
      <c r="B228" s="11" t="s">
        <v>84</v>
      </c>
      <c r="C228" s="11" t="s">
        <v>84</v>
      </c>
      <c r="D228" s="64" t="s">
        <v>2730</v>
      </c>
      <c r="E228" s="21" t="s">
        <v>3496</v>
      </c>
      <c r="F228" s="11" t="s">
        <v>84</v>
      </c>
      <c r="G228" s="11" t="s">
        <v>80</v>
      </c>
      <c r="H228" s="11">
        <v>5</v>
      </c>
      <c r="I228" s="11">
        <v>5</v>
      </c>
      <c r="J228" s="11">
        <v>3</v>
      </c>
      <c r="K228" s="11">
        <v>3</v>
      </c>
      <c r="L228" s="11">
        <v>5</v>
      </c>
      <c r="M228" s="11">
        <v>5</v>
      </c>
    </row>
    <row r="229" spans="1:13" x14ac:dyDescent="0.2">
      <c r="A229" s="9">
        <v>228</v>
      </c>
      <c r="B229" s="11" t="s">
        <v>84</v>
      </c>
      <c r="C229" s="11" t="s">
        <v>84</v>
      </c>
      <c r="F229" s="11" t="s">
        <v>84</v>
      </c>
      <c r="G229" s="11" t="s">
        <v>80</v>
      </c>
      <c r="H229" s="11">
        <v>3</v>
      </c>
      <c r="I229" s="11">
        <v>3</v>
      </c>
      <c r="J229" s="11">
        <v>2</v>
      </c>
      <c r="K229" s="11">
        <v>2</v>
      </c>
      <c r="L229" s="11">
        <v>3</v>
      </c>
      <c r="M229" s="11">
        <v>3</v>
      </c>
    </row>
    <row r="230" spans="1:13" x14ac:dyDescent="0.2">
      <c r="A230" s="9">
        <v>229</v>
      </c>
      <c r="B230" s="11" t="s">
        <v>84</v>
      </c>
      <c r="C230" s="11" t="s">
        <v>84</v>
      </c>
      <c r="F230" s="11" t="s">
        <v>84</v>
      </c>
      <c r="G230" s="11" t="s">
        <v>80</v>
      </c>
      <c r="H230" s="11">
        <v>3</v>
      </c>
      <c r="I230" s="11">
        <v>1</v>
      </c>
      <c r="J230" s="11">
        <v>1</v>
      </c>
      <c r="K230" s="11">
        <v>1</v>
      </c>
      <c r="L230" s="11">
        <v>5</v>
      </c>
      <c r="M230" s="11">
        <v>1</v>
      </c>
    </row>
    <row r="231" spans="1:13" x14ac:dyDescent="0.2">
      <c r="A231" s="9">
        <v>230</v>
      </c>
      <c r="B231" s="11" t="s">
        <v>84</v>
      </c>
      <c r="C231" s="11" t="s">
        <v>84</v>
      </c>
      <c r="F231" s="11" t="s">
        <v>84</v>
      </c>
      <c r="G231" s="11" t="s">
        <v>80</v>
      </c>
      <c r="H231" s="11">
        <v>3</v>
      </c>
      <c r="I231" s="11">
        <v>2</v>
      </c>
      <c r="J231" s="11">
        <v>1</v>
      </c>
      <c r="K231" s="11">
        <v>1</v>
      </c>
      <c r="L231" s="11">
        <v>3</v>
      </c>
      <c r="M231" s="11">
        <v>3</v>
      </c>
    </row>
    <row r="232" spans="1:13" ht="204" x14ac:dyDescent="0.2">
      <c r="A232" s="9">
        <v>231</v>
      </c>
      <c r="B232" s="11" t="s">
        <v>84</v>
      </c>
      <c r="C232" s="11" t="s">
        <v>84</v>
      </c>
      <c r="D232" s="11" t="s">
        <v>2751</v>
      </c>
      <c r="E232" s="21" t="s">
        <v>3526</v>
      </c>
      <c r="F232" s="11" t="s">
        <v>84</v>
      </c>
      <c r="G232" s="11" t="s">
        <v>80</v>
      </c>
      <c r="H232" s="11">
        <v>1</v>
      </c>
      <c r="I232" s="11">
        <v>1</v>
      </c>
      <c r="J232" s="11">
        <v>2</v>
      </c>
      <c r="K232" s="11">
        <v>1</v>
      </c>
      <c r="L232" s="11">
        <v>3</v>
      </c>
      <c r="M232" s="11">
        <v>1</v>
      </c>
    </row>
    <row r="233" spans="1:13" x14ac:dyDescent="0.2">
      <c r="A233" s="9">
        <v>232</v>
      </c>
      <c r="B233" s="11" t="s">
        <v>84</v>
      </c>
      <c r="C233" s="11" t="s">
        <v>84</v>
      </c>
      <c r="F233" s="11" t="s">
        <v>84</v>
      </c>
      <c r="G233" s="11" t="s">
        <v>80</v>
      </c>
      <c r="H233" s="11">
        <v>5</v>
      </c>
      <c r="I233" s="11">
        <v>4</v>
      </c>
      <c r="J233" s="11">
        <v>4</v>
      </c>
      <c r="K233" s="11">
        <v>5</v>
      </c>
      <c r="L233" s="11">
        <v>5</v>
      </c>
      <c r="M233" s="11">
        <v>5</v>
      </c>
    </row>
    <row r="234" spans="1:13" x14ac:dyDescent="0.2">
      <c r="A234" s="9">
        <v>233</v>
      </c>
      <c r="B234" s="11" t="s">
        <v>82</v>
      </c>
      <c r="C234" s="11" t="s">
        <v>82</v>
      </c>
      <c r="F234" s="11" t="s">
        <v>84</v>
      </c>
      <c r="G234" s="11" t="s">
        <v>80</v>
      </c>
      <c r="H234" s="11">
        <v>1</v>
      </c>
      <c r="I234" s="11">
        <v>3</v>
      </c>
      <c r="J234" s="11">
        <v>2</v>
      </c>
      <c r="K234" s="11">
        <v>2</v>
      </c>
      <c r="L234" s="11">
        <v>4</v>
      </c>
      <c r="M234" s="11">
        <v>4</v>
      </c>
    </row>
    <row r="235" spans="1:13" x14ac:dyDescent="0.2">
      <c r="A235" s="9">
        <v>234</v>
      </c>
      <c r="B235" s="11" t="s">
        <v>84</v>
      </c>
      <c r="C235" s="11" t="s">
        <v>84</v>
      </c>
      <c r="F235" s="11" t="s">
        <v>84</v>
      </c>
      <c r="G235" s="11" t="s">
        <v>80</v>
      </c>
      <c r="H235" s="11">
        <v>2</v>
      </c>
      <c r="I235" s="11">
        <v>1</v>
      </c>
      <c r="J235" s="11">
        <v>1</v>
      </c>
      <c r="K235" s="11">
        <v>1</v>
      </c>
      <c r="L235" s="11">
        <v>2</v>
      </c>
      <c r="M235" s="11">
        <v>1</v>
      </c>
    </row>
    <row r="236" spans="1:13" ht="114.75" x14ac:dyDescent="0.2">
      <c r="A236" s="9">
        <v>235</v>
      </c>
      <c r="B236" s="11" t="s">
        <v>84</v>
      </c>
      <c r="C236" s="11" t="s">
        <v>84</v>
      </c>
      <c r="D236" s="11" t="s">
        <v>2783</v>
      </c>
      <c r="E236" s="21" t="s">
        <v>3497</v>
      </c>
      <c r="F236" s="11" t="s">
        <v>84</v>
      </c>
      <c r="G236" s="11" t="s">
        <v>80</v>
      </c>
      <c r="H236" s="11">
        <v>3</v>
      </c>
      <c r="I236" s="21">
        <v>1</v>
      </c>
      <c r="J236" s="7">
        <v>2</v>
      </c>
      <c r="K236" s="21">
        <v>1</v>
      </c>
      <c r="L236" s="11">
        <v>4</v>
      </c>
      <c r="M236" s="11">
        <v>3</v>
      </c>
    </row>
    <row r="237" spans="1:13" ht="63.75" x14ac:dyDescent="0.2">
      <c r="A237" s="9">
        <v>236</v>
      </c>
      <c r="B237" s="11" t="s">
        <v>84</v>
      </c>
      <c r="C237" s="11" t="s">
        <v>84</v>
      </c>
      <c r="D237" s="11" t="s">
        <v>2800</v>
      </c>
      <c r="E237" s="21" t="s">
        <v>3538</v>
      </c>
      <c r="F237" s="11" t="s">
        <v>84</v>
      </c>
      <c r="G237" s="11" t="s">
        <v>80</v>
      </c>
      <c r="H237" s="11">
        <v>3</v>
      </c>
      <c r="I237" s="11">
        <v>3</v>
      </c>
      <c r="J237" s="11">
        <v>3</v>
      </c>
      <c r="K237" s="11">
        <v>3</v>
      </c>
      <c r="L237" s="11">
        <v>3</v>
      </c>
      <c r="M237" s="11">
        <v>3</v>
      </c>
    </row>
    <row r="238" spans="1:13" ht="38.25" x14ac:dyDescent="0.2">
      <c r="A238" s="9">
        <v>237</v>
      </c>
      <c r="B238" s="11" t="s">
        <v>84</v>
      </c>
      <c r="C238" s="11" t="s">
        <v>84</v>
      </c>
      <c r="D238" s="11" t="s">
        <v>2812</v>
      </c>
      <c r="E238" s="21" t="s">
        <v>3498</v>
      </c>
      <c r="F238" s="11" t="s">
        <v>84</v>
      </c>
      <c r="G238" s="11" t="s">
        <v>80</v>
      </c>
      <c r="H238" s="11">
        <v>3</v>
      </c>
      <c r="I238" s="11">
        <v>3</v>
      </c>
      <c r="J238" s="11">
        <v>1</v>
      </c>
      <c r="K238" s="11">
        <v>1</v>
      </c>
      <c r="L238" s="11">
        <v>4</v>
      </c>
      <c r="M238" s="11">
        <v>2</v>
      </c>
    </row>
    <row r="239" spans="1:13" ht="25.5" x14ac:dyDescent="0.2">
      <c r="A239" s="9">
        <v>238</v>
      </c>
      <c r="B239" s="11" t="s">
        <v>82</v>
      </c>
      <c r="C239" s="11" t="s">
        <v>84</v>
      </c>
      <c r="D239" s="11" t="s">
        <v>2824</v>
      </c>
      <c r="E239" s="21" t="s">
        <v>3510</v>
      </c>
      <c r="F239" s="11" t="s">
        <v>84</v>
      </c>
      <c r="G239" s="11" t="s">
        <v>80</v>
      </c>
      <c r="H239" s="11">
        <v>5</v>
      </c>
      <c r="I239" s="11">
        <v>5</v>
      </c>
      <c r="J239" s="11">
        <v>1</v>
      </c>
      <c r="K239" s="11">
        <v>1</v>
      </c>
      <c r="L239" s="11">
        <v>5</v>
      </c>
      <c r="M239" s="11">
        <v>3</v>
      </c>
    </row>
    <row r="240" spans="1:13" ht="51" x14ac:dyDescent="0.2">
      <c r="A240" s="9">
        <v>239</v>
      </c>
      <c r="B240" s="11" t="s">
        <v>84</v>
      </c>
      <c r="C240" s="11" t="s">
        <v>84</v>
      </c>
      <c r="D240" s="11" t="s">
        <v>2834</v>
      </c>
      <c r="E240" s="21" t="s">
        <v>3500</v>
      </c>
      <c r="F240" s="11" t="s">
        <v>84</v>
      </c>
      <c r="G240" s="11" t="s">
        <v>80</v>
      </c>
      <c r="H240" s="11">
        <v>2</v>
      </c>
      <c r="I240" s="11">
        <v>3</v>
      </c>
      <c r="J240" s="11">
        <v>1</v>
      </c>
      <c r="K240" s="11">
        <v>1</v>
      </c>
      <c r="L240" s="11">
        <v>5</v>
      </c>
      <c r="M240" s="11">
        <v>5</v>
      </c>
    </row>
    <row r="241" spans="1:13" x14ac:dyDescent="0.2">
      <c r="A241" s="9">
        <v>240</v>
      </c>
      <c r="B241" s="33" t="s">
        <v>80</v>
      </c>
      <c r="C241" s="33" t="s">
        <v>80</v>
      </c>
      <c r="D241" s="33"/>
      <c r="E241" s="45"/>
      <c r="F241" s="33" t="s">
        <v>80</v>
      </c>
      <c r="G241" s="33" t="s">
        <v>80</v>
      </c>
      <c r="H241" s="33"/>
      <c r="I241" s="33"/>
      <c r="J241" s="33"/>
      <c r="K241" s="33"/>
      <c r="L241" s="33"/>
      <c r="M241" s="33"/>
    </row>
    <row r="242" spans="1:13" ht="51" x14ac:dyDescent="0.2">
      <c r="A242" s="9">
        <v>241</v>
      </c>
      <c r="B242" s="11" t="s">
        <v>82</v>
      </c>
      <c r="C242" s="11" t="s">
        <v>84</v>
      </c>
      <c r="D242" s="11" t="s">
        <v>2860</v>
      </c>
      <c r="E242" s="21" t="s">
        <v>3452</v>
      </c>
      <c r="F242" s="11" t="s">
        <v>84</v>
      </c>
      <c r="G242" s="11" t="s">
        <v>80</v>
      </c>
      <c r="H242" s="11">
        <v>1</v>
      </c>
      <c r="I242" s="11">
        <v>1</v>
      </c>
      <c r="J242" s="11">
        <v>1</v>
      </c>
      <c r="K242" s="11">
        <v>1</v>
      </c>
      <c r="L242" s="11">
        <v>3</v>
      </c>
      <c r="M242" s="11">
        <v>2</v>
      </c>
    </row>
    <row r="243" spans="1:13" ht="191.25" x14ac:dyDescent="0.2">
      <c r="A243" s="9">
        <v>242</v>
      </c>
      <c r="B243" s="11" t="s">
        <v>84</v>
      </c>
      <c r="C243" s="11" t="s">
        <v>84</v>
      </c>
      <c r="D243" s="11" t="s">
        <v>2877</v>
      </c>
      <c r="E243" s="21" t="s">
        <v>3501</v>
      </c>
      <c r="F243" s="11" t="s">
        <v>84</v>
      </c>
      <c r="G243" s="11" t="s">
        <v>80</v>
      </c>
      <c r="H243" s="11">
        <v>1</v>
      </c>
      <c r="I243" s="11">
        <v>1</v>
      </c>
      <c r="J243" s="11">
        <v>1</v>
      </c>
      <c r="K243" s="11">
        <v>1</v>
      </c>
      <c r="L243" s="11">
        <v>5</v>
      </c>
      <c r="M243" s="11">
        <v>5</v>
      </c>
    </row>
    <row r="244" spans="1:13" x14ac:dyDescent="0.2">
      <c r="A244" s="9">
        <v>243</v>
      </c>
      <c r="B244" s="11" t="s">
        <v>84</v>
      </c>
      <c r="C244" s="11" t="s">
        <v>84</v>
      </c>
      <c r="F244" s="11" t="s">
        <v>84</v>
      </c>
      <c r="G244" s="11" t="s">
        <v>80</v>
      </c>
      <c r="H244" s="11">
        <v>4</v>
      </c>
      <c r="I244" s="11">
        <v>5</v>
      </c>
      <c r="J244" s="11">
        <v>4</v>
      </c>
      <c r="K244" s="11">
        <v>5</v>
      </c>
      <c r="L244" s="11">
        <v>2</v>
      </c>
      <c r="M244" s="11">
        <v>2</v>
      </c>
    </row>
    <row r="245" spans="1:13" ht="25.5" x14ac:dyDescent="0.2">
      <c r="A245" s="9">
        <v>244</v>
      </c>
      <c r="B245" s="11" t="s">
        <v>84</v>
      </c>
      <c r="C245" s="11" t="s">
        <v>84</v>
      </c>
      <c r="D245" s="11" t="s">
        <v>2897</v>
      </c>
      <c r="E245" s="21" t="s">
        <v>3539</v>
      </c>
      <c r="F245" s="11" t="s">
        <v>84</v>
      </c>
      <c r="G245" s="11" t="s">
        <v>80</v>
      </c>
      <c r="H245" s="11">
        <v>1</v>
      </c>
      <c r="I245" s="11">
        <v>1</v>
      </c>
      <c r="J245" s="11">
        <v>2</v>
      </c>
      <c r="K245" s="11">
        <v>1</v>
      </c>
      <c r="L245" s="11">
        <v>2</v>
      </c>
      <c r="M245" s="11">
        <v>1</v>
      </c>
    </row>
    <row r="246" spans="1:13" ht="25.5" x14ac:dyDescent="0.2">
      <c r="A246" s="9">
        <v>245</v>
      </c>
      <c r="B246" s="11" t="s">
        <v>84</v>
      </c>
      <c r="C246" s="11" t="s">
        <v>84</v>
      </c>
      <c r="D246" s="11" t="s">
        <v>2914</v>
      </c>
      <c r="E246" s="21" t="s">
        <v>3502</v>
      </c>
      <c r="F246" s="11" t="s">
        <v>84</v>
      </c>
      <c r="G246" s="11" t="s">
        <v>80</v>
      </c>
      <c r="H246" s="11">
        <v>1</v>
      </c>
      <c r="I246" s="11">
        <v>1</v>
      </c>
      <c r="J246" s="11">
        <v>1</v>
      </c>
      <c r="K246" s="11">
        <v>1</v>
      </c>
      <c r="L246" s="11">
        <v>1</v>
      </c>
      <c r="M246" s="11">
        <v>1</v>
      </c>
    </row>
    <row r="247" spans="1:13" x14ac:dyDescent="0.2">
      <c r="A247" s="9">
        <v>246</v>
      </c>
      <c r="B247" s="11" t="s">
        <v>84</v>
      </c>
      <c r="C247" s="11" t="s">
        <v>84</v>
      </c>
      <c r="F247" s="11" t="s">
        <v>84</v>
      </c>
      <c r="G247" s="11" t="s">
        <v>80</v>
      </c>
      <c r="H247" s="11">
        <v>3</v>
      </c>
      <c r="I247" s="11">
        <v>3</v>
      </c>
      <c r="J247" s="11">
        <v>3</v>
      </c>
      <c r="K247" s="11">
        <v>3</v>
      </c>
      <c r="L247" s="11">
        <v>3</v>
      </c>
      <c r="M247" s="11">
        <v>3</v>
      </c>
    </row>
    <row r="248" spans="1:13" ht="63.75" x14ac:dyDescent="0.2">
      <c r="A248" s="9">
        <v>247</v>
      </c>
      <c r="B248" s="11" t="s">
        <v>84</v>
      </c>
      <c r="C248" s="11" t="s">
        <v>84</v>
      </c>
      <c r="D248" s="11" t="s">
        <v>2931</v>
      </c>
      <c r="E248" s="21" t="s">
        <v>3503</v>
      </c>
      <c r="F248" s="11" t="s">
        <v>84</v>
      </c>
      <c r="G248" s="11" t="s">
        <v>80</v>
      </c>
      <c r="H248" s="11">
        <v>5</v>
      </c>
      <c r="I248" s="11">
        <v>3</v>
      </c>
      <c r="J248" s="11">
        <v>3</v>
      </c>
      <c r="K248" s="11">
        <v>1</v>
      </c>
      <c r="L248" s="11">
        <v>4</v>
      </c>
      <c r="M248" s="11">
        <v>3</v>
      </c>
    </row>
    <row r="249" spans="1:13" x14ac:dyDescent="0.2">
      <c r="A249" s="9">
        <v>248</v>
      </c>
      <c r="B249" s="11" t="s">
        <v>82</v>
      </c>
      <c r="C249" s="11" t="s">
        <v>82</v>
      </c>
      <c r="F249" s="11" t="s">
        <v>84</v>
      </c>
      <c r="G249" s="11" t="s">
        <v>80</v>
      </c>
      <c r="H249" s="11">
        <v>3</v>
      </c>
      <c r="I249" s="11">
        <v>3</v>
      </c>
      <c r="J249" s="11">
        <v>3</v>
      </c>
      <c r="K249" s="11">
        <v>3</v>
      </c>
      <c r="L249" s="11">
        <v>2</v>
      </c>
      <c r="M249" s="11">
        <v>3</v>
      </c>
    </row>
    <row r="250" spans="1:13" x14ac:dyDescent="0.2">
      <c r="A250" s="9">
        <v>249</v>
      </c>
      <c r="B250" s="11" t="s">
        <v>84</v>
      </c>
      <c r="C250" s="11" t="s">
        <v>84</v>
      </c>
      <c r="F250" s="11" t="s">
        <v>84</v>
      </c>
      <c r="G250" s="11" t="s">
        <v>80</v>
      </c>
      <c r="H250" s="11">
        <v>1</v>
      </c>
      <c r="I250" s="11">
        <v>3</v>
      </c>
      <c r="J250" s="11">
        <v>2</v>
      </c>
      <c r="K250" s="11">
        <v>3</v>
      </c>
      <c r="L250" s="11">
        <v>4</v>
      </c>
      <c r="M250" s="11">
        <v>5</v>
      </c>
    </row>
    <row r="251" spans="1:13" x14ac:dyDescent="0.2">
      <c r="A251" s="9">
        <v>250</v>
      </c>
      <c r="B251" s="11" t="s">
        <v>82</v>
      </c>
      <c r="C251" s="11" t="s">
        <v>84</v>
      </c>
      <c r="F251" s="11" t="s">
        <v>84</v>
      </c>
      <c r="G251" s="11" t="s">
        <v>80</v>
      </c>
      <c r="H251" s="11">
        <v>2</v>
      </c>
      <c r="I251" s="11">
        <v>2</v>
      </c>
      <c r="J251" s="11">
        <v>2</v>
      </c>
      <c r="K251" s="11">
        <v>2</v>
      </c>
      <c r="L251" s="11">
        <v>3</v>
      </c>
      <c r="M251" s="11">
        <v>3</v>
      </c>
    </row>
    <row r="252" spans="1:13" x14ac:dyDescent="0.2">
      <c r="A252" s="9">
        <v>251</v>
      </c>
      <c r="B252" s="11" t="s">
        <v>82</v>
      </c>
      <c r="C252" s="11" t="s">
        <v>82</v>
      </c>
      <c r="F252" s="11" t="s">
        <v>84</v>
      </c>
      <c r="G252" s="11" t="s">
        <v>80</v>
      </c>
      <c r="H252" s="11">
        <v>2</v>
      </c>
      <c r="I252" s="11">
        <v>2</v>
      </c>
      <c r="J252" s="11">
        <v>1</v>
      </c>
      <c r="K252" s="11">
        <v>1</v>
      </c>
      <c r="L252" s="11">
        <v>2</v>
      </c>
      <c r="M252" s="11">
        <v>2</v>
      </c>
    </row>
    <row r="253" spans="1:13" ht="89.25" x14ac:dyDescent="0.2">
      <c r="A253" s="9">
        <v>252</v>
      </c>
      <c r="B253" s="11" t="s">
        <v>82</v>
      </c>
      <c r="C253" s="11" t="s">
        <v>84</v>
      </c>
      <c r="D253" s="11" t="s">
        <v>4195</v>
      </c>
      <c r="E253" s="21" t="s">
        <v>3504</v>
      </c>
      <c r="F253" s="11" t="s">
        <v>84</v>
      </c>
      <c r="G253" s="11" t="s">
        <v>80</v>
      </c>
      <c r="H253" s="11">
        <v>4</v>
      </c>
      <c r="I253" s="11">
        <v>1</v>
      </c>
      <c r="J253" s="11">
        <v>2</v>
      </c>
      <c r="K253" s="11">
        <v>1</v>
      </c>
      <c r="L253" s="11">
        <v>4</v>
      </c>
      <c r="M253" s="11">
        <v>1</v>
      </c>
    </row>
    <row r="254" spans="1:13" ht="38.25" x14ac:dyDescent="0.2">
      <c r="A254" s="9">
        <v>253</v>
      </c>
      <c r="B254" s="11" t="s">
        <v>84</v>
      </c>
      <c r="C254" s="11" t="s">
        <v>84</v>
      </c>
      <c r="D254" s="11" t="s">
        <v>2966</v>
      </c>
      <c r="E254" s="21" t="s">
        <v>3505</v>
      </c>
      <c r="F254" s="11" t="s">
        <v>84</v>
      </c>
      <c r="G254" s="11" t="s">
        <v>80</v>
      </c>
      <c r="H254" s="11">
        <v>3</v>
      </c>
      <c r="I254" s="11">
        <v>4</v>
      </c>
      <c r="J254" s="11">
        <v>1</v>
      </c>
      <c r="K254" s="11">
        <v>5</v>
      </c>
      <c r="L254" s="11">
        <v>3</v>
      </c>
      <c r="M254" s="11">
        <v>4</v>
      </c>
    </row>
    <row r="255" spans="1:13" x14ac:dyDescent="0.2">
      <c r="A255" s="9">
        <v>254</v>
      </c>
      <c r="B255" s="11" t="s">
        <v>84</v>
      </c>
      <c r="C255" s="11" t="s">
        <v>82</v>
      </c>
      <c r="F255" s="11" t="s">
        <v>84</v>
      </c>
      <c r="G255" s="11" t="s">
        <v>80</v>
      </c>
      <c r="H255" s="11">
        <v>3</v>
      </c>
      <c r="I255" s="11">
        <v>3</v>
      </c>
      <c r="J255" s="11">
        <v>2</v>
      </c>
      <c r="K255" s="11">
        <v>1</v>
      </c>
      <c r="L255" s="11">
        <v>3</v>
      </c>
      <c r="M255" s="11">
        <v>3</v>
      </c>
    </row>
    <row r="256" spans="1:13" ht="51" x14ac:dyDescent="0.2">
      <c r="A256" s="9">
        <v>255</v>
      </c>
      <c r="B256" s="33" t="s">
        <v>84</v>
      </c>
      <c r="C256" s="33" t="s">
        <v>84</v>
      </c>
      <c r="D256" s="33" t="s">
        <v>2981</v>
      </c>
      <c r="E256" s="45" t="s">
        <v>4026</v>
      </c>
      <c r="F256" s="33" t="s">
        <v>84</v>
      </c>
      <c r="G256" s="33" t="s">
        <v>80</v>
      </c>
      <c r="H256" s="33">
        <v>1</v>
      </c>
      <c r="I256" s="33">
        <v>1</v>
      </c>
      <c r="J256" s="33">
        <v>2</v>
      </c>
      <c r="K256" s="33">
        <v>1</v>
      </c>
      <c r="L256" s="33">
        <v>2</v>
      </c>
      <c r="M256" s="33">
        <v>2</v>
      </c>
    </row>
    <row r="257" spans="1:13" x14ac:dyDescent="0.2">
      <c r="A257" s="9">
        <v>256</v>
      </c>
      <c r="B257" s="33" t="s">
        <v>84</v>
      </c>
      <c r="C257" s="33" t="s">
        <v>84</v>
      </c>
      <c r="D257" s="33"/>
      <c r="E257" s="45"/>
      <c r="F257" s="33" t="s">
        <v>84</v>
      </c>
      <c r="G257" s="33" t="s">
        <v>80</v>
      </c>
      <c r="H257" s="33">
        <v>3</v>
      </c>
      <c r="I257" s="33">
        <v>3</v>
      </c>
      <c r="J257" s="33">
        <v>3</v>
      </c>
      <c r="K257" s="33">
        <v>1</v>
      </c>
      <c r="L257" s="33">
        <v>4</v>
      </c>
      <c r="M257" s="33">
        <v>2</v>
      </c>
    </row>
    <row r="258" spans="1:13" ht="38.25" x14ac:dyDescent="0.2">
      <c r="A258" s="9">
        <v>257</v>
      </c>
      <c r="B258" s="11" t="s">
        <v>82</v>
      </c>
      <c r="C258" s="11" t="s">
        <v>84</v>
      </c>
      <c r="D258" s="11" t="s">
        <v>2986</v>
      </c>
      <c r="E258" s="21" t="s">
        <v>3506</v>
      </c>
      <c r="F258" s="11" t="s">
        <v>84</v>
      </c>
      <c r="G258" s="11" t="s">
        <v>80</v>
      </c>
      <c r="H258" s="11">
        <v>5</v>
      </c>
      <c r="I258" s="11">
        <v>3</v>
      </c>
      <c r="J258" s="11">
        <v>1</v>
      </c>
      <c r="K258" s="11">
        <v>1</v>
      </c>
      <c r="L258" s="11">
        <v>5</v>
      </c>
      <c r="M258" s="11">
        <v>3</v>
      </c>
    </row>
    <row r="259" spans="1:13" ht="63.75" x14ac:dyDescent="0.2">
      <c r="A259" s="9">
        <v>258</v>
      </c>
      <c r="B259" s="11" t="s">
        <v>82</v>
      </c>
      <c r="C259" s="11" t="s">
        <v>84</v>
      </c>
      <c r="D259" s="11" t="s">
        <v>2993</v>
      </c>
      <c r="E259" s="21" t="s">
        <v>3507</v>
      </c>
      <c r="F259" s="11" t="s">
        <v>84</v>
      </c>
      <c r="G259" s="11" t="s">
        <v>80</v>
      </c>
      <c r="H259" s="11">
        <v>4</v>
      </c>
      <c r="I259" s="11">
        <v>4</v>
      </c>
      <c r="J259" s="11">
        <v>2</v>
      </c>
      <c r="K259" s="11">
        <v>1</v>
      </c>
      <c r="L259" s="11">
        <v>4</v>
      </c>
      <c r="M259" s="11">
        <v>3</v>
      </c>
    </row>
    <row r="260" spans="1:13" ht="76.5" x14ac:dyDescent="0.2">
      <c r="A260" s="9">
        <v>259</v>
      </c>
      <c r="B260" s="11" t="s">
        <v>84</v>
      </c>
      <c r="C260" s="11" t="s">
        <v>84</v>
      </c>
      <c r="D260" s="11" t="s">
        <v>3054</v>
      </c>
      <c r="E260" s="21" t="s">
        <v>3540</v>
      </c>
      <c r="F260" s="11" t="s">
        <v>84</v>
      </c>
      <c r="G260" s="11" t="s">
        <v>80</v>
      </c>
      <c r="H260" s="11">
        <v>1</v>
      </c>
      <c r="I260" s="11">
        <v>1</v>
      </c>
      <c r="J260" s="11">
        <v>1</v>
      </c>
      <c r="K260" s="11">
        <v>1</v>
      </c>
      <c r="L260" s="11">
        <v>4</v>
      </c>
      <c r="M260" s="11">
        <v>3</v>
      </c>
    </row>
    <row r="261" spans="1:13" ht="51" x14ac:dyDescent="0.2">
      <c r="A261" s="9">
        <v>260</v>
      </c>
      <c r="B261" s="11" t="s">
        <v>84</v>
      </c>
      <c r="C261" s="11" t="s">
        <v>84</v>
      </c>
      <c r="D261" s="11" t="s">
        <v>3066</v>
      </c>
      <c r="E261" s="21" t="s">
        <v>3508</v>
      </c>
      <c r="F261" s="11" t="s">
        <v>84</v>
      </c>
      <c r="G261" s="11" t="s">
        <v>80</v>
      </c>
      <c r="H261" s="11">
        <v>4</v>
      </c>
      <c r="I261" s="11">
        <v>3</v>
      </c>
      <c r="J261" s="11">
        <v>1</v>
      </c>
      <c r="K261" s="11">
        <v>5</v>
      </c>
      <c r="L261" s="11">
        <v>3</v>
      </c>
      <c r="M261" s="11">
        <v>2</v>
      </c>
    </row>
    <row r="262" spans="1:13" ht="38.25" x14ac:dyDescent="0.2">
      <c r="A262" s="9">
        <v>261</v>
      </c>
      <c r="B262" s="11" t="s">
        <v>84</v>
      </c>
      <c r="C262" s="11" t="s">
        <v>84</v>
      </c>
      <c r="D262" s="11" t="s">
        <v>3079</v>
      </c>
      <c r="E262" s="21" t="s">
        <v>3454</v>
      </c>
      <c r="F262" s="11" t="s">
        <v>84</v>
      </c>
      <c r="G262" s="11" t="s">
        <v>80</v>
      </c>
      <c r="H262" s="11">
        <v>2</v>
      </c>
      <c r="I262" s="11">
        <v>2</v>
      </c>
      <c r="J262" s="11">
        <v>1</v>
      </c>
      <c r="K262" s="11">
        <v>1</v>
      </c>
      <c r="L262" s="11">
        <v>3</v>
      </c>
      <c r="M262" s="11">
        <v>3</v>
      </c>
    </row>
    <row r="263" spans="1:13" ht="51" x14ac:dyDescent="0.2">
      <c r="A263" s="9">
        <v>262</v>
      </c>
      <c r="B263" s="11" t="s">
        <v>84</v>
      </c>
      <c r="C263" s="11" t="s">
        <v>84</v>
      </c>
      <c r="D263" s="11" t="s">
        <v>3095</v>
      </c>
      <c r="E263" s="21" t="s">
        <v>3509</v>
      </c>
      <c r="F263" s="11" t="s">
        <v>84</v>
      </c>
      <c r="G263" s="11" t="s">
        <v>80</v>
      </c>
      <c r="H263" s="11">
        <v>4</v>
      </c>
      <c r="I263" s="11">
        <v>3</v>
      </c>
      <c r="J263" s="11">
        <v>4</v>
      </c>
      <c r="K263" s="11">
        <v>1</v>
      </c>
      <c r="L263" s="11">
        <v>4</v>
      </c>
      <c r="M263" s="11">
        <v>2</v>
      </c>
    </row>
    <row r="264" spans="1:13" x14ac:dyDescent="0.2">
      <c r="A264" s="9">
        <v>263</v>
      </c>
      <c r="B264" s="11" t="s">
        <v>84</v>
      </c>
      <c r="C264" s="11" t="s">
        <v>82</v>
      </c>
      <c r="F264" s="11" t="s">
        <v>84</v>
      </c>
      <c r="G264" s="11" t="s">
        <v>80</v>
      </c>
      <c r="H264" s="11">
        <v>4</v>
      </c>
      <c r="I264" s="11">
        <v>4</v>
      </c>
      <c r="J264" s="11">
        <v>1</v>
      </c>
      <c r="K264" s="11">
        <v>1</v>
      </c>
      <c r="L264" s="11">
        <v>3</v>
      </c>
      <c r="M264" s="11">
        <v>3</v>
      </c>
    </row>
    <row r="265" spans="1:13" ht="25.5" x14ac:dyDescent="0.2">
      <c r="A265" s="9">
        <v>264</v>
      </c>
      <c r="B265" s="11" t="s">
        <v>84</v>
      </c>
      <c r="C265" s="11" t="s">
        <v>84</v>
      </c>
      <c r="D265" s="11" t="s">
        <v>3108</v>
      </c>
      <c r="E265" s="21" t="s">
        <v>3510</v>
      </c>
      <c r="F265" s="11" t="s">
        <v>84</v>
      </c>
      <c r="G265" s="11" t="s">
        <v>80</v>
      </c>
      <c r="H265" s="11">
        <v>3</v>
      </c>
      <c r="I265" s="11">
        <v>3</v>
      </c>
      <c r="J265" s="11">
        <v>2</v>
      </c>
      <c r="K265" s="11">
        <v>2</v>
      </c>
      <c r="L265" s="11">
        <v>2</v>
      </c>
      <c r="M265" s="11">
        <v>1</v>
      </c>
    </row>
    <row r="266" spans="1:13" x14ac:dyDescent="0.2">
      <c r="A266" s="9">
        <v>265</v>
      </c>
      <c r="B266" s="11" t="s">
        <v>145</v>
      </c>
      <c r="C266" s="11" t="s">
        <v>84</v>
      </c>
      <c r="F266" s="11" t="s">
        <v>84</v>
      </c>
      <c r="G266" s="11" t="s">
        <v>80</v>
      </c>
      <c r="H266" s="11">
        <v>3</v>
      </c>
      <c r="I266" s="11">
        <v>3</v>
      </c>
      <c r="J266" s="11">
        <v>3</v>
      </c>
      <c r="K266" s="11">
        <v>3</v>
      </c>
      <c r="L266" s="11">
        <v>5</v>
      </c>
      <c r="M266" s="11">
        <v>5</v>
      </c>
    </row>
    <row r="267" spans="1:13" x14ac:dyDescent="0.2">
      <c r="A267" s="9">
        <v>266</v>
      </c>
      <c r="B267" s="11" t="s">
        <v>145</v>
      </c>
      <c r="C267" s="11" t="s">
        <v>82</v>
      </c>
      <c r="F267" s="11" t="s">
        <v>84</v>
      </c>
      <c r="G267" s="11" t="s">
        <v>80</v>
      </c>
      <c r="H267" s="11">
        <v>3</v>
      </c>
      <c r="I267" s="11">
        <v>3</v>
      </c>
      <c r="J267" s="11">
        <v>3</v>
      </c>
      <c r="K267" s="11">
        <v>3</v>
      </c>
      <c r="L267" s="11">
        <v>3</v>
      </c>
      <c r="M267" s="11">
        <v>3</v>
      </c>
    </row>
    <row r="268" spans="1:13" ht="127.5" x14ac:dyDescent="0.2">
      <c r="A268" s="9">
        <v>267</v>
      </c>
      <c r="B268" s="11" t="s">
        <v>145</v>
      </c>
      <c r="C268" s="11" t="s">
        <v>84</v>
      </c>
      <c r="D268" s="11" t="s">
        <v>3122</v>
      </c>
      <c r="E268" s="21" t="s">
        <v>3541</v>
      </c>
      <c r="F268" s="11" t="s">
        <v>84</v>
      </c>
      <c r="G268" s="11" t="s">
        <v>80</v>
      </c>
      <c r="H268" s="11">
        <v>2</v>
      </c>
      <c r="I268" s="11">
        <v>3</v>
      </c>
      <c r="J268" s="11">
        <v>5</v>
      </c>
      <c r="K268" s="11">
        <v>3</v>
      </c>
      <c r="L268" s="11">
        <v>4</v>
      </c>
      <c r="M268" s="11">
        <v>4</v>
      </c>
    </row>
    <row r="269" spans="1:13" x14ac:dyDescent="0.2">
      <c r="A269" s="9">
        <v>268</v>
      </c>
      <c r="B269" s="11" t="s">
        <v>84</v>
      </c>
      <c r="C269" s="11" t="s">
        <v>84</v>
      </c>
      <c r="D269" s="11" t="s">
        <v>3134</v>
      </c>
      <c r="E269" s="21" t="s">
        <v>3539</v>
      </c>
      <c r="F269" s="11" t="s">
        <v>84</v>
      </c>
      <c r="G269" s="11" t="s">
        <v>80</v>
      </c>
      <c r="H269" s="11">
        <v>3</v>
      </c>
      <c r="I269" s="11">
        <v>1</v>
      </c>
      <c r="J269" s="11">
        <v>2</v>
      </c>
      <c r="K269" s="11">
        <v>1</v>
      </c>
      <c r="L269" s="11">
        <v>3</v>
      </c>
      <c r="M269" s="11">
        <v>1</v>
      </c>
    </row>
    <row r="270" spans="1:13" ht="127.5" x14ac:dyDescent="0.2">
      <c r="A270" s="9">
        <v>269</v>
      </c>
      <c r="B270" s="11" t="s">
        <v>82</v>
      </c>
      <c r="C270" s="11" t="s">
        <v>84</v>
      </c>
      <c r="D270" s="11" t="s">
        <v>3138</v>
      </c>
      <c r="E270" s="21" t="s">
        <v>651</v>
      </c>
      <c r="F270" s="11" t="s">
        <v>84</v>
      </c>
      <c r="G270" s="11" t="s">
        <v>80</v>
      </c>
      <c r="H270" s="11">
        <v>3</v>
      </c>
      <c r="I270" s="11">
        <v>3</v>
      </c>
      <c r="J270" s="11">
        <v>1</v>
      </c>
      <c r="K270" s="11">
        <v>1</v>
      </c>
      <c r="L270" s="11">
        <v>3</v>
      </c>
      <c r="M270" s="11">
        <v>3</v>
      </c>
    </row>
    <row r="271" spans="1:13" ht="25.5" x14ac:dyDescent="0.2">
      <c r="A271" s="9">
        <v>270</v>
      </c>
      <c r="B271" s="11" t="s">
        <v>82</v>
      </c>
      <c r="C271" s="11" t="s">
        <v>84</v>
      </c>
      <c r="D271" s="11" t="s">
        <v>3153</v>
      </c>
      <c r="E271" s="21" t="s">
        <v>3511</v>
      </c>
      <c r="F271" s="11" t="s">
        <v>84</v>
      </c>
      <c r="G271" s="11" t="s">
        <v>80</v>
      </c>
      <c r="H271" s="11">
        <v>5</v>
      </c>
      <c r="I271" s="11">
        <v>4</v>
      </c>
      <c r="J271" s="11">
        <v>4</v>
      </c>
      <c r="K271" s="11">
        <v>4</v>
      </c>
      <c r="L271" s="11">
        <v>4</v>
      </c>
      <c r="M271" s="11">
        <v>4</v>
      </c>
    </row>
    <row r="272" spans="1:13" ht="63.75" x14ac:dyDescent="0.2">
      <c r="A272" s="9">
        <v>271</v>
      </c>
      <c r="B272" s="11" t="s">
        <v>84</v>
      </c>
      <c r="C272" s="11" t="s">
        <v>84</v>
      </c>
      <c r="D272" s="11" t="s">
        <v>3164</v>
      </c>
      <c r="E272" s="21" t="s">
        <v>651</v>
      </c>
      <c r="F272" s="11" t="s">
        <v>84</v>
      </c>
      <c r="G272" s="11" t="s">
        <v>80</v>
      </c>
      <c r="H272" s="11">
        <v>5</v>
      </c>
      <c r="I272" s="11">
        <v>5</v>
      </c>
      <c r="J272" s="11">
        <v>1</v>
      </c>
      <c r="K272" s="11">
        <v>1</v>
      </c>
      <c r="L272" s="11">
        <v>5</v>
      </c>
      <c r="M272" s="11">
        <v>5</v>
      </c>
    </row>
    <row r="273" spans="1:13" ht="38.25" x14ac:dyDescent="0.2">
      <c r="A273" s="9">
        <v>272</v>
      </c>
      <c r="B273" s="11" t="s">
        <v>82</v>
      </c>
      <c r="C273" s="11" t="s">
        <v>84</v>
      </c>
      <c r="D273" s="11" t="s">
        <v>3175</v>
      </c>
      <c r="E273" s="21" t="s">
        <v>3481</v>
      </c>
      <c r="F273" s="11" t="s">
        <v>84</v>
      </c>
      <c r="G273" s="11" t="s">
        <v>80</v>
      </c>
      <c r="H273" s="11">
        <v>2</v>
      </c>
      <c r="I273" s="11">
        <v>1</v>
      </c>
      <c r="J273" s="11">
        <v>2</v>
      </c>
      <c r="K273" s="11">
        <v>1</v>
      </c>
      <c r="L273" s="11">
        <v>3</v>
      </c>
      <c r="M273" s="11">
        <v>1</v>
      </c>
    </row>
    <row r="274" spans="1:13" x14ac:dyDescent="0.2">
      <c r="A274" s="9">
        <v>273</v>
      </c>
      <c r="B274" s="11" t="s">
        <v>84</v>
      </c>
      <c r="C274" s="11" t="s">
        <v>84</v>
      </c>
      <c r="D274" s="11" t="s">
        <v>4196</v>
      </c>
      <c r="E274" s="11"/>
      <c r="F274" s="11" t="s">
        <v>84</v>
      </c>
      <c r="G274" s="11" t="s">
        <v>80</v>
      </c>
      <c r="H274" s="11">
        <v>4</v>
      </c>
      <c r="I274" s="11">
        <v>4</v>
      </c>
      <c r="J274" s="11">
        <v>3</v>
      </c>
      <c r="K274" s="11">
        <v>4</v>
      </c>
      <c r="L274" s="11">
        <v>3</v>
      </c>
      <c r="M274" s="11">
        <v>3</v>
      </c>
    </row>
    <row r="275" spans="1:13" ht="51" x14ac:dyDescent="0.2">
      <c r="A275" s="9">
        <v>274</v>
      </c>
      <c r="B275" s="11" t="s">
        <v>84</v>
      </c>
      <c r="C275" s="11" t="s">
        <v>84</v>
      </c>
      <c r="D275" s="11" t="s">
        <v>3587</v>
      </c>
      <c r="E275" s="39" t="s">
        <v>3601</v>
      </c>
      <c r="F275" s="11" t="s">
        <v>84</v>
      </c>
      <c r="G275" s="11" t="s">
        <v>80</v>
      </c>
      <c r="H275" s="11">
        <v>2</v>
      </c>
      <c r="I275" s="11">
        <v>1</v>
      </c>
      <c r="J275" s="11">
        <v>3</v>
      </c>
      <c r="K275" s="11">
        <v>2</v>
      </c>
      <c r="L275" s="11">
        <v>4</v>
      </c>
      <c r="M275" s="11">
        <v>2</v>
      </c>
    </row>
    <row r="276" spans="1:13" ht="76.5" x14ac:dyDescent="0.2">
      <c r="A276" s="9">
        <v>275</v>
      </c>
      <c r="B276" s="11" t="s">
        <v>84</v>
      </c>
      <c r="C276" s="11" t="s">
        <v>84</v>
      </c>
      <c r="D276" s="11" t="s">
        <v>3596</v>
      </c>
      <c r="E276" s="39" t="s">
        <v>3602</v>
      </c>
      <c r="F276" s="11" t="s">
        <v>84</v>
      </c>
      <c r="G276" s="11" t="s">
        <v>80</v>
      </c>
      <c r="H276" s="11">
        <v>2</v>
      </c>
      <c r="I276" s="11">
        <v>1</v>
      </c>
      <c r="J276" s="11">
        <v>2</v>
      </c>
      <c r="K276" s="11">
        <v>1</v>
      </c>
      <c r="L276" s="11">
        <v>2</v>
      </c>
      <c r="M276" s="11">
        <v>1</v>
      </c>
    </row>
    <row r="277" spans="1:13" x14ac:dyDescent="0.2">
      <c r="A277" s="9">
        <v>276</v>
      </c>
      <c r="B277" s="11" t="s">
        <v>145</v>
      </c>
      <c r="C277" s="11" t="s">
        <v>84</v>
      </c>
      <c r="E277" s="11"/>
      <c r="F277" s="11" t="s">
        <v>84</v>
      </c>
      <c r="G277" s="11" t="s">
        <v>80</v>
      </c>
      <c r="H277" s="11">
        <v>5</v>
      </c>
      <c r="I277" s="11">
        <v>5</v>
      </c>
      <c r="J277" s="11">
        <v>3</v>
      </c>
      <c r="K277" s="11">
        <v>3</v>
      </c>
      <c r="L277" s="11">
        <v>5</v>
      </c>
      <c r="M277" s="11">
        <v>4</v>
      </c>
    </row>
  </sheetData>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E0267-22B1-4A58-9CF4-43B0F1F245A6}">
  <dimension ref="A1:BQ277"/>
  <sheetViews>
    <sheetView topLeftCell="E1" zoomScale="70" zoomScaleNormal="70" workbookViewId="0">
      <pane ySplit="1" topLeftCell="A2" activePane="bottomLeft" state="frozen"/>
      <selection activeCell="F1" sqref="F1"/>
      <selection pane="bottomLeft" activeCell="H1" sqref="H1"/>
    </sheetView>
  </sheetViews>
  <sheetFormatPr defaultColWidth="9.140625" defaultRowHeight="12.75" x14ac:dyDescent="0.2"/>
  <cols>
    <col min="1" max="1" width="9.140625" style="9"/>
    <col min="2" max="2" width="13.85546875" style="9" customWidth="1"/>
    <col min="3" max="3" width="12.85546875" style="9" customWidth="1"/>
    <col min="4" max="4" width="13" style="9" customWidth="1"/>
    <col min="5" max="5" width="12.7109375" style="9" customWidth="1"/>
    <col min="6" max="6" width="12.140625" style="9" customWidth="1"/>
    <col min="7" max="7" width="12.7109375" style="9" customWidth="1"/>
    <col min="8" max="8" width="9.140625" style="9"/>
    <col min="9" max="9" width="5" style="9" customWidth="1"/>
    <col min="10" max="10" width="19.7109375" style="9" customWidth="1"/>
    <col min="11" max="11" width="9" style="9" bestFit="1" customWidth="1"/>
    <col min="12" max="12" width="12.28515625" style="9" customWidth="1"/>
    <col min="13" max="13" width="8.42578125" style="9" customWidth="1"/>
    <col min="14" max="25" width="9.140625" style="9"/>
    <col min="26" max="26" width="10" style="9" customWidth="1"/>
    <col min="27" max="27" width="20.42578125" style="9" customWidth="1"/>
    <col min="28" max="28" width="9.140625" style="9"/>
    <col min="29" max="29" width="12.5703125" style="9" customWidth="1"/>
    <col min="30" max="30" width="8.85546875" style="9" customWidth="1"/>
    <col min="31" max="43" width="9.140625" style="9"/>
    <col min="44" max="44" width="19.85546875" style="9" customWidth="1"/>
    <col min="45" max="45" width="9.140625" style="9"/>
    <col min="46" max="46" width="12.140625" style="9" customWidth="1"/>
    <col min="47" max="47" width="7.5703125" style="9" customWidth="1"/>
    <col min="48" max="60" width="9.140625" style="9"/>
    <col min="61" max="61" width="18.7109375" style="9" customWidth="1"/>
    <col min="62" max="62" width="19.140625" style="9" customWidth="1"/>
    <col min="63" max="63" width="18.5703125" style="9" customWidth="1"/>
    <col min="64" max="64" width="20.140625" style="9" customWidth="1"/>
    <col min="65" max="65" width="9.140625" style="9"/>
    <col min="66" max="66" width="21.28515625" style="9" customWidth="1"/>
    <col min="67" max="67" width="19.28515625" style="9" customWidth="1"/>
    <col min="68" max="68" width="21.140625" style="9" customWidth="1"/>
    <col min="69" max="69" width="24" style="9" customWidth="1"/>
    <col min="70" max="16384" width="9.140625" style="9"/>
  </cols>
  <sheetData>
    <row r="1" spans="1:69" s="2" customFormat="1" ht="76.5" x14ac:dyDescent="0.2">
      <c r="B1" s="2" t="s">
        <v>660</v>
      </c>
      <c r="C1" s="2" t="s">
        <v>662</v>
      </c>
      <c r="D1" s="2" t="s">
        <v>661</v>
      </c>
      <c r="E1" s="2" t="s">
        <v>663</v>
      </c>
      <c r="F1" s="2" t="s">
        <v>664</v>
      </c>
      <c r="G1" s="2" t="s">
        <v>665</v>
      </c>
      <c r="I1" s="8"/>
      <c r="J1" s="8" t="s">
        <v>670</v>
      </c>
      <c r="K1" s="8" t="s">
        <v>666</v>
      </c>
      <c r="L1" s="8" t="s">
        <v>667</v>
      </c>
      <c r="M1" s="8"/>
      <c r="N1" s="8" t="s">
        <v>4002</v>
      </c>
      <c r="O1" s="8" t="s">
        <v>4014</v>
      </c>
      <c r="P1" s="8" t="s">
        <v>4003</v>
      </c>
      <c r="Q1" s="8"/>
      <c r="R1" s="8" t="s">
        <v>105</v>
      </c>
      <c r="S1" s="8" t="s">
        <v>324</v>
      </c>
      <c r="T1" s="8" t="s">
        <v>309</v>
      </c>
      <c r="U1" s="8" t="s">
        <v>443</v>
      </c>
      <c r="V1" s="8" t="s">
        <v>107</v>
      </c>
      <c r="W1" s="8" t="s">
        <v>3959</v>
      </c>
      <c r="X1" s="8" t="s">
        <v>377</v>
      </c>
      <c r="Y1" s="8" t="s">
        <v>161</v>
      </c>
      <c r="Z1" s="8"/>
      <c r="AA1" s="8" t="s">
        <v>668</v>
      </c>
      <c r="AB1" s="8" t="s">
        <v>666</v>
      </c>
      <c r="AC1" s="8" t="s">
        <v>667</v>
      </c>
      <c r="AD1" s="8"/>
      <c r="AE1" s="8" t="s">
        <v>4002</v>
      </c>
      <c r="AF1" s="8" t="s">
        <v>4014</v>
      </c>
      <c r="AG1" s="8" t="s">
        <v>4003</v>
      </c>
      <c r="AH1" s="8"/>
      <c r="AI1" s="8" t="s">
        <v>105</v>
      </c>
      <c r="AJ1" s="8" t="s">
        <v>324</v>
      </c>
      <c r="AK1" s="8" t="s">
        <v>309</v>
      </c>
      <c r="AL1" s="8" t="s">
        <v>443</v>
      </c>
      <c r="AM1" s="8" t="s">
        <v>107</v>
      </c>
      <c r="AN1" s="8" t="s">
        <v>3959</v>
      </c>
      <c r="AO1" s="8" t="s">
        <v>377</v>
      </c>
      <c r="AP1" s="8" t="s">
        <v>161</v>
      </c>
      <c r="AQ1" s="8"/>
      <c r="AR1" s="8" t="s">
        <v>669</v>
      </c>
      <c r="AS1" s="8" t="s">
        <v>666</v>
      </c>
      <c r="AT1" s="8" t="s">
        <v>667</v>
      </c>
      <c r="AU1" s="8"/>
      <c r="AV1" s="8" t="s">
        <v>4002</v>
      </c>
      <c r="AW1" s="8" t="s">
        <v>4014</v>
      </c>
      <c r="AX1" s="8" t="s">
        <v>4003</v>
      </c>
      <c r="AY1" s="8"/>
      <c r="AZ1" s="8" t="s">
        <v>105</v>
      </c>
      <c r="BA1" s="8" t="s">
        <v>324</v>
      </c>
      <c r="BB1" s="8" t="s">
        <v>309</v>
      </c>
      <c r="BC1" s="8" t="s">
        <v>443</v>
      </c>
      <c r="BD1" s="8" t="s">
        <v>107</v>
      </c>
      <c r="BE1" s="8" t="s">
        <v>3959</v>
      </c>
      <c r="BF1" s="8" t="s">
        <v>377</v>
      </c>
      <c r="BG1" s="8" t="s">
        <v>161</v>
      </c>
      <c r="BH1" s="8"/>
      <c r="BI1" s="8" t="s">
        <v>666</v>
      </c>
      <c r="BJ1" s="8" t="s">
        <v>670</v>
      </c>
      <c r="BK1" s="8" t="s">
        <v>668</v>
      </c>
      <c r="BL1" s="8" t="s">
        <v>669</v>
      </c>
      <c r="BN1" s="8" t="s">
        <v>667</v>
      </c>
      <c r="BO1" s="8" t="s">
        <v>670</v>
      </c>
      <c r="BP1" s="8" t="s">
        <v>668</v>
      </c>
      <c r="BQ1" s="8" t="s">
        <v>669</v>
      </c>
    </row>
    <row r="2" spans="1:69" x14ac:dyDescent="0.2">
      <c r="A2" s="9">
        <v>1</v>
      </c>
      <c r="B2" s="9">
        <v>5</v>
      </c>
      <c r="C2" s="9">
        <v>5</v>
      </c>
      <c r="D2" s="9">
        <v>3</v>
      </c>
      <c r="E2" s="9">
        <v>3</v>
      </c>
      <c r="F2" s="9">
        <v>5</v>
      </c>
      <c r="G2" s="9">
        <v>5</v>
      </c>
      <c r="J2" s="9" t="s">
        <v>655</v>
      </c>
      <c r="K2" s="11">
        <f>COUNTIF(B$2:B$496,"5")</f>
        <v>46</v>
      </c>
      <c r="L2" s="24">
        <f>COUNTIF(C$2:C$496,"5")</f>
        <v>46</v>
      </c>
      <c r="M2" s="28"/>
      <c r="N2" s="11">
        <f>COUNTIFS($B$2:$B$496,"5",'1'!$F$2:$F$496,"*staff*")</f>
        <v>13</v>
      </c>
      <c r="O2" s="11">
        <f>COUNTIFS($B$2:$B$496,"5",'1'!$F$2:$F$496,"*both*")</f>
        <v>30</v>
      </c>
      <c r="P2" s="11">
        <f>COUNTIFS($B$2:$B$496,"5",'1'!$F$2:$F$496,"*users work*")</f>
        <v>3</v>
      </c>
      <c r="R2" s="9">
        <f>COUNTIFS($B$2:$B$496,"5",'1'!$B$2:$B$496,"*flow cytometry*")</f>
        <v>12</v>
      </c>
      <c r="S2" s="9">
        <f>COUNTIFS($B$2:$B$496,"5",'1'!$B$2:$B$496,"*genomics*")</f>
        <v>7</v>
      </c>
      <c r="T2" s="9">
        <f>COUNTIFS($B$2:$B$496,"5",'1'!$B$2:$B$496,"*histology*")</f>
        <v>1</v>
      </c>
      <c r="U2" s="9">
        <f>COUNTIFS($B$2:$B$496,"5",'1'!$B$2:$B$496,"*metabolomics*")</f>
        <v>1</v>
      </c>
      <c r="V2" s="9">
        <f>COUNTIFS($B$2:$B$496,"5",'1'!$B$2:$B$496,"*microscopy*")</f>
        <v>4</v>
      </c>
      <c r="W2" s="9">
        <f>COUNTIFS($B$2:$B$496,"5",'1'!$B$2:$B$496,"*mouse*")</f>
        <v>2</v>
      </c>
      <c r="X2" s="9">
        <f>COUNTIFS($B$2:$B$496,"5",'1'!$B$2:$B$496,"*protein expression*")</f>
        <v>3</v>
      </c>
      <c r="Y2" s="9">
        <f>COUNTIFS($B$2:$B$496,"5",'1'!$B$2:$B$496,"*proteomics*")</f>
        <v>4</v>
      </c>
      <c r="AA2" s="9" t="s">
        <v>655</v>
      </c>
      <c r="AB2" s="11">
        <f>COUNTIF(D$2:D$496,"5")</f>
        <v>20</v>
      </c>
      <c r="AC2" s="11">
        <f>COUNTIF(E$2:E$496,"5")</f>
        <v>43</v>
      </c>
      <c r="AD2" s="28"/>
      <c r="AE2" s="11">
        <f>COUNTIFS($D$2:$D$496,"5",'1'!$F$2:$F$496,"*staff*")</f>
        <v>8</v>
      </c>
      <c r="AF2" s="11">
        <f>COUNTIFS($D$2:$D$496,"5",'1'!$F$2:$F$496,"*both*")</f>
        <v>12</v>
      </c>
      <c r="AG2" s="11">
        <f>COUNTIFS($D$2:$D$496,"5",'1'!$F$2:$F$496,"*users work*")</f>
        <v>0</v>
      </c>
      <c r="AI2" s="9">
        <f>COUNTIFS($D$2:$D$496,"5",'1'!$B$2:$B$496,"*flow cytometry*")</f>
        <v>1</v>
      </c>
      <c r="AJ2" s="9">
        <f>COUNTIFS($D$2:$D$496,"5",'1'!$B$2:$B$496,"*genomics*")</f>
        <v>3</v>
      </c>
      <c r="AK2" s="9">
        <f>COUNTIFS($D$2:$D$496,"5",'1'!$B$2:$B$496,"*histology*")</f>
        <v>0</v>
      </c>
      <c r="AL2" s="9">
        <f>COUNTIFS($D$2:$D$496,"5",'1'!$B$2:$B$496,"*metabolomics*")</f>
        <v>0</v>
      </c>
      <c r="AM2" s="9">
        <f>COUNTIFS($D$2:$D$496,"5",'1'!$B$2:$B$496,"*microscopy*")</f>
        <v>4</v>
      </c>
      <c r="AN2" s="9">
        <f>COUNTIFS($D$2:$D$496,"5",'1'!$B$2:$B$496,"*mouse*")</f>
        <v>3</v>
      </c>
      <c r="AO2" s="9">
        <f>COUNTIFS($D$2:$D$496,"5",'1'!$B$2:$B$496,"*protein expression*")</f>
        <v>0</v>
      </c>
      <c r="AP2" s="9">
        <f>COUNTIFS($D$2:$D$496,"5",'1'!$B$2:$B$496,"*proteomics*")</f>
        <v>4</v>
      </c>
      <c r="AR2" s="9" t="s">
        <v>655</v>
      </c>
      <c r="AS2" s="11">
        <f>COUNTIF(F$2:F$496,"5")</f>
        <v>64</v>
      </c>
      <c r="AT2" s="11">
        <f>COUNTIF(G$2:G$496,"5")</f>
        <v>48</v>
      </c>
      <c r="AU2" s="28"/>
      <c r="AV2" s="11">
        <f>COUNTIFS($F$2:$F$496,"5",'1'!$F$2:$F$496,"*staff*")</f>
        <v>16</v>
      </c>
      <c r="AW2" s="11">
        <f>COUNTIFS($F$2:$F$496,"5",'1'!$F$2:$F$496,"*both*")</f>
        <v>43</v>
      </c>
      <c r="AX2" s="11">
        <f>COUNTIFS($F$2:$F$496,"5",'1'!$F$2:$F$496,"*users work*")</f>
        <v>5</v>
      </c>
      <c r="AZ2" s="9">
        <f>COUNTIFS($F$2:$F$496,"5",'1'!$B$2:$B$496,"*flow cytometry*")</f>
        <v>16</v>
      </c>
      <c r="BA2" s="9">
        <f>COUNTIFS($F$2:$F$496,"5",'1'!$B$2:$B$496,"*genomics*")</f>
        <v>8</v>
      </c>
      <c r="BB2" s="9">
        <f>COUNTIFS($F$2:$F$496,"5",'1'!$B$2:$B$496,"*histology*")</f>
        <v>2</v>
      </c>
      <c r="BC2" s="9">
        <f>COUNTIFS($F$2:$F$496,"5",'1'!$B$2:$B$496,"*metabolomics*")</f>
        <v>0</v>
      </c>
      <c r="BD2" s="9">
        <f>COUNTIFS($F$2:$F$496,"5",'1'!$B$2:$B$496,"*microscopy*")</f>
        <v>10</v>
      </c>
      <c r="BE2" s="9">
        <f>COUNTIFS($F$2:$F$496,"5",'1'!$B$2:$B$496,"*mouse*")</f>
        <v>2</v>
      </c>
      <c r="BF2" s="9">
        <f>COUNTIFS($F$2:$F$496,"5",'1'!$B$2:$B$496,"*protein expression*")</f>
        <v>5</v>
      </c>
      <c r="BG2" s="9">
        <f>COUNTIFS($F$2:$F$496,"5",'1'!$B$2:$B$496,"*proteomics*")</f>
        <v>8</v>
      </c>
      <c r="BI2" s="9" t="s">
        <v>655</v>
      </c>
      <c r="BJ2" s="11">
        <f>COUNTIF(B$2:B$496,"5")</f>
        <v>46</v>
      </c>
      <c r="BK2" s="11">
        <f>COUNTIF(D$2:D$496,"5")</f>
        <v>20</v>
      </c>
      <c r="BL2" s="11">
        <f>COUNTIF(F$2:F$496,"5")</f>
        <v>64</v>
      </c>
      <c r="BM2" s="11"/>
      <c r="BN2" s="9" t="s">
        <v>655</v>
      </c>
      <c r="BO2" s="11">
        <f>COUNTIF(C$2:C$496,"5")</f>
        <v>46</v>
      </c>
      <c r="BP2" s="11">
        <f>COUNTIF(E$2:E$496,"5")</f>
        <v>43</v>
      </c>
      <c r="BQ2" s="11">
        <f>COUNTIF(G$2:G$496,"5")</f>
        <v>48</v>
      </c>
    </row>
    <row r="3" spans="1:69" x14ac:dyDescent="0.2">
      <c r="A3" s="9">
        <v>2</v>
      </c>
      <c r="B3" s="9">
        <v>1</v>
      </c>
      <c r="C3" s="9">
        <v>1</v>
      </c>
      <c r="D3" s="9">
        <v>1</v>
      </c>
      <c r="E3" s="9">
        <v>1</v>
      </c>
      <c r="F3" s="9">
        <v>1</v>
      </c>
      <c r="G3" s="9">
        <v>1</v>
      </c>
      <c r="J3" s="9" t="s">
        <v>656</v>
      </c>
      <c r="K3" s="11">
        <f>COUNTIF(B$2:B$496,"4")</f>
        <v>36</v>
      </c>
      <c r="L3" s="24">
        <f t="shared" ref="L3" si="0">COUNTIF(C$2:C$496,"4")</f>
        <v>26</v>
      </c>
      <c r="M3" s="28"/>
      <c r="N3" s="11">
        <f>COUNTIFS($B$2:$B$496,"4",'1'!$F$2:$F$496,"*staff*")</f>
        <v>8</v>
      </c>
      <c r="O3" s="11">
        <f>COUNTIFS($B$2:$B$496,"4",'1'!$F$2:$F$496,"*both*")</f>
        <v>22</v>
      </c>
      <c r="P3" s="11">
        <f>COUNTIFS($B$2:$B$496,"4",'1'!$F$2:$F$496,"*users work*")</f>
        <v>6</v>
      </c>
      <c r="R3" s="9">
        <f>COUNTIFS($B$2:$B$496,"4",'1'!$B$2:$B$496,"*flow cytometry*")</f>
        <v>8</v>
      </c>
      <c r="S3" s="9">
        <f>COUNTIFS($B$2:$B$496,"4",'1'!$B$2:$B$496,"*genomics*")</f>
        <v>3</v>
      </c>
      <c r="T3" s="9">
        <f>COUNTIFS($B$2:$B$496,"4",'1'!$B$2:$B$496,"*histology*")</f>
        <v>1</v>
      </c>
      <c r="U3" s="9">
        <f>COUNTIFS($B$2:$B$496,"4",'1'!$B$2:$B$496,"*metabolomics*")</f>
        <v>0</v>
      </c>
      <c r="V3" s="9">
        <f>COUNTIFS($B$2:$B$496,"4",'1'!$B$2:$B$496,"*microscopy*")</f>
        <v>12</v>
      </c>
      <c r="W3" s="9">
        <f>COUNTIFS($B$2:$B$496,"4",'1'!$B$2:$B$496,"*mouse*")</f>
        <v>1</v>
      </c>
      <c r="X3" s="9">
        <f>COUNTIFS($B$2:$B$496,"4",'1'!$B$2:$B$496,"*protein expression*")</f>
        <v>0</v>
      </c>
      <c r="Y3" s="9">
        <f>COUNTIFS($B$2:$B$496,"4",'1'!$B$2:$B$496,"*proteomics*")</f>
        <v>5</v>
      </c>
      <c r="AA3" s="9" t="s">
        <v>656</v>
      </c>
      <c r="AB3" s="11">
        <f>COUNTIF(D$2:D$496,"4")</f>
        <v>26</v>
      </c>
      <c r="AC3" s="11">
        <f>COUNTIF(E$2:E$496,"4")</f>
        <v>11</v>
      </c>
      <c r="AD3" s="28"/>
      <c r="AE3" s="11">
        <f>COUNTIFS($D$2:$D$496,"4",'1'!$F$2:$F$496,"*staff*")</f>
        <v>6</v>
      </c>
      <c r="AF3" s="11">
        <f>COUNTIFS($D$2:$D$496,"4",'1'!$F$2:$F$496,"*both*")</f>
        <v>16</v>
      </c>
      <c r="AG3" s="11">
        <f>COUNTIFS($D$2:$D$496,"4",'1'!$F$2:$F$496,"*users work*")</f>
        <v>4</v>
      </c>
      <c r="AI3" s="9">
        <f>COUNTIFS($D$2:$D$496,"4",'1'!$B$2:$B$496,"*flow cytometry*")</f>
        <v>5</v>
      </c>
      <c r="AJ3" s="9">
        <f>COUNTIFS($D$2:$D$496,"4",'1'!$B$2:$B$496,"*genomics*")</f>
        <v>5</v>
      </c>
      <c r="AK3" s="9">
        <f>COUNTIFS($D$2:$D$496,"4",'1'!$B$2:$B$496,"*histology*")</f>
        <v>2</v>
      </c>
      <c r="AL3" s="9">
        <f>COUNTIFS($D$2:$D$496,"4",'1'!$B$2:$B$496,"*metabolomics*")</f>
        <v>0</v>
      </c>
      <c r="AM3" s="9">
        <f>COUNTIFS($D$2:$D$496,"4",'1'!$B$2:$B$496,"*microscopy*")</f>
        <v>9</v>
      </c>
      <c r="AN3" s="9">
        <f>COUNTIFS($D$2:$D$496,"4",'1'!$B$2:$B$496,"*mouse*")</f>
        <v>0</v>
      </c>
      <c r="AO3" s="9">
        <f>COUNTIFS($D$2:$D$496,"4",'1'!$B$2:$B$496,"*protein expression*")</f>
        <v>0</v>
      </c>
      <c r="AP3" s="9">
        <f>COUNTIFS($D$2:$D$496,"4",'1'!$B$2:$B$496,"*proteomics*")</f>
        <v>2</v>
      </c>
      <c r="AR3" s="9" t="s">
        <v>656</v>
      </c>
      <c r="AS3" s="11">
        <f>COUNTIF(F$2:F$496,"4")</f>
        <v>42</v>
      </c>
      <c r="AT3" s="11">
        <f>COUNTIF(G$2:G$496,"4")</f>
        <v>20</v>
      </c>
      <c r="AU3" s="28"/>
      <c r="AV3" s="11">
        <f>COUNTIFS($F$2:$F$496,"4",'1'!$F$2:$F$496,"*staff*")</f>
        <v>12</v>
      </c>
      <c r="AW3" s="11">
        <f>COUNTIFS($F$2:$F$496,"4",'1'!$F$2:$F$496,"*both*")</f>
        <v>26</v>
      </c>
      <c r="AX3" s="11">
        <f>COUNTIFS($F$2:$F$496,"4",'1'!$F$2:$F$496,"*users work*")</f>
        <v>4</v>
      </c>
      <c r="AZ3" s="9">
        <f>COUNTIFS($F$2:$F$496,"4",'1'!$B$2:$B$496,"*flow cytometry*")</f>
        <v>8</v>
      </c>
      <c r="BA3" s="9">
        <f>COUNTIFS($F$2:$F$496,"4",'1'!$B$2:$B$496,"*genomics*")</f>
        <v>5</v>
      </c>
      <c r="BB3" s="9">
        <f>COUNTIFS($F$2:$F$496,"4",'1'!$B$2:$B$496,"*histology*")</f>
        <v>1</v>
      </c>
      <c r="BC3" s="9">
        <f>COUNTIFS($F$2:$F$496,"4",'1'!$B$2:$B$496,"*metabolomics*")</f>
        <v>1</v>
      </c>
      <c r="BD3" s="9">
        <f>COUNTIFS($F$2:$F$496,"4",'1'!$B$2:$B$496,"*microscopy*")</f>
        <v>10</v>
      </c>
      <c r="BE3" s="9">
        <f>COUNTIFS($F$2:$F$496,"4",'1'!$B$2:$B$496,"*mouse*")</f>
        <v>2</v>
      </c>
      <c r="BF3" s="9">
        <f>COUNTIFS($F$2:$F$496,"4",'1'!$B$2:$B$496,"*protein expression*")</f>
        <v>0</v>
      </c>
      <c r="BG3" s="9">
        <f>COUNTIFS($F$2:$F$496,"4",'1'!$B$2:$B$496,"*proteomics*")</f>
        <v>7</v>
      </c>
      <c r="BI3" s="9" t="s">
        <v>656</v>
      </c>
      <c r="BJ3" s="11">
        <f>COUNTIF(B$2:B$496,"4")</f>
        <v>36</v>
      </c>
      <c r="BK3" s="11">
        <f>COUNTIF(D$2:D$496,"4")</f>
        <v>26</v>
      </c>
      <c r="BL3" s="11">
        <f>COUNTIF(F$2:F$496,"4")</f>
        <v>42</v>
      </c>
      <c r="BM3" s="11"/>
      <c r="BN3" s="9" t="s">
        <v>656</v>
      </c>
      <c r="BO3" s="11">
        <f>COUNTIF(C$2:C$496,"4")</f>
        <v>26</v>
      </c>
      <c r="BP3" s="11">
        <f>COUNTIF(E$2:E$496,"4")</f>
        <v>11</v>
      </c>
      <c r="BQ3" s="11">
        <f>COUNTIF(G$2:G$496,"4")</f>
        <v>20</v>
      </c>
    </row>
    <row r="4" spans="1:69" x14ac:dyDescent="0.2">
      <c r="A4" s="9">
        <v>3</v>
      </c>
      <c r="B4" s="9">
        <v>5</v>
      </c>
      <c r="C4" s="9">
        <v>3</v>
      </c>
      <c r="D4" s="9">
        <v>1</v>
      </c>
      <c r="E4" s="9">
        <v>1</v>
      </c>
      <c r="F4" s="9">
        <v>5</v>
      </c>
      <c r="G4" s="9">
        <v>3</v>
      </c>
      <c r="J4" s="9" t="s">
        <v>657</v>
      </c>
      <c r="K4" s="11">
        <f>COUNTIF(B$2:B$496,"3")</f>
        <v>115</v>
      </c>
      <c r="L4" s="24">
        <f>COUNTIF(C$2:C$496,"3")</f>
        <v>82</v>
      </c>
      <c r="M4" s="28"/>
      <c r="N4" s="11">
        <f>COUNTIFS($B$2:$B$496,"3",'1'!$F$2:$F$496,"*staff*")</f>
        <v>27</v>
      </c>
      <c r="O4" s="11">
        <f>COUNTIFS($B$2:$B$496,"3",'1'!$F$2:$F$496,"*both*")</f>
        <v>73</v>
      </c>
      <c r="P4" s="11">
        <f>COUNTIFS($B$2:$B$496,"3",'1'!$F$2:$F$496,"*users work*")</f>
        <v>15</v>
      </c>
      <c r="R4" s="9">
        <f>COUNTIFS($B$2:$B$496,"3",'1'!$B$2:$B$496,"*flow cytometry*")</f>
        <v>23</v>
      </c>
      <c r="S4" s="9">
        <f>COUNTIFS($B$2:$B$496,"3",'1'!$B$2:$B$496,"*genomics*")</f>
        <v>10</v>
      </c>
      <c r="T4" s="9">
        <f>COUNTIFS($B$2:$B$496,"3",'1'!$B$2:$B$496,"*histology*")</f>
        <v>4</v>
      </c>
      <c r="U4" s="9">
        <f>COUNTIFS($B$2:$B$496,"3",'1'!$B$2:$B$496,"*metabolomics*")</f>
        <v>4</v>
      </c>
      <c r="V4" s="9">
        <f>COUNTIFS($B$2:$B$496,"3",'1'!$B$2:$B$496,"*microscopy*")</f>
        <v>32</v>
      </c>
      <c r="W4" s="9">
        <f>COUNTIFS($B$2:$B$496,"3",'1'!$B$2:$B$496,"*mouse*")</f>
        <v>3</v>
      </c>
      <c r="X4" s="9">
        <f>COUNTIFS($B$2:$B$496,"3",'1'!$B$2:$B$496,"*protein expression*")</f>
        <v>4</v>
      </c>
      <c r="Y4" s="9">
        <f>COUNTIFS($B$2:$B$496,"3",'1'!$B$2:$B$496,"*proteomics*")</f>
        <v>13</v>
      </c>
      <c r="AA4" s="9" t="s">
        <v>657</v>
      </c>
      <c r="AB4" s="11">
        <f>COUNTIF(D$2:D$496,"3")</f>
        <v>64</v>
      </c>
      <c r="AC4" s="11">
        <f>COUNTIF(E$2:E$496,"3")</f>
        <v>28</v>
      </c>
      <c r="AD4" s="28"/>
      <c r="AE4" s="11">
        <f>COUNTIFS($D$2:$D$496,"3",'1'!$F$2:$F$496,"*staff*")</f>
        <v>12</v>
      </c>
      <c r="AF4" s="11">
        <f>COUNTIFS($D$2:$D$496,"3",'1'!$F$2:$F$496,"*both*")</f>
        <v>40</v>
      </c>
      <c r="AG4" s="11">
        <f>COUNTIFS($D$2:$D$496,"3",'1'!$F$2:$F$496,"*users work*")</f>
        <v>12</v>
      </c>
      <c r="AI4" s="9">
        <f>COUNTIFS($D$2:$D$496,"3",'1'!$B$2:$B$496,"*flow cytometry*")</f>
        <v>7</v>
      </c>
      <c r="AJ4" s="9">
        <f>COUNTIFS($D$2:$D$496,"3",'1'!$B$2:$B$496,"*genomics*")</f>
        <v>3</v>
      </c>
      <c r="AK4" s="9">
        <f>COUNTIFS($D$2:$D$496,"3",'1'!$B$2:$B$496,"*histology*")</f>
        <v>5</v>
      </c>
      <c r="AL4" s="9">
        <f>COUNTIFS($D$2:$D$496,"3",'1'!$B$2:$B$496,"*metabolomics*")</f>
        <v>4</v>
      </c>
      <c r="AM4" s="9">
        <f>COUNTIFS($D$2:$D$496,"3",'1'!$B$2:$B$496,"*microscopy*")</f>
        <v>16</v>
      </c>
      <c r="AN4" s="9">
        <f>COUNTIFS($D$2:$D$496,"3",'1'!$B$2:$B$496,"*mouse*")</f>
        <v>6</v>
      </c>
      <c r="AO4" s="9">
        <f>COUNTIFS($D$2:$D$496,"3",'1'!$B$2:$B$496,"*protein expression*")</f>
        <v>2</v>
      </c>
      <c r="AP4" s="9">
        <f>COUNTIFS($D$2:$D$496,"3",'1'!$B$2:$B$496,"*proteomics*")</f>
        <v>5</v>
      </c>
      <c r="AR4" s="9" t="s">
        <v>657</v>
      </c>
      <c r="AS4" s="11">
        <f>COUNTIF(F$2:F$496,"3")</f>
        <v>102</v>
      </c>
      <c r="AT4" s="11">
        <f>COUNTIF(G$2:G$496,"3")</f>
        <v>93</v>
      </c>
      <c r="AU4" s="28"/>
      <c r="AV4" s="11">
        <f>COUNTIFS($F$2:$F$496,"3",'1'!$F$2:$F$496,"*staff*")</f>
        <v>25</v>
      </c>
      <c r="AW4" s="11">
        <f>COUNTIFS($F$2:$F$496,"3",'1'!$F$2:$F$496,"*both*")</f>
        <v>64</v>
      </c>
      <c r="AX4" s="11">
        <f>COUNTIFS($F$2:$F$496,"3",'1'!$F$2:$F$496,"*users work*")</f>
        <v>13</v>
      </c>
      <c r="AZ4" s="9">
        <f>COUNTIFS($F$2:$F$496,"3",'1'!$B$2:$B$496,"*flow cytometry*")</f>
        <v>20</v>
      </c>
      <c r="BA4" s="9">
        <f>COUNTIFS($F$2:$F$496,"3",'1'!$B$2:$B$496,"*genomics*")</f>
        <v>11</v>
      </c>
      <c r="BB4" s="9">
        <f>COUNTIFS($F$2:$F$496,"3",'1'!$B$2:$B$496,"*histology*")</f>
        <v>3</v>
      </c>
      <c r="BC4" s="9">
        <f>COUNTIFS($F$2:$F$496,"3",'1'!$B$2:$B$496,"*metabolomics*")</f>
        <v>4</v>
      </c>
      <c r="BD4" s="9">
        <f>COUNTIFS($F$2:$F$496,"3",'1'!$B$2:$B$496,"*microscopy*")</f>
        <v>22</v>
      </c>
      <c r="BE4" s="9">
        <f>COUNTIFS($F$2:$F$496,"3",'1'!$B$2:$B$496,"*mouse*")</f>
        <v>5</v>
      </c>
      <c r="BF4" s="9">
        <f>COUNTIFS($F$2:$F$496,"3",'1'!$B$2:$B$496,"*protein expression*")</f>
        <v>3</v>
      </c>
      <c r="BG4" s="9">
        <f>COUNTIFS($F$2:$F$496,"3",'1'!$B$2:$B$496,"*proteomics*")</f>
        <v>13</v>
      </c>
      <c r="BI4" s="9" t="s">
        <v>657</v>
      </c>
      <c r="BJ4" s="11">
        <f>COUNTIF(B$2:B$496,"3")</f>
        <v>115</v>
      </c>
      <c r="BK4" s="11">
        <f>COUNTIF(D$2:D$496,"3")</f>
        <v>64</v>
      </c>
      <c r="BL4" s="11">
        <f>COUNTIF(F$2:F$496,"5")</f>
        <v>64</v>
      </c>
      <c r="BM4" s="11"/>
      <c r="BN4" s="9" t="s">
        <v>657</v>
      </c>
      <c r="BO4" s="11">
        <f>COUNTIF(C$2:C$496,"3")</f>
        <v>82</v>
      </c>
      <c r="BP4" s="11">
        <f>COUNTIF(E$2:E$496,"3")</f>
        <v>28</v>
      </c>
      <c r="BQ4" s="11">
        <f>COUNTIF(G$2:G$496,"3")</f>
        <v>93</v>
      </c>
    </row>
    <row r="5" spans="1:69" x14ac:dyDescent="0.2">
      <c r="A5" s="9">
        <v>4</v>
      </c>
      <c r="B5" s="9">
        <v>5</v>
      </c>
      <c r="C5" s="9">
        <v>5</v>
      </c>
      <c r="D5" s="9">
        <v>2</v>
      </c>
      <c r="E5" s="9">
        <v>1</v>
      </c>
      <c r="F5" s="9">
        <v>5</v>
      </c>
      <c r="G5" s="9">
        <v>5</v>
      </c>
      <c r="J5" s="9" t="s">
        <v>658</v>
      </c>
      <c r="K5" s="11">
        <f>COUNTIF(B$2:B$496,"2")</f>
        <v>36</v>
      </c>
      <c r="L5" s="24">
        <f>COUNTIF(C$2:C$496,"2")</f>
        <v>44</v>
      </c>
      <c r="M5" s="28"/>
      <c r="N5" s="11">
        <f>COUNTIFS($B$2:$B$496,"2",'1'!$F$2:$F$496,"*staff*")</f>
        <v>10</v>
      </c>
      <c r="O5" s="11">
        <f>COUNTIFS($B$2:$B$496,"2",'1'!$F$2:$F$496,"*both*")</f>
        <v>24</v>
      </c>
      <c r="P5" s="11">
        <f>COUNTIFS($B$2:$B$496,"2",'1'!$F$2:$F$496,"*users work*")</f>
        <v>2</v>
      </c>
      <c r="R5" s="9">
        <f>COUNTIFS($B$2:$B$496,"2",'1'!$B$2:$B$496,"*flow cytometry*")</f>
        <v>5</v>
      </c>
      <c r="S5" s="9">
        <f>COUNTIFS($B$2:$B$496,"2",'1'!$B$2:$B$496,"*genomics*")</f>
        <v>7</v>
      </c>
      <c r="T5" s="9">
        <f>COUNTIFS($B$2:$B$496,"2",'1'!$B$2:$B$496,"*histology*")</f>
        <v>3</v>
      </c>
      <c r="U5" s="9">
        <f>COUNTIFS($B$2:$B$496,"2",'1'!$B$2:$B$496,"*metabolomics*")</f>
        <v>0</v>
      </c>
      <c r="V5" s="9">
        <f>COUNTIFS($B$2:$B$496,"2",'1'!$B$2:$B$496,"*microscopy*")</f>
        <v>6</v>
      </c>
      <c r="W5" s="9">
        <f>COUNTIFS($B$2:$B$496,"2",'1'!$B$2:$B$496,"*mouse*")</f>
        <v>7</v>
      </c>
      <c r="X5" s="9">
        <f>COUNTIFS($B$2:$B$496,"2",'1'!$B$2:$B$496,"*protein expression*")</f>
        <v>0</v>
      </c>
      <c r="Y5" s="9">
        <f>COUNTIFS($B$2:$B$496,"2",'1'!$B$2:$B$496,"*proteomics*")</f>
        <v>5</v>
      </c>
      <c r="AA5" s="9" t="s">
        <v>658</v>
      </c>
      <c r="AB5" s="11">
        <f>COUNTIF(D$2:D$496,"2")</f>
        <v>71</v>
      </c>
      <c r="AC5" s="11">
        <f>COUNTIF(E$2:E$496,"2")</f>
        <v>25</v>
      </c>
      <c r="AD5" s="28"/>
      <c r="AE5" s="11">
        <f>COUNTIFS($D$2:$D$496,"2",'1'!$F$2:$F$496,"*staff*")</f>
        <v>18</v>
      </c>
      <c r="AF5" s="11">
        <f>COUNTIFS($D$2:$D$496,"2",'1'!$F$2:$F$496,"*both*")</f>
        <v>46</v>
      </c>
      <c r="AG5" s="11">
        <f>COUNTIFS($D$2:$D$496,"2",'1'!$F$2:$F$496,"*users work*")</f>
        <v>7</v>
      </c>
      <c r="AI5" s="9">
        <f>COUNTIFS($D$2:$D$496,"2",'1'!$B$2:$B$496,"*flow cytometry*")</f>
        <v>22</v>
      </c>
      <c r="AJ5" s="9">
        <f>COUNTIFS($D$2:$D$496,"2",'1'!$B$2:$B$496,"*genomics*")</f>
        <v>9</v>
      </c>
      <c r="AK5" s="9">
        <f>COUNTIFS($D$2:$D$496,"2",'1'!$B$2:$B$496,"*histology*")</f>
        <v>3</v>
      </c>
      <c r="AL5" s="9">
        <f>COUNTIFS($D$2:$D$496,"2",'1'!$B$2:$B$496,"*metabolomics*")</f>
        <v>2</v>
      </c>
      <c r="AM5" s="9">
        <f>COUNTIFS($D$2:$D$496,"2",'1'!$B$2:$B$496,"*microscopy*")</f>
        <v>11</v>
      </c>
      <c r="AN5" s="9">
        <f>COUNTIFS($D$2:$D$496,"2",'1'!$B$2:$B$496,"*mouse*")</f>
        <v>2</v>
      </c>
      <c r="AO5" s="9">
        <f>COUNTIFS($D$2:$D$496,"2",'1'!$B$2:$B$496,"*protein expression*")</f>
        <v>5</v>
      </c>
      <c r="AP5" s="9">
        <f>COUNTIFS($D$2:$D$496,"2",'1'!$B$2:$B$496,"*proteomics*")</f>
        <v>7</v>
      </c>
      <c r="AR5" s="9" t="s">
        <v>658</v>
      </c>
      <c r="AS5" s="11">
        <f>COUNTIF(F$2:F$496,"2")</f>
        <v>40</v>
      </c>
      <c r="AT5" s="11">
        <f>COUNTIF(G$2:G$496,"2")</f>
        <v>52</v>
      </c>
      <c r="AU5" s="28"/>
      <c r="AV5" s="11">
        <f>COUNTIFS($F$2:$F$496,"2",'1'!$F$2:$F$496,"*staff*")</f>
        <v>10</v>
      </c>
      <c r="AW5" s="11">
        <f>COUNTIFS($F$2:$F$496,"2",'1'!$F$2:$F$496,"*both*")</f>
        <v>26</v>
      </c>
      <c r="AX5" s="11">
        <f>COUNTIFS($F$2:$F$496,"2",'1'!$F$2:$F$496,"*users work*")</f>
        <v>4</v>
      </c>
      <c r="AZ5" s="9">
        <f>COUNTIFS($F$2:$F$496,"2",'1'!$B$2:$B$496,"*flow cytometry*")</f>
        <v>5</v>
      </c>
      <c r="BA5" s="9">
        <f>COUNTIFS($F$2:$F$496,"2",'1'!$B$2:$B$496,"*genomics*")</f>
        <v>5</v>
      </c>
      <c r="BB5" s="9">
        <f>COUNTIFS($F$2:$F$496,"2",'1'!$B$2:$B$496,"*histology*")</f>
        <v>2</v>
      </c>
      <c r="BC5" s="9">
        <f>COUNTIFS($F$2:$F$496,"2",'1'!$B$2:$B$496,"*metabolomics*")</f>
        <v>1</v>
      </c>
      <c r="BD5" s="9">
        <f>COUNTIFS($F$2:$F$496,"2",'1'!$B$2:$B$496,"*microscopy*")</f>
        <v>12</v>
      </c>
      <c r="BE5" s="9">
        <f>COUNTIFS($F$2:$F$496,"2",'1'!$B$2:$B$496,"*mouse*")</f>
        <v>5</v>
      </c>
      <c r="BF5" s="9">
        <f>COUNTIFS($F$2:$F$496,"2",'1'!$B$2:$B$496,"*protein expression*")</f>
        <v>0</v>
      </c>
      <c r="BG5" s="9">
        <f>COUNTIFS($F$2:$F$496,"2",'1'!$B$2:$B$496,"*proteomics*")</f>
        <v>5</v>
      </c>
      <c r="BI5" s="9" t="s">
        <v>658</v>
      </c>
      <c r="BJ5" s="11">
        <f>COUNTIF(B$2:B$496,"2")</f>
        <v>36</v>
      </c>
      <c r="BK5" s="11">
        <f>COUNTIF(D$2:D$496,"2")</f>
        <v>71</v>
      </c>
      <c r="BL5" s="11">
        <f>COUNTIF(F$2:F$496,"2")</f>
        <v>40</v>
      </c>
      <c r="BM5" s="11"/>
      <c r="BN5" s="9" t="s">
        <v>658</v>
      </c>
      <c r="BO5" s="11">
        <f>COUNTIF(C$2:C$496,"2")</f>
        <v>44</v>
      </c>
      <c r="BP5" s="11">
        <f>COUNTIF(E$2:E$496,"2")</f>
        <v>25</v>
      </c>
      <c r="BQ5" s="11">
        <f>COUNTIF(G$2:G$496,"2")</f>
        <v>52</v>
      </c>
    </row>
    <row r="6" spans="1:69" x14ac:dyDescent="0.2">
      <c r="A6" s="9">
        <v>5</v>
      </c>
      <c r="B6" s="9">
        <v>3</v>
      </c>
      <c r="C6" s="9">
        <v>2</v>
      </c>
      <c r="D6" s="9">
        <v>2</v>
      </c>
      <c r="E6" s="9">
        <v>1</v>
      </c>
      <c r="F6" s="9">
        <v>2</v>
      </c>
      <c r="G6" s="9">
        <v>2</v>
      </c>
      <c r="J6" s="9" t="s">
        <v>659</v>
      </c>
      <c r="K6" s="11">
        <f>COUNTIF(B$2:B$496,"1")</f>
        <v>38</v>
      </c>
      <c r="L6" s="24">
        <f>COUNTIF(C$2:C$496,"1")</f>
        <v>73</v>
      </c>
      <c r="M6" s="28"/>
      <c r="N6" s="11">
        <f>COUNTIFS($B$2:$B$496,"1",'1'!$F$2:$F$496,"*staff*")</f>
        <v>12</v>
      </c>
      <c r="O6" s="11">
        <f>COUNTIFS($B$2:$B$496,"1",'1'!$F$2:$F$496,"*both*")</f>
        <v>24</v>
      </c>
      <c r="P6" s="11">
        <f>COUNTIFS($B$2:$B$496,"1",'1'!$F$2:$F$496,"*users work*")</f>
        <v>2</v>
      </c>
      <c r="R6" s="9">
        <f>COUNTIFS($B$2:$B$496,"1",'1'!$B$2:$B$496,"*flow cytometry*")</f>
        <v>2</v>
      </c>
      <c r="S6" s="9">
        <f>COUNTIFS($B$2:$B$496,"1",'1'!$B$2:$B$496,"*genomics*")</f>
        <v>5</v>
      </c>
      <c r="T6" s="9">
        <f>COUNTIFS($B$2:$B$496,"1",'1'!$B$2:$B$496,"*histology*")</f>
        <v>2</v>
      </c>
      <c r="U6" s="9">
        <f>COUNTIFS($B$2:$B$496,"1",'1'!$B$2:$B$496,"*metabolomics*")</f>
        <v>3</v>
      </c>
      <c r="V6" s="9">
        <f>COUNTIFS($B$2:$B$496,"1",'1'!$B$2:$B$496,"*microscopy*")</f>
        <v>6</v>
      </c>
      <c r="W6" s="9">
        <f>COUNTIFS($B$2:$B$496,"1",'1'!$B$2:$B$496,"*mouse*")</f>
        <v>3</v>
      </c>
      <c r="X6" s="9">
        <f>COUNTIFS($B$2:$B$496,"1",'1'!$B$2:$B$496,"*protein expression*")</f>
        <v>1</v>
      </c>
      <c r="Y6" s="9">
        <f>COUNTIFS($B$2:$B$496,"1",'1'!$B$2:$B$496,"*proteomics*")</f>
        <v>8</v>
      </c>
      <c r="AA6" s="9" t="s">
        <v>659</v>
      </c>
      <c r="AB6" s="11">
        <f>COUNTIF(D$2:D$496,"1")</f>
        <v>90</v>
      </c>
      <c r="AC6" s="11">
        <f>COUNTIF(E$2:E$496,"1")</f>
        <v>164</v>
      </c>
      <c r="AD6" s="28"/>
      <c r="AE6" s="11">
        <f>COUNTIFS($D$2:$D$496,"1",'1'!$F$2:$F$496,"*staff*")</f>
        <v>26</v>
      </c>
      <c r="AF6" s="11">
        <f>COUNTIFS($D$2:$D$496,"1",'1'!$F$2:$F$496,"*both*")</f>
        <v>59</v>
      </c>
      <c r="AG6" s="11">
        <f>COUNTIFS($D$2:$D$496,"1",'1'!$F$2:$F$496,"*users work*")</f>
        <v>5</v>
      </c>
      <c r="AI6" s="9">
        <f>COUNTIFS($D$2:$D$496,"1",'1'!$B$2:$B$496,"*flow cytometry*")</f>
        <v>15</v>
      </c>
      <c r="AJ6" s="9">
        <f>COUNTIFS($D$2:$D$496,"1",'1'!$B$2:$B$496,"*genomics*")</f>
        <v>12</v>
      </c>
      <c r="AK6" s="9">
        <f>COUNTIFS($D$2:$D$496,"1",'1'!$B$2:$B$496,"*histology*")</f>
        <v>1</v>
      </c>
      <c r="AL6" s="9">
        <f>COUNTIFS($D$2:$D$496,"1",'1'!$B$2:$B$496,"*metabolomics*")</f>
        <v>2</v>
      </c>
      <c r="AM6" s="9">
        <f>COUNTIFS($D$2:$D$496,"1",'1'!$B$2:$B$496,"*microscopy*")</f>
        <v>20</v>
      </c>
      <c r="AN6" s="9">
        <f>COUNTIFS($D$2:$D$496,"1",'1'!$B$2:$B$496,"*mouse*")</f>
        <v>5</v>
      </c>
      <c r="AO6" s="9">
        <f>COUNTIFS($D$2:$D$496,"1",'1'!$B$2:$B$496,"*protein expression*")</f>
        <v>1</v>
      </c>
      <c r="AP6" s="9">
        <f>COUNTIFS($D$2:$D$496,"1",'1'!$B$2:$B$496,"*proteomics*")</f>
        <v>17</v>
      </c>
      <c r="AR6" s="9" t="s">
        <v>659</v>
      </c>
      <c r="AS6" s="11">
        <f>COUNTIF(F$2:F$496,"1")</f>
        <v>23</v>
      </c>
      <c r="AT6" s="11">
        <f>COUNTIF(G$2:G$496,"1")</f>
        <v>58</v>
      </c>
      <c r="AU6" s="28"/>
      <c r="AV6" s="11">
        <f>COUNTIFS($F$2:$F$496,"1",'1'!$F$2:$F$496,"*staff*")</f>
        <v>7</v>
      </c>
      <c r="AW6" s="11">
        <f>COUNTIFS($F$2:$F$496,"1",'1'!$F$2:$F$496,"*both*")</f>
        <v>14</v>
      </c>
      <c r="AX6" s="11">
        <f>COUNTIFS($F$2:$F$496,"1",'1'!$F$2:$F$496,"*users work*")</f>
        <v>2</v>
      </c>
      <c r="AZ6" s="9">
        <f>COUNTIFS($F$2:$F$496,"1",'1'!$B$2:$B$496,"*flow cytometry*")</f>
        <v>1</v>
      </c>
      <c r="BA6" s="9">
        <f>COUNTIFS($F$2:$F$496,"1",'1'!$B$2:$B$496,"*genomics*")</f>
        <v>3</v>
      </c>
      <c r="BB6" s="9">
        <f>COUNTIFS($F$2:$F$496,"1",'1'!$B$2:$B$496,"*histology*")</f>
        <v>3</v>
      </c>
      <c r="BC6" s="9">
        <f>COUNTIFS($F$2:$F$496,"1",'1'!$B$2:$B$496,"*metabolomics*")</f>
        <v>2</v>
      </c>
      <c r="BD6" s="9">
        <f>COUNTIFS($F$2:$F$496,"1",'1'!$B$2:$B$496,"*microscopy*")</f>
        <v>6</v>
      </c>
      <c r="BE6" s="9">
        <f>COUNTIFS($F$2:$F$496,"1",'1'!$B$2:$B$496,"*mouse*")</f>
        <v>2</v>
      </c>
      <c r="BF6" s="9">
        <f>COUNTIFS($F$2:$F$496,"1",'1'!$B$2:$B$496,"*protein expression*")</f>
        <v>0</v>
      </c>
      <c r="BG6" s="9">
        <f>COUNTIFS($F$2:$F$496,"1",'1'!$B$2:$B$496,"*proteomics*")</f>
        <v>2</v>
      </c>
      <c r="BI6" s="9" t="s">
        <v>659</v>
      </c>
      <c r="BJ6" s="11">
        <f>COUNTIF(B$2:B$496,"1")</f>
        <v>38</v>
      </c>
      <c r="BK6" s="11">
        <f>COUNTIF(D$2:D$496,"1")</f>
        <v>90</v>
      </c>
      <c r="BL6" s="11">
        <f>COUNTIF(F$2:F$496,"1")</f>
        <v>23</v>
      </c>
      <c r="BM6" s="11"/>
      <c r="BN6" s="9" t="s">
        <v>659</v>
      </c>
      <c r="BO6" s="11">
        <f>COUNTIF(C$2:C$496,"1")</f>
        <v>73</v>
      </c>
      <c r="BP6" s="11">
        <f>COUNTIF(E$2:E$496,"1")</f>
        <v>164</v>
      </c>
      <c r="BQ6" s="11">
        <f>COUNTIF(G$2:G$496,"1")</f>
        <v>58</v>
      </c>
    </row>
    <row r="7" spans="1:69" x14ac:dyDescent="0.2">
      <c r="A7" s="9">
        <v>6</v>
      </c>
      <c r="B7" s="9">
        <v>2</v>
      </c>
      <c r="C7" s="9">
        <v>2</v>
      </c>
      <c r="D7" s="9">
        <v>1</v>
      </c>
      <c r="E7" s="9">
        <v>1</v>
      </c>
      <c r="F7" s="9">
        <v>3</v>
      </c>
      <c r="G7" s="9">
        <v>3</v>
      </c>
      <c r="K7" s="9">
        <f>SUM(K2:K6)</f>
        <v>271</v>
      </c>
      <c r="L7" s="9">
        <f>SUM(L2:L6)</f>
        <v>271</v>
      </c>
      <c r="AB7" s="9">
        <f>SUM(AB2:AB6)</f>
        <v>271</v>
      </c>
      <c r="AC7" s="9">
        <f>SUM(AC2:AC6)</f>
        <v>271</v>
      </c>
      <c r="AS7" s="9">
        <f>SUM(AS2:AS6)</f>
        <v>271</v>
      </c>
      <c r="AT7" s="9">
        <f>SUM(AT2:AT6)</f>
        <v>271</v>
      </c>
    </row>
    <row r="8" spans="1:69" x14ac:dyDescent="0.2">
      <c r="A8" s="9">
        <v>7</v>
      </c>
      <c r="B8" s="9">
        <v>5</v>
      </c>
      <c r="C8" s="9">
        <v>5</v>
      </c>
      <c r="D8" s="9">
        <v>1</v>
      </c>
      <c r="E8" s="9">
        <v>1</v>
      </c>
      <c r="F8" s="9">
        <v>5</v>
      </c>
      <c r="G8" s="9">
        <v>5</v>
      </c>
      <c r="J8" s="9" t="s">
        <v>655</v>
      </c>
      <c r="N8" s="24">
        <f>COUNTIFS($C$2:$C$496,"5",'1'!$F$2:$F$496,"*staff*")</f>
        <v>13</v>
      </c>
      <c r="O8" s="24">
        <f>COUNTIFS($C$2:$C$496,"5",'1'!$F$2:$F$496,"*both*")</f>
        <v>28</v>
      </c>
      <c r="P8" s="24">
        <f>COUNTIFS($C$2:$C$496,"5",'1'!$F$2:$F$496,"*users work*")</f>
        <v>5</v>
      </c>
      <c r="R8" s="58">
        <f>COUNTIFS($C$2:$C$496,"5",'1'!$B$2:$B$496,"*flow cytometry*")</f>
        <v>8</v>
      </c>
      <c r="S8" s="58">
        <f>COUNTIFS($C$2:$C$496,"5",'1'!$B$2:$B$496,"*genomics*")</f>
        <v>9</v>
      </c>
      <c r="T8" s="58">
        <f>COUNTIFS($C$2:$C$496,"5",'1'!$B$2:$B$496,"*histology*")</f>
        <v>1</v>
      </c>
      <c r="U8" s="58">
        <f>COUNTIFS($C$2:$C$496,"5",'1'!$B$2:$B$496,"*metabolomics*")</f>
        <v>2</v>
      </c>
      <c r="V8" s="58">
        <f>COUNTIFS($C$2:$C$496,"5",'1'!$B$2:$B$496,"*microscopy*")</f>
        <v>8</v>
      </c>
      <c r="W8" s="58">
        <f>COUNTIFS($C$2:$C$496,"5",'1'!$B$2:$B$496,"*mouse*")</f>
        <v>3</v>
      </c>
      <c r="X8" s="58">
        <f>COUNTIFS($C$2:$C$496,"5",'1'!$B$2:$B$496,"*protein expression*")</f>
        <v>3</v>
      </c>
      <c r="Y8" s="58">
        <f>COUNTIFS($C$2:$C$496,"5",'1'!$B$2:$B$496,"*proteomics*")</f>
        <v>3</v>
      </c>
      <c r="AE8" s="24">
        <f>COUNTIFS($E$2:$E$496,"5",'1'!$F$2:$F$496,"*staff*")</f>
        <v>12</v>
      </c>
      <c r="AF8" s="24">
        <f>COUNTIFS($E$2:$E$496,"5",'1'!$F$2:$F$496,"*both*")</f>
        <v>27</v>
      </c>
      <c r="AG8" s="24">
        <f>COUNTIFS($E$2:$E$496,"5",'1'!$F$2:$F$496,"*users work*")</f>
        <v>4</v>
      </c>
      <c r="AI8" s="58">
        <f>COUNTIFS($E$2:$E$496,"5",'1'!$B$2:$B$496,"*flow cytometry*")</f>
        <v>6</v>
      </c>
      <c r="AJ8" s="58">
        <f>COUNTIFS($E$2:$E$496,"5",'1'!$B$2:$B$496,"*genomics*")</f>
        <v>6</v>
      </c>
      <c r="AK8" s="58">
        <f>COUNTIFS($E$2:$E$496,"5",'1'!$B$2:$B$496,"*histology*")</f>
        <v>1</v>
      </c>
      <c r="AL8" s="58">
        <f>COUNTIFS($E$2:$E$496,"5",'1'!$B$2:$B$496,"*metabolomics*")</f>
        <v>1</v>
      </c>
      <c r="AM8" s="58">
        <f>COUNTIFS($E$2:$E$496,"5",'1'!$B$2:$B$496,"*microscopy*")</f>
        <v>11</v>
      </c>
      <c r="AN8" s="58">
        <f>COUNTIFS($E$2:$E$496,"5",'1'!$B$2:$B$496,"*mouse*")</f>
        <v>3</v>
      </c>
      <c r="AO8" s="58">
        <f>COUNTIFS($E$2:$E$496,"5",'1'!$B$2:$B$496,"*protein expression*")</f>
        <v>0</v>
      </c>
      <c r="AP8" s="58">
        <f>COUNTIFS($E$2:$E$496,"5",'1'!$B$2:$B$496,"*proteomics*")</f>
        <v>7</v>
      </c>
      <c r="AV8" s="24">
        <f>COUNTIFS($G$2:$G$496,"5",'1'!$F$2:$F$496,"*staff*")</f>
        <v>15</v>
      </c>
      <c r="AW8" s="24">
        <f>COUNTIFS($G$2:$G$496,"5",'1'!$F$2:$F$496,"*both*")</f>
        <v>29</v>
      </c>
      <c r="AX8" s="24">
        <f>COUNTIFS($G$2:$G$496,"5",'1'!$F$2:$F$496,"*users work*")</f>
        <v>4</v>
      </c>
      <c r="AZ8" s="58">
        <f>COUNTIFS($G$2:$G$496,"5",'1'!$B$2:$B$496,"*flow cytometry*")</f>
        <v>7</v>
      </c>
      <c r="BA8" s="58">
        <f>COUNTIFS($G$2:$G$496,"5",'1'!$B$2:$B$496,"*genomics*")</f>
        <v>8</v>
      </c>
      <c r="BB8" s="58">
        <f>COUNTIFS($G$2:$G$496,"5",'1'!$B$2:$B$496,"*histology*")</f>
        <v>1</v>
      </c>
      <c r="BC8" s="58">
        <f>COUNTIFS($G$2:$G$496,"5",'1'!$B$2:$B$496,"*metabolomics*")</f>
        <v>1</v>
      </c>
      <c r="BD8" s="58">
        <f>COUNTIFS($G$2:$G$496,"5",'1'!$B$2:$B$496,"*microscopy*")</f>
        <v>6</v>
      </c>
      <c r="BE8" s="58">
        <f>COUNTIFS($G$2:$G$496,"5",'1'!$B$2:$B$496,"*mouse*")</f>
        <v>3</v>
      </c>
      <c r="BF8" s="58">
        <f>COUNTIFS($G$2:$G$496,"5",'1'!$B$2:$B$496,"*protein expression*")</f>
        <v>4</v>
      </c>
      <c r="BG8" s="58">
        <f>COUNTIFS($G$2:$G$496,"5",'1'!$B$2:$B$496,"*proteomics*")</f>
        <v>6</v>
      </c>
    </row>
    <row r="9" spans="1:69" x14ac:dyDescent="0.2">
      <c r="A9" s="9">
        <v>8</v>
      </c>
      <c r="B9" s="9">
        <v>3</v>
      </c>
      <c r="C9" s="9">
        <v>5</v>
      </c>
      <c r="D9" s="9">
        <v>3</v>
      </c>
      <c r="E9" s="9">
        <v>5</v>
      </c>
      <c r="F9" s="9">
        <v>3</v>
      </c>
      <c r="G9" s="9">
        <v>5</v>
      </c>
      <c r="J9" s="9" t="s">
        <v>656</v>
      </c>
      <c r="N9" s="24">
        <f>COUNTIFS($C$2:$C$496,"4",'1'!$F$2:$F$496,"*staff*")</f>
        <v>4</v>
      </c>
      <c r="O9" s="24">
        <f>COUNTIFS($C$2:$C$496,"4",'1'!$F$2:$F$496,"*both*")</f>
        <v>18</v>
      </c>
      <c r="P9" s="24">
        <f>COUNTIFS($C$2:$C$496,"4",'1'!$F$2:$F$496,"*users work*")</f>
        <v>4</v>
      </c>
      <c r="R9" s="58">
        <f>COUNTIFS($C$2:$C$496,"4",'1'!$B$2:$B$496,"*flow cytometry*")</f>
        <v>7</v>
      </c>
      <c r="S9" s="58">
        <f>COUNTIFS($C$2:$C$496,"4",'1'!$B$2:$B$496,"*genomics*")</f>
        <v>4</v>
      </c>
      <c r="T9" s="58">
        <f>COUNTIFS($C$2:$C$496,"4",'1'!$B$2:$B$496,"*histology*")</f>
        <v>0</v>
      </c>
      <c r="U9" s="58">
        <f>COUNTIFS($C$2:$C$496,"4",'1'!$B$2:$B$496,"*metabolomics*")</f>
        <v>0</v>
      </c>
      <c r="V9" s="58">
        <f>COUNTIFS($C$2:$C$496,"4",'1'!$B$2:$B$496,"*microscopy*")</f>
        <v>6</v>
      </c>
      <c r="W9" s="58">
        <f>COUNTIFS($C$2:$C$496,"4",'1'!$B$2:$B$496,"*mouse*")</f>
        <v>1</v>
      </c>
      <c r="X9" s="58">
        <f>COUNTIFS($C$2:$C$496,"4",'1'!$B$2:$B$496,"*protein expression*")</f>
        <v>0</v>
      </c>
      <c r="Y9" s="58">
        <f>COUNTIFS($C$2:$C$496,"4",'1'!$B$2:$B$496,"*proteomics*")</f>
        <v>2</v>
      </c>
      <c r="AE9" s="24">
        <f>COUNTIFS($E$2:$E$496,"4",'1'!$F$2:$F$496,"*staff*")</f>
        <v>2</v>
      </c>
      <c r="AF9" s="24">
        <f>COUNTIFS($E$2:$E$496,"4",'1'!$F$2:$F$496,"*both*")</f>
        <v>7</v>
      </c>
      <c r="AG9" s="24">
        <f>COUNTIFS($E$2:$E$496,"4",'1'!$F$2:$F$496,"*users work*")</f>
        <v>2</v>
      </c>
      <c r="AI9" s="58">
        <f>COUNTIFS($E$2:$E$496,"4",'1'!$B$2:$B$496,"*flow cytometry*")</f>
        <v>1</v>
      </c>
      <c r="AJ9" s="58">
        <f>COUNTIFS($E$2:$E$496,"4",'1'!$B$2:$B$496,"*genomics*")</f>
        <v>2</v>
      </c>
      <c r="AK9" s="58">
        <f>COUNTIFS($E$2:$E$496,"4",'1'!$B$2:$B$496,"*histology*")</f>
        <v>2</v>
      </c>
      <c r="AL9" s="58">
        <f>COUNTIFS($E$2:$E$496,"4",'1'!$B$2:$B$496,"*metabolomics*")</f>
        <v>0</v>
      </c>
      <c r="AM9" s="58">
        <f>COUNTIFS($E$2:$E$496,"4",'1'!$B$2:$B$496,"*microscopy*")</f>
        <v>4</v>
      </c>
      <c r="AN9" s="58">
        <f>COUNTIFS($E$2:$E$496,"4",'1'!$B$2:$B$496,"*mouse*")</f>
        <v>2</v>
      </c>
      <c r="AO9" s="58">
        <f>COUNTIFS($E$2:$E$496,"4",'1'!$B$2:$B$496,"*protein expression*")</f>
        <v>0</v>
      </c>
      <c r="AP9" s="58">
        <f>COUNTIFS($E$2:$E$496,"4",'1'!$B$2:$B$496,"*proteomics*")</f>
        <v>0</v>
      </c>
      <c r="AV9" s="24">
        <f>COUNTIFS($G$2:$G$496,"4",'1'!$F$2:$F$496,"*staff*")</f>
        <v>0</v>
      </c>
      <c r="AW9" s="24">
        <f>COUNTIFS($G$2:$G$496,"4",'1'!$F$2:$F$496,"*both*")</f>
        <v>16</v>
      </c>
      <c r="AX9" s="24">
        <f>COUNTIFS($G$2:$G$496,"4",'1'!$F$2:$F$496,"*users work*")</f>
        <v>4</v>
      </c>
      <c r="AZ9" s="58">
        <f>COUNTIFS($G$2:$G$496,"4",'1'!$B$2:$B$496,"*flow cytometry*")</f>
        <v>4</v>
      </c>
      <c r="BA9" s="58">
        <f>COUNTIFS($G$2:$G$496,"4",'1'!$B$2:$B$496,"*genomics*")</f>
        <v>3</v>
      </c>
      <c r="BB9" s="58">
        <f>COUNTIFS($G$2:$G$496,"4",'1'!$B$2:$B$496,"*histology*")</f>
        <v>0</v>
      </c>
      <c r="BC9" s="58">
        <f>COUNTIFS($G$2:$G$496,"4",'1'!$B$2:$B$496,"*metabolomics*")</f>
        <v>1</v>
      </c>
      <c r="BD9" s="58">
        <f>COUNTIFS($G$2:$G$496,"4",'1'!$B$2:$B$496,"*microscopy*")</f>
        <v>6</v>
      </c>
      <c r="BE9" s="58">
        <f>COUNTIFS($G$2:$G$496,"4",'1'!$B$2:$B$496,"*mouse*")</f>
        <v>0</v>
      </c>
      <c r="BF9" s="58">
        <f>COUNTIFS($G$2:$G$496,"4",'1'!$B$2:$B$496,"*protein expression*")</f>
        <v>0</v>
      </c>
      <c r="BG9" s="58">
        <f>COUNTIFS($G$2:$G$496,"4",'1'!$B$2:$B$496,"*proteomics*")</f>
        <v>2</v>
      </c>
    </row>
    <row r="10" spans="1:69" x14ac:dyDescent="0.2">
      <c r="A10" s="9">
        <v>9</v>
      </c>
      <c r="B10" s="9">
        <v>1</v>
      </c>
      <c r="C10" s="9">
        <v>3</v>
      </c>
      <c r="D10" s="9">
        <v>4</v>
      </c>
      <c r="E10" s="9">
        <v>5</v>
      </c>
      <c r="F10" s="9">
        <v>1</v>
      </c>
      <c r="G10" s="9">
        <v>3</v>
      </c>
      <c r="J10" s="9" t="s">
        <v>657</v>
      </c>
      <c r="N10" s="24">
        <f>COUNTIFS($C$2:$C$496,"3",'1'!$F$2:$F$496,"*staff*")</f>
        <v>19</v>
      </c>
      <c r="O10" s="24">
        <f>COUNTIFS($C$2:$C$496,"3",'1'!$F$2:$F$496,"*both*")</f>
        <v>55</v>
      </c>
      <c r="P10" s="24">
        <f>COUNTIFS($C$2:$C$496,"3",'1'!$F$2:$F$496,"*users work*")</f>
        <v>8</v>
      </c>
      <c r="R10" s="58">
        <f>COUNTIFS($C$2:$C$496,"3",'1'!$B$2:$B$496,"*flow cytometry*")</f>
        <v>21</v>
      </c>
      <c r="S10" s="58">
        <f>COUNTIFS($C$2:$C$496,"3",'1'!$B$2:$B$496,"*genomics*")</f>
        <v>8</v>
      </c>
      <c r="T10" s="58">
        <f>COUNTIFS($C$2:$C$496,"3",'1'!$B$2:$B$496,"*histology*")</f>
        <v>1</v>
      </c>
      <c r="U10" s="58">
        <f>COUNTIFS($C$2:$C$496,"3",'1'!$B$2:$B$496,"*metabolomics*")</f>
        <v>1</v>
      </c>
      <c r="V10" s="58">
        <f>COUNTIFS($C$2:$C$496,"3",'1'!$B$2:$B$496,"*microscopy*")</f>
        <v>17</v>
      </c>
      <c r="W10" s="58">
        <f>COUNTIFS($C$2:$C$496,"3",'1'!$B$2:$B$496,"*mouse*")</f>
        <v>0</v>
      </c>
      <c r="X10" s="58">
        <f>COUNTIFS($C$2:$C$496,"3",'1'!$B$2:$B$496,"*protein expression*")</f>
        <v>5</v>
      </c>
      <c r="Y10" s="58">
        <f>COUNTIFS($C$2:$C$496,"3",'1'!$B$2:$B$496,"*proteomics*")</f>
        <v>7</v>
      </c>
      <c r="AE10" s="24">
        <f>COUNTIFS($E$2:$E$496,"3",'1'!$F$2:$F$496,"*staff*")</f>
        <v>4</v>
      </c>
      <c r="AF10" s="24">
        <f>COUNTIFS($E$2:$E$496,"3",'1'!$F$2:$F$496,"*both*")</f>
        <v>21</v>
      </c>
      <c r="AG10" s="24">
        <f>COUNTIFS($E$2:$E$496,"3",'1'!$F$2:$F$496,"*users work*")</f>
        <v>3</v>
      </c>
      <c r="AI10" s="58">
        <f>COUNTIFS($E$2:$E$496,"3",'1'!$B$2:$B$496,"*flow cytometry*")</f>
        <v>3</v>
      </c>
      <c r="AJ10" s="58">
        <f>COUNTIFS($E$2:$E$496,"3",'1'!$B$2:$B$496,"*genomics*")</f>
        <v>2</v>
      </c>
      <c r="AK10" s="58">
        <f>COUNTIFS($E$2:$E$496,"3",'1'!$B$2:$B$496,"*histology*")</f>
        <v>1</v>
      </c>
      <c r="AL10" s="58">
        <f>COUNTIFS($E$2:$E$496,"3",'1'!$B$2:$B$496,"*metabolomics*")</f>
        <v>1</v>
      </c>
      <c r="AM10" s="58">
        <f>COUNTIFS($E$2:$E$496,"3",'1'!$B$2:$B$496,"*microscopy*")</f>
        <v>7</v>
      </c>
      <c r="AN10" s="58">
        <f>COUNTIFS($E$2:$E$496,"3",'1'!$B$2:$B$496,"*mouse*")</f>
        <v>0</v>
      </c>
      <c r="AO10" s="58">
        <f>COUNTIFS($E$2:$E$496,"3",'1'!$B$2:$B$496,"*protein expression*")</f>
        <v>3</v>
      </c>
      <c r="AP10" s="58">
        <f>COUNTIFS($E$2:$E$496,"3",'1'!$B$2:$B$496,"*proteomics*")</f>
        <v>1</v>
      </c>
      <c r="AV10" s="24">
        <f>COUNTIFS($G$2:$G$496,"3",'1'!$F$2:$F$496,"*staff*")</f>
        <v>26</v>
      </c>
      <c r="AW10" s="24">
        <f>COUNTIFS($G$2:$G$496,"3",'1'!$F$2:$F$496,"*both*")</f>
        <v>57</v>
      </c>
      <c r="AX10" s="24">
        <f>COUNTIFS($G$2:$G$496,"3",'1'!$F$2:$F$496,"*users work*")</f>
        <v>10</v>
      </c>
      <c r="AZ10" s="58">
        <f>COUNTIFS($G$2:$G$496,"3",'1'!$B$2:$B$496,"*flow cytometry*")</f>
        <v>20</v>
      </c>
      <c r="BA10" s="58">
        <f>COUNTIFS($G$2:$G$496,"3",'1'!$B$2:$B$496,"*genomics*")</f>
        <v>13</v>
      </c>
      <c r="BB10" s="58">
        <f>COUNTIFS($G$2:$G$496,"3",'1'!$B$2:$B$496,"*histology*")</f>
        <v>1</v>
      </c>
      <c r="BC10" s="58">
        <f>COUNTIFS($G$2:$G$496,"3",'1'!$B$2:$B$496,"*metabolomics*")</f>
        <v>3</v>
      </c>
      <c r="BD10" s="58">
        <f>COUNTIFS($G$2:$G$496,"3",'1'!$B$2:$B$496,"*microscopy*")</f>
        <v>16</v>
      </c>
      <c r="BE10" s="58">
        <f>COUNTIFS($G$2:$G$496,"3",'1'!$B$2:$B$496,"*mouse*")</f>
        <v>2</v>
      </c>
      <c r="BF10" s="58">
        <f>COUNTIFS($G$2:$G$496,"3",'1'!$B$2:$B$496,"*protein expression*")</f>
        <v>4</v>
      </c>
      <c r="BG10" s="58">
        <f>COUNTIFS($G$2:$G$496,"3",'1'!$B$2:$B$496,"*proteomics*")</f>
        <v>13</v>
      </c>
    </row>
    <row r="11" spans="1:69" x14ac:dyDescent="0.2">
      <c r="A11" s="9">
        <v>10</v>
      </c>
      <c r="B11" s="9">
        <v>3</v>
      </c>
      <c r="C11" s="9">
        <v>1</v>
      </c>
      <c r="D11" s="9">
        <v>1</v>
      </c>
      <c r="E11" s="9">
        <v>1</v>
      </c>
      <c r="F11" s="9">
        <v>3</v>
      </c>
      <c r="G11" s="9">
        <v>2</v>
      </c>
      <c r="J11" s="9" t="s">
        <v>658</v>
      </c>
      <c r="N11" s="24">
        <f>COUNTIFS($C$2:$C$496,"2",'1'!$F$2:$F$496,"*staff*")</f>
        <v>10</v>
      </c>
      <c r="O11" s="24">
        <f>COUNTIFS($C$2:$C$496,"2",'1'!$F$2:$F$496,"*both*")</f>
        <v>30</v>
      </c>
      <c r="P11" s="24">
        <f>COUNTIFS($C$2:$C$496,"2",'1'!$F$2:$F$496,"*users work*")</f>
        <v>4</v>
      </c>
      <c r="R11" s="58">
        <f>COUNTIFS($C$2:$C$496,"2",'1'!$B$2:$B$496,"*flow cytometry*")</f>
        <v>8</v>
      </c>
      <c r="S11" s="58">
        <f>COUNTIFS($C$2:$C$496,"2",'1'!$B$2:$B$496,"*genomics*")</f>
        <v>3</v>
      </c>
      <c r="T11" s="58">
        <f>COUNTIFS($C$2:$C$496,"2",'1'!$B$2:$B$496,"*histology*")</f>
        <v>2</v>
      </c>
      <c r="U11" s="58">
        <f>COUNTIFS($C$2:$C$496,"2",'1'!$B$2:$B$496,"*metabolomics*")</f>
        <v>2</v>
      </c>
      <c r="V11" s="58">
        <f>COUNTIFS($C$2:$C$496,"2",'1'!$B$2:$B$496,"*microscopy*")</f>
        <v>15</v>
      </c>
      <c r="W11" s="58">
        <f>COUNTIFS($C$2:$C$496,"2",'1'!$B$2:$B$496,"*mouse*")</f>
        <v>1</v>
      </c>
      <c r="X11" s="58">
        <f>COUNTIFS($C$2:$C$496,"2",'1'!$B$2:$B$496,"*protein expression*")</f>
        <v>0</v>
      </c>
      <c r="Y11" s="58">
        <f>COUNTIFS($C$2:$C$496,"2",'1'!$B$2:$B$496,"*proteomics*")</f>
        <v>11</v>
      </c>
      <c r="AE11" s="24">
        <f>COUNTIFS($E$2:$E$496,"2",'1'!$F$2:$F$496,"*staff*")</f>
        <v>8</v>
      </c>
      <c r="AF11" s="24">
        <f>COUNTIFS($E$2:$E$496,"2",'1'!$F$2:$F$496,"*both*")</f>
        <v>15</v>
      </c>
      <c r="AG11" s="24">
        <f>COUNTIFS($E$2:$E$496,"2",'1'!$F$2:$F$496,"*users work*")</f>
        <v>2</v>
      </c>
      <c r="AI11" s="58">
        <f>COUNTIFS($E$2:$E$496,"2",'1'!$B$2:$B$496,"*flow cytometry*")</f>
        <v>7</v>
      </c>
      <c r="AJ11" s="58">
        <f>COUNTIFS($E$2:$E$496,"2",'1'!$B$2:$B$496,"*genomics*")</f>
        <v>5</v>
      </c>
      <c r="AK11" s="58">
        <f>COUNTIFS($E$2:$E$496,"2",'1'!$B$2:$B$496,"*histology*")</f>
        <v>1</v>
      </c>
      <c r="AL11" s="58">
        <f>COUNTIFS($E$2:$E$496,"2",'1'!$B$2:$B$496,"*metabolomics*")</f>
        <v>1</v>
      </c>
      <c r="AM11" s="58">
        <f>COUNTIFS($E$2:$E$496,"2",'1'!$B$2:$B$496,"*microscopy*")</f>
        <v>4</v>
      </c>
      <c r="AN11" s="58">
        <f>COUNTIFS($E$2:$E$496,"2",'1'!$B$2:$B$496,"*mouse*")</f>
        <v>1</v>
      </c>
      <c r="AO11" s="58">
        <f>COUNTIFS($E$2:$E$496,"2",'1'!$B$2:$B$496,"*protein expression*")</f>
        <v>1</v>
      </c>
      <c r="AP11" s="58">
        <f>COUNTIFS($E$2:$E$496,"2",'1'!$B$2:$B$496,"*proteomics*")</f>
        <v>3</v>
      </c>
      <c r="AV11" s="24">
        <f>COUNTIFS($G$2:$G$496,"2",'1'!$F$2:$F$496,"*staff*")</f>
        <v>14</v>
      </c>
      <c r="AW11" s="24">
        <f>COUNTIFS($G$2:$G$496,"2",'1'!$F$2:$F$496,"*both*")</f>
        <v>35</v>
      </c>
      <c r="AX11" s="24">
        <f>COUNTIFS($G$2:$G$496,"2",'1'!$F$2:$F$496,"*users work*")</f>
        <v>3</v>
      </c>
      <c r="AZ11" s="58">
        <f>COUNTIFS($G$2:$G$496,"2",'1'!$B$2:$B$496,"*flow cytometry*")</f>
        <v>13</v>
      </c>
      <c r="BA11" s="58">
        <f>COUNTIFS($G$2:$G$496,"2",'1'!$B$2:$B$496,"*genomics*")</f>
        <v>3</v>
      </c>
      <c r="BB11" s="58">
        <f>COUNTIFS($G$2:$G$496,"2",'1'!$B$2:$B$496,"*histology*")</f>
        <v>1</v>
      </c>
      <c r="BC11" s="58">
        <f>COUNTIFS($G$2:$G$496,"2",'1'!$B$2:$B$496,"*metabolomics*")</f>
        <v>2</v>
      </c>
      <c r="BD11" s="58">
        <f>COUNTIFS($G$2:$G$496,"2",'1'!$B$2:$B$496,"*microscopy*")</f>
        <v>16</v>
      </c>
      <c r="BE11" s="58">
        <f>COUNTIFS($G$2:$G$496,"2",'1'!$B$2:$B$496,"*mouse*")</f>
        <v>3</v>
      </c>
      <c r="BF11" s="58">
        <f>COUNTIFS($G$2:$G$496,"2",'1'!$B$2:$B$496,"*protein expression*")</f>
        <v>0</v>
      </c>
      <c r="BG11" s="58">
        <f>COUNTIFS($G$2:$G$496,"2",'1'!$B$2:$B$496,"*proteomics*")</f>
        <v>8</v>
      </c>
    </row>
    <row r="12" spans="1:69" x14ac:dyDescent="0.2">
      <c r="A12" s="9">
        <v>11</v>
      </c>
      <c r="B12" s="9">
        <v>3</v>
      </c>
      <c r="C12" s="9">
        <v>4</v>
      </c>
      <c r="D12" s="9">
        <v>4</v>
      </c>
      <c r="E12" s="9">
        <v>4</v>
      </c>
      <c r="F12" s="9">
        <v>2</v>
      </c>
      <c r="G12" s="9">
        <v>2</v>
      </c>
      <c r="J12" s="9" t="s">
        <v>659</v>
      </c>
      <c r="N12" s="24">
        <f>COUNTIFS($C$2:$C$496,"1",'1'!$F$2:$F$496,"*staff*")</f>
        <v>24</v>
      </c>
      <c r="O12" s="24">
        <f>COUNTIFS($C$2:$C$496,"1",'1'!$F$2:$F$496,"*both*")</f>
        <v>42</v>
      </c>
      <c r="P12" s="24">
        <f>COUNTIFS($C$2:$C$496,"1",'1'!$F$2:$F$496,"*users work*")</f>
        <v>7</v>
      </c>
      <c r="R12" s="58">
        <f>COUNTIFS($C$2:$C$496,"1",'1'!$B$2:$B$496,"*flow cytometry*")</f>
        <v>6</v>
      </c>
      <c r="S12" s="58">
        <f>COUNTIFS($C$2:$C$496,"1",'1'!$B$2:$B$496,"*genomics*")</f>
        <v>8</v>
      </c>
      <c r="T12" s="58">
        <f>COUNTIFS($C$2:$C$496,"1",'1'!$B$2:$B$496,"*histology*")</f>
        <v>7</v>
      </c>
      <c r="U12" s="58">
        <f>COUNTIFS($C$2:$C$496,"1",'1'!$B$2:$B$496,"*metabolomics*")</f>
        <v>3</v>
      </c>
      <c r="V12" s="58">
        <f>COUNTIFS($C$2:$C$496,"1",'1'!$B$2:$B$496,"*microscopy*")</f>
        <v>14</v>
      </c>
      <c r="W12" s="58">
        <f>COUNTIFS($C$2:$C$496,"1",'1'!$B$2:$B$496,"*mouse*")</f>
        <v>11</v>
      </c>
      <c r="X12" s="58">
        <f>COUNTIFS($C$2:$C$496,"1",'1'!$B$2:$B$496,"*protein expression*")</f>
        <v>0</v>
      </c>
      <c r="Y12" s="58">
        <f>COUNTIFS($C$2:$C$496,"1",'1'!$B$2:$B$496,"*proteomics*")</f>
        <v>12</v>
      </c>
      <c r="AE12" s="24">
        <f>COUNTIFS($E$2:$E$496,"1",'1'!$F$2:$F$496,"*staff*")</f>
        <v>44</v>
      </c>
      <c r="AF12" s="24">
        <f>COUNTIFS($E$2:$E$496,"1",'1'!$F$2:$F$496,"*both*")</f>
        <v>103</v>
      </c>
      <c r="AG12" s="24">
        <f>COUNTIFS($E$2:$E$496,"1",'1'!$F$2:$F$496,"*users work*")</f>
        <v>17</v>
      </c>
      <c r="AI12" s="58">
        <f>COUNTIFS($E$2:$E$496,"1",'1'!$B$2:$B$496,"*flow cytometry*")</f>
        <v>33</v>
      </c>
      <c r="AJ12" s="58">
        <f>COUNTIFS($E$2:$E$496,"1",'1'!$B$2:$B$496,"*genomics*")</f>
        <v>17</v>
      </c>
      <c r="AK12" s="58">
        <f>COUNTIFS($E$2:$E$496,"1",'1'!$B$2:$B$496,"*histology*")</f>
        <v>6</v>
      </c>
      <c r="AL12" s="58">
        <f>COUNTIFS($E$2:$E$496,"1",'1'!$B$2:$B$496,"*metabolomics*")</f>
        <v>5</v>
      </c>
      <c r="AM12" s="58">
        <f>COUNTIFS($E$2:$E$496,"1",'1'!$B$2:$B$496,"*microscopy*")</f>
        <v>34</v>
      </c>
      <c r="AN12" s="58">
        <f>COUNTIFS($E$2:$E$496,"1",'1'!$B$2:$B$496,"*mouse*")</f>
        <v>10</v>
      </c>
      <c r="AO12" s="58">
        <f>COUNTIFS($E$2:$E$496,"1",'1'!$B$2:$B$496,"*protein expression*")</f>
        <v>4</v>
      </c>
      <c r="AP12" s="58">
        <f>COUNTIFS($E$2:$E$496,"1",'1'!$B$2:$B$496,"*proteomics*")</f>
        <v>24</v>
      </c>
      <c r="AV12" s="24">
        <f>COUNTIFS($G$2:$G$496,"1",'1'!$F$2:$F$496,"*staff*")</f>
        <v>15</v>
      </c>
      <c r="AW12" s="24">
        <f>COUNTIFS($G$2:$G$496,"1",'1'!$F$2:$F$496,"*both*")</f>
        <v>36</v>
      </c>
      <c r="AX12" s="24">
        <f>COUNTIFS($G$2:$G$496,"1",'1'!$F$2:$F$496,"*users work*")</f>
        <v>7</v>
      </c>
      <c r="AZ12" s="58">
        <f>COUNTIFS($G$2:$G$496,"1",'1'!$B$2:$B$496,"*flow cytometry*")</f>
        <v>6</v>
      </c>
      <c r="BA12" s="58">
        <f>COUNTIFS($G$2:$G$496,"1",'1'!$B$2:$B$496,"*genomics*")</f>
        <v>5</v>
      </c>
      <c r="BB12" s="58">
        <f>COUNTIFS($G$2:$G$496,"1",'1'!$B$2:$B$496,"*histology*")</f>
        <v>8</v>
      </c>
      <c r="BC12" s="58">
        <f>COUNTIFS($G$2:$G$496,"1",'1'!$B$2:$B$496,"*metabolomics*")</f>
        <v>1</v>
      </c>
      <c r="BD12" s="58">
        <f>COUNTIFS($G$2:$G$496,"1",'1'!$B$2:$B$496,"*microscopy*")</f>
        <v>16</v>
      </c>
      <c r="BE12" s="58">
        <f>COUNTIFS($G$2:$G$496,"1",'1'!$B$2:$B$496,"*mouse*")</f>
        <v>8</v>
      </c>
      <c r="BF12" s="58">
        <f>COUNTIFS($G$2:$G$496,"1",'1'!$B$2:$B$496,"*protein expression*")</f>
        <v>0</v>
      </c>
      <c r="BG12" s="58">
        <f>COUNTIFS($G$2:$G$496,"1",'1'!$B$2:$B$496,"*proteomics*")</f>
        <v>6</v>
      </c>
    </row>
    <row r="13" spans="1:69" x14ac:dyDescent="0.2">
      <c r="A13" s="9">
        <v>12</v>
      </c>
      <c r="B13" s="9">
        <v>1</v>
      </c>
      <c r="C13" s="9">
        <v>1</v>
      </c>
      <c r="D13" s="9">
        <v>1</v>
      </c>
      <c r="E13" s="9">
        <v>1</v>
      </c>
      <c r="F13" s="9">
        <v>3</v>
      </c>
      <c r="G13" s="9">
        <v>3</v>
      </c>
    </row>
    <row r="14" spans="1:69" x14ac:dyDescent="0.2">
      <c r="A14" s="9">
        <v>13</v>
      </c>
      <c r="B14" s="9">
        <v>3</v>
      </c>
      <c r="C14" s="9">
        <v>2</v>
      </c>
      <c r="D14" s="9">
        <v>2</v>
      </c>
      <c r="E14" s="9">
        <v>1</v>
      </c>
      <c r="F14" s="9">
        <v>3</v>
      </c>
      <c r="G14" s="9">
        <v>3</v>
      </c>
    </row>
    <row r="15" spans="1:69" x14ac:dyDescent="0.2">
      <c r="A15" s="9">
        <v>14</v>
      </c>
      <c r="B15" s="9">
        <v>4</v>
      </c>
      <c r="C15" s="9">
        <v>4</v>
      </c>
      <c r="D15" s="9">
        <v>1</v>
      </c>
      <c r="E15" s="9">
        <v>1</v>
      </c>
      <c r="F15" s="9">
        <v>5</v>
      </c>
      <c r="G15" s="9">
        <v>5</v>
      </c>
    </row>
    <row r="16" spans="1:69" x14ac:dyDescent="0.2">
      <c r="A16" s="9">
        <v>15</v>
      </c>
      <c r="B16" s="9">
        <v>3</v>
      </c>
      <c r="C16" s="9">
        <v>1</v>
      </c>
      <c r="D16" s="9">
        <v>3</v>
      </c>
      <c r="E16" s="9">
        <v>1</v>
      </c>
      <c r="F16" s="9">
        <v>3</v>
      </c>
      <c r="G16" s="9">
        <v>1</v>
      </c>
    </row>
    <row r="17" spans="1:7" x14ac:dyDescent="0.2">
      <c r="A17" s="9">
        <v>16</v>
      </c>
      <c r="B17" s="9">
        <v>3</v>
      </c>
      <c r="C17" s="9">
        <v>4</v>
      </c>
      <c r="D17" s="9">
        <v>1</v>
      </c>
      <c r="E17" s="9">
        <v>1</v>
      </c>
      <c r="F17" s="9">
        <v>5</v>
      </c>
      <c r="G17" s="9">
        <v>4</v>
      </c>
    </row>
    <row r="18" spans="1:7" x14ac:dyDescent="0.2">
      <c r="A18" s="9">
        <v>17</v>
      </c>
      <c r="B18" s="9">
        <v>3</v>
      </c>
      <c r="C18" s="9">
        <v>3</v>
      </c>
      <c r="D18" s="9">
        <v>3</v>
      </c>
      <c r="E18" s="9">
        <v>3</v>
      </c>
      <c r="F18" s="9">
        <v>3</v>
      </c>
      <c r="G18" s="9">
        <v>3</v>
      </c>
    </row>
    <row r="19" spans="1:7" x14ac:dyDescent="0.2">
      <c r="A19" s="9">
        <v>18</v>
      </c>
      <c r="B19" s="9">
        <v>5</v>
      </c>
      <c r="C19" s="9">
        <v>5</v>
      </c>
      <c r="D19" s="9">
        <v>1</v>
      </c>
      <c r="E19" s="9">
        <v>1</v>
      </c>
      <c r="F19" s="9">
        <v>5</v>
      </c>
      <c r="G19" s="9">
        <v>5</v>
      </c>
    </row>
    <row r="20" spans="1:7" x14ac:dyDescent="0.2">
      <c r="A20" s="9">
        <v>19</v>
      </c>
      <c r="B20" s="32">
        <v>3</v>
      </c>
      <c r="C20" s="32">
        <v>1</v>
      </c>
      <c r="D20" s="32">
        <v>3</v>
      </c>
      <c r="E20" s="32">
        <v>1</v>
      </c>
      <c r="F20" s="32">
        <v>3</v>
      </c>
      <c r="G20" s="32">
        <v>1</v>
      </c>
    </row>
    <row r="21" spans="1:7" x14ac:dyDescent="0.2">
      <c r="A21" s="9">
        <v>20</v>
      </c>
      <c r="B21" s="32">
        <v>1</v>
      </c>
      <c r="C21" s="32">
        <v>1</v>
      </c>
      <c r="D21" s="32">
        <v>1</v>
      </c>
      <c r="E21" s="32">
        <v>1</v>
      </c>
      <c r="F21" s="32">
        <v>3</v>
      </c>
      <c r="G21" s="32">
        <v>3</v>
      </c>
    </row>
    <row r="22" spans="1:7" x14ac:dyDescent="0.2">
      <c r="A22" s="9">
        <v>21</v>
      </c>
      <c r="B22" s="9">
        <v>2</v>
      </c>
      <c r="C22" s="9">
        <v>2</v>
      </c>
      <c r="D22" s="9">
        <v>1</v>
      </c>
      <c r="E22" s="9">
        <v>1</v>
      </c>
      <c r="F22" s="9">
        <v>2</v>
      </c>
      <c r="G22" s="9">
        <v>2</v>
      </c>
    </row>
    <row r="23" spans="1:7" x14ac:dyDescent="0.2">
      <c r="A23" s="9">
        <v>22</v>
      </c>
      <c r="B23" s="9">
        <v>5</v>
      </c>
      <c r="C23" s="9">
        <v>5</v>
      </c>
      <c r="D23" s="9">
        <v>2</v>
      </c>
      <c r="E23" s="9">
        <v>1</v>
      </c>
      <c r="F23" s="9">
        <v>5</v>
      </c>
      <c r="G23" s="9">
        <v>5</v>
      </c>
    </row>
    <row r="24" spans="1:7" x14ac:dyDescent="0.2">
      <c r="A24" s="9">
        <v>23</v>
      </c>
      <c r="B24" s="9">
        <v>1</v>
      </c>
      <c r="C24" s="9">
        <v>1</v>
      </c>
      <c r="D24" s="9">
        <v>1</v>
      </c>
      <c r="E24" s="9">
        <v>1</v>
      </c>
      <c r="F24" s="9">
        <v>1</v>
      </c>
      <c r="G24" s="9">
        <v>1</v>
      </c>
    </row>
    <row r="25" spans="1:7" x14ac:dyDescent="0.2">
      <c r="A25" s="9">
        <v>24</v>
      </c>
      <c r="B25" s="9">
        <v>5</v>
      </c>
      <c r="C25" s="9">
        <v>1</v>
      </c>
      <c r="D25" s="9">
        <v>4</v>
      </c>
      <c r="E25" s="9">
        <v>1</v>
      </c>
      <c r="F25" s="9">
        <v>3</v>
      </c>
      <c r="G25" s="9">
        <v>3</v>
      </c>
    </row>
    <row r="26" spans="1:7" x14ac:dyDescent="0.2">
      <c r="A26" s="9">
        <v>25</v>
      </c>
      <c r="B26" s="9">
        <v>3</v>
      </c>
      <c r="C26" s="9">
        <v>1</v>
      </c>
      <c r="D26" s="9">
        <v>3</v>
      </c>
      <c r="E26" s="9">
        <v>1</v>
      </c>
      <c r="F26" s="9">
        <v>3</v>
      </c>
      <c r="G26" s="9">
        <v>1</v>
      </c>
    </row>
    <row r="27" spans="1:7" x14ac:dyDescent="0.2">
      <c r="A27" s="9">
        <v>26</v>
      </c>
      <c r="B27" s="9">
        <v>4</v>
      </c>
      <c r="C27" s="9">
        <v>3</v>
      </c>
      <c r="D27" s="9">
        <v>1</v>
      </c>
      <c r="E27" s="9">
        <v>1</v>
      </c>
      <c r="F27" s="9">
        <v>3</v>
      </c>
      <c r="G27" s="9">
        <v>3</v>
      </c>
    </row>
    <row r="28" spans="1:7" x14ac:dyDescent="0.2">
      <c r="A28" s="9">
        <v>27</v>
      </c>
      <c r="B28" s="9">
        <v>1</v>
      </c>
      <c r="C28" s="9">
        <v>2</v>
      </c>
      <c r="D28" s="9">
        <v>3</v>
      </c>
      <c r="E28" s="9">
        <v>2</v>
      </c>
      <c r="F28" s="9">
        <v>3</v>
      </c>
      <c r="G28" s="9">
        <v>4</v>
      </c>
    </row>
    <row r="29" spans="1:7" x14ac:dyDescent="0.2">
      <c r="A29" s="9">
        <v>28</v>
      </c>
      <c r="B29" s="9">
        <v>5</v>
      </c>
      <c r="C29" s="9">
        <v>5</v>
      </c>
      <c r="D29" s="9">
        <v>3</v>
      </c>
      <c r="E29" s="9">
        <v>1</v>
      </c>
      <c r="F29" s="9">
        <v>3</v>
      </c>
      <c r="G29" s="9">
        <v>3</v>
      </c>
    </row>
    <row r="30" spans="1:7" x14ac:dyDescent="0.2">
      <c r="A30" s="9">
        <v>29</v>
      </c>
      <c r="B30" s="9">
        <v>4</v>
      </c>
      <c r="C30" s="9">
        <v>4</v>
      </c>
      <c r="D30" s="9">
        <v>1</v>
      </c>
      <c r="E30" s="9">
        <v>1</v>
      </c>
      <c r="F30" s="9">
        <v>5</v>
      </c>
      <c r="G30" s="9">
        <v>5</v>
      </c>
    </row>
    <row r="31" spans="1:7" x14ac:dyDescent="0.2">
      <c r="A31" s="9">
        <v>30</v>
      </c>
      <c r="B31" s="9">
        <v>3</v>
      </c>
      <c r="C31" s="9">
        <v>3</v>
      </c>
      <c r="D31" s="9">
        <v>1</v>
      </c>
      <c r="E31" s="9">
        <v>3</v>
      </c>
      <c r="F31" s="9">
        <v>1</v>
      </c>
      <c r="G31" s="9">
        <v>5</v>
      </c>
    </row>
    <row r="32" spans="1:7" x14ac:dyDescent="0.2">
      <c r="A32" s="9">
        <v>31</v>
      </c>
      <c r="B32" s="9">
        <v>1</v>
      </c>
      <c r="C32" s="9">
        <v>1</v>
      </c>
      <c r="D32" s="9">
        <v>1</v>
      </c>
      <c r="E32" s="9">
        <v>1</v>
      </c>
      <c r="F32" s="9">
        <v>1</v>
      </c>
      <c r="G32" s="9">
        <v>1</v>
      </c>
    </row>
    <row r="33" spans="1:7" x14ac:dyDescent="0.2">
      <c r="A33" s="9">
        <v>32</v>
      </c>
      <c r="B33" s="9">
        <v>5</v>
      </c>
      <c r="C33" s="9">
        <v>5</v>
      </c>
      <c r="D33" s="9">
        <v>5</v>
      </c>
      <c r="E33" s="9">
        <v>5</v>
      </c>
      <c r="F33" s="9">
        <v>3</v>
      </c>
      <c r="G33" s="9">
        <v>3</v>
      </c>
    </row>
    <row r="34" spans="1:7" x14ac:dyDescent="0.2">
      <c r="A34" s="9">
        <v>33</v>
      </c>
      <c r="B34" s="9">
        <v>4</v>
      </c>
      <c r="C34" s="9">
        <v>3</v>
      </c>
      <c r="D34" s="9">
        <v>2</v>
      </c>
      <c r="E34" s="9">
        <v>1</v>
      </c>
      <c r="F34" s="9">
        <v>5</v>
      </c>
      <c r="G34" s="9">
        <v>2</v>
      </c>
    </row>
    <row r="35" spans="1:7" x14ac:dyDescent="0.2">
      <c r="A35" s="9">
        <v>34</v>
      </c>
      <c r="B35" s="9">
        <v>2</v>
      </c>
      <c r="C35" s="9">
        <v>1</v>
      </c>
      <c r="D35" s="9">
        <v>3</v>
      </c>
      <c r="E35" s="9">
        <v>1</v>
      </c>
      <c r="F35" s="9">
        <v>2</v>
      </c>
      <c r="G35" s="9">
        <v>1</v>
      </c>
    </row>
    <row r="36" spans="1:7" x14ac:dyDescent="0.2">
      <c r="A36" s="9">
        <v>35</v>
      </c>
      <c r="B36" s="9">
        <v>3</v>
      </c>
      <c r="C36" s="9">
        <v>2</v>
      </c>
      <c r="D36" s="9">
        <v>2</v>
      </c>
      <c r="E36" s="9">
        <v>1</v>
      </c>
      <c r="F36" s="9">
        <v>5</v>
      </c>
      <c r="G36" s="9">
        <v>4</v>
      </c>
    </row>
    <row r="37" spans="1:7" x14ac:dyDescent="0.2">
      <c r="A37" s="9">
        <v>36</v>
      </c>
      <c r="B37" s="9">
        <v>3</v>
      </c>
      <c r="C37" s="9">
        <v>3</v>
      </c>
      <c r="D37" s="9">
        <v>2</v>
      </c>
      <c r="E37" s="9">
        <v>1</v>
      </c>
      <c r="F37" s="9">
        <v>4</v>
      </c>
      <c r="G37" s="9">
        <v>3</v>
      </c>
    </row>
    <row r="38" spans="1:7" x14ac:dyDescent="0.2">
      <c r="A38" s="9">
        <v>37</v>
      </c>
      <c r="B38" s="9">
        <v>3</v>
      </c>
      <c r="C38" s="9">
        <v>2</v>
      </c>
      <c r="D38" s="9">
        <v>2</v>
      </c>
      <c r="E38" s="9">
        <v>2</v>
      </c>
      <c r="F38" s="9">
        <v>4</v>
      </c>
      <c r="G38" s="9">
        <v>5</v>
      </c>
    </row>
    <row r="39" spans="1:7" x14ac:dyDescent="0.2">
      <c r="A39" s="9">
        <v>38</v>
      </c>
      <c r="B39" s="9">
        <v>4</v>
      </c>
      <c r="C39" s="9">
        <v>2</v>
      </c>
      <c r="D39" s="9">
        <v>1</v>
      </c>
      <c r="E39" s="9">
        <v>1</v>
      </c>
      <c r="F39" s="9">
        <v>5</v>
      </c>
      <c r="G39" s="9">
        <v>2</v>
      </c>
    </row>
    <row r="40" spans="1:7" x14ac:dyDescent="0.2">
      <c r="A40" s="9">
        <v>39</v>
      </c>
      <c r="B40" s="9">
        <v>3</v>
      </c>
      <c r="C40" s="9">
        <v>3</v>
      </c>
      <c r="D40" s="9">
        <v>1</v>
      </c>
      <c r="E40" s="9">
        <v>1</v>
      </c>
      <c r="F40" s="9">
        <v>3</v>
      </c>
      <c r="G40" s="9">
        <v>3</v>
      </c>
    </row>
    <row r="41" spans="1:7" x14ac:dyDescent="0.2">
      <c r="A41" s="9">
        <v>40</v>
      </c>
      <c r="B41" s="9">
        <v>3</v>
      </c>
      <c r="C41" s="9">
        <v>2</v>
      </c>
      <c r="D41" s="9">
        <v>3</v>
      </c>
      <c r="E41" s="9">
        <v>1</v>
      </c>
      <c r="F41" s="9">
        <v>4</v>
      </c>
      <c r="G41" s="9">
        <v>3</v>
      </c>
    </row>
    <row r="42" spans="1:7" x14ac:dyDescent="0.2">
      <c r="A42" s="9">
        <v>41</v>
      </c>
      <c r="B42" s="9">
        <v>3</v>
      </c>
      <c r="C42" s="9">
        <v>3</v>
      </c>
      <c r="D42" s="9">
        <v>3</v>
      </c>
      <c r="E42" s="9">
        <v>3</v>
      </c>
      <c r="F42" s="9">
        <v>3</v>
      </c>
      <c r="G42" s="9">
        <v>3</v>
      </c>
    </row>
    <row r="43" spans="1:7" x14ac:dyDescent="0.2">
      <c r="A43" s="9">
        <v>42</v>
      </c>
      <c r="B43" s="9">
        <v>3</v>
      </c>
      <c r="C43" s="9">
        <v>3</v>
      </c>
      <c r="D43" s="9">
        <v>3</v>
      </c>
      <c r="E43" s="9">
        <v>3</v>
      </c>
      <c r="F43" s="9">
        <v>3</v>
      </c>
      <c r="G43" s="9">
        <v>3</v>
      </c>
    </row>
    <row r="44" spans="1:7" x14ac:dyDescent="0.2">
      <c r="A44" s="9">
        <v>43</v>
      </c>
      <c r="B44" s="9">
        <v>3</v>
      </c>
      <c r="C44" s="9">
        <v>2</v>
      </c>
      <c r="D44" s="9">
        <v>3</v>
      </c>
      <c r="E44" s="9">
        <v>1</v>
      </c>
      <c r="F44" s="9">
        <v>3</v>
      </c>
      <c r="G44" s="9">
        <v>1</v>
      </c>
    </row>
    <row r="45" spans="1:7" x14ac:dyDescent="0.2">
      <c r="A45" s="9">
        <v>44</v>
      </c>
      <c r="B45" s="32">
        <v>2</v>
      </c>
      <c r="C45" s="32">
        <v>3</v>
      </c>
      <c r="D45" s="32">
        <v>3</v>
      </c>
      <c r="E45" s="32">
        <v>2</v>
      </c>
      <c r="F45" s="32">
        <v>3</v>
      </c>
      <c r="G45" s="32">
        <v>2</v>
      </c>
    </row>
    <row r="46" spans="1:7" x14ac:dyDescent="0.2">
      <c r="A46" s="9">
        <v>45</v>
      </c>
      <c r="B46" s="9">
        <v>5</v>
      </c>
      <c r="C46" s="9">
        <v>5</v>
      </c>
      <c r="D46" s="9">
        <v>5</v>
      </c>
      <c r="E46" s="9">
        <v>5</v>
      </c>
      <c r="F46" s="9">
        <v>3</v>
      </c>
      <c r="G46" s="9">
        <v>3</v>
      </c>
    </row>
    <row r="47" spans="1:7" x14ac:dyDescent="0.2">
      <c r="A47" s="9">
        <v>46</v>
      </c>
      <c r="B47" s="9">
        <v>3</v>
      </c>
      <c r="C47" s="9">
        <v>3</v>
      </c>
      <c r="D47" s="9">
        <v>2</v>
      </c>
      <c r="E47" s="9">
        <v>1</v>
      </c>
      <c r="F47" s="9">
        <v>3</v>
      </c>
      <c r="G47" s="9">
        <v>3</v>
      </c>
    </row>
    <row r="48" spans="1:7" x14ac:dyDescent="0.2">
      <c r="A48" s="9">
        <v>47</v>
      </c>
      <c r="B48" s="9">
        <v>3</v>
      </c>
      <c r="C48" s="9">
        <v>3</v>
      </c>
      <c r="D48" s="9">
        <v>2</v>
      </c>
      <c r="E48" s="9">
        <v>2</v>
      </c>
      <c r="F48" s="9">
        <v>3</v>
      </c>
      <c r="G48" s="9">
        <v>3</v>
      </c>
    </row>
    <row r="49" spans="1:7" x14ac:dyDescent="0.2">
      <c r="A49" s="9">
        <v>48</v>
      </c>
      <c r="B49" s="9">
        <v>4</v>
      </c>
      <c r="C49" s="9">
        <v>5</v>
      </c>
      <c r="D49" s="9">
        <v>4</v>
      </c>
      <c r="E49" s="9">
        <v>5</v>
      </c>
      <c r="F49" s="9">
        <v>4</v>
      </c>
      <c r="G49" s="9">
        <v>5</v>
      </c>
    </row>
    <row r="50" spans="1:7" x14ac:dyDescent="0.2">
      <c r="A50" s="9">
        <v>49</v>
      </c>
      <c r="B50" s="9">
        <v>4</v>
      </c>
      <c r="C50" s="9">
        <v>1</v>
      </c>
      <c r="D50" s="9">
        <v>3</v>
      </c>
      <c r="E50" s="9">
        <v>1</v>
      </c>
      <c r="F50" s="9">
        <v>5</v>
      </c>
      <c r="G50" s="9">
        <v>1</v>
      </c>
    </row>
    <row r="51" spans="1:7" x14ac:dyDescent="0.2">
      <c r="A51" s="9">
        <v>50</v>
      </c>
      <c r="B51" s="9">
        <v>3</v>
      </c>
      <c r="C51" s="9">
        <v>2</v>
      </c>
      <c r="D51" s="9">
        <v>1</v>
      </c>
      <c r="E51" s="9">
        <v>1</v>
      </c>
      <c r="F51" s="9">
        <v>5</v>
      </c>
      <c r="G51" s="9">
        <v>3</v>
      </c>
    </row>
    <row r="52" spans="1:7" x14ac:dyDescent="0.2">
      <c r="A52" s="9">
        <v>51</v>
      </c>
      <c r="B52" s="9">
        <v>2</v>
      </c>
      <c r="C52" s="9">
        <v>3</v>
      </c>
      <c r="D52" s="9">
        <v>1</v>
      </c>
      <c r="E52" s="9">
        <v>1</v>
      </c>
      <c r="F52" s="9">
        <v>2</v>
      </c>
      <c r="G52" s="9">
        <v>3</v>
      </c>
    </row>
    <row r="53" spans="1:7" x14ac:dyDescent="0.2">
      <c r="A53" s="9">
        <v>52</v>
      </c>
      <c r="B53" s="9">
        <v>4</v>
      </c>
      <c r="C53" s="9">
        <v>5</v>
      </c>
      <c r="D53" s="9">
        <v>4</v>
      </c>
      <c r="E53" s="9">
        <v>5</v>
      </c>
      <c r="F53" s="9">
        <v>2</v>
      </c>
      <c r="G53" s="9">
        <v>3</v>
      </c>
    </row>
    <row r="54" spans="1:7" x14ac:dyDescent="0.2">
      <c r="A54" s="9">
        <v>53</v>
      </c>
      <c r="B54" s="9">
        <v>3</v>
      </c>
      <c r="C54" s="9">
        <v>1</v>
      </c>
      <c r="D54" s="9">
        <v>3</v>
      </c>
      <c r="E54" s="9">
        <v>1</v>
      </c>
      <c r="F54" s="9">
        <v>3</v>
      </c>
      <c r="G54" s="9">
        <v>1</v>
      </c>
    </row>
    <row r="55" spans="1:7" x14ac:dyDescent="0.2">
      <c r="A55" s="9">
        <v>54</v>
      </c>
      <c r="B55" s="9">
        <v>2</v>
      </c>
      <c r="C55" s="9">
        <v>1</v>
      </c>
      <c r="D55" s="9">
        <v>2</v>
      </c>
      <c r="E55" s="9">
        <v>1</v>
      </c>
      <c r="F55" s="9">
        <v>2</v>
      </c>
      <c r="G55" s="9">
        <v>1</v>
      </c>
    </row>
    <row r="56" spans="1:7" x14ac:dyDescent="0.2">
      <c r="A56" s="9">
        <v>55</v>
      </c>
      <c r="B56" s="9">
        <v>3</v>
      </c>
      <c r="C56" s="9">
        <v>5</v>
      </c>
      <c r="D56" s="9">
        <v>3</v>
      </c>
      <c r="E56" s="9">
        <v>5</v>
      </c>
      <c r="F56" s="9">
        <v>3</v>
      </c>
      <c r="G56" s="9">
        <v>5</v>
      </c>
    </row>
    <row r="57" spans="1:7" x14ac:dyDescent="0.2">
      <c r="A57" s="9">
        <v>56</v>
      </c>
      <c r="B57" s="9">
        <v>5</v>
      </c>
      <c r="C57" s="9">
        <v>1</v>
      </c>
      <c r="D57" s="9">
        <v>4</v>
      </c>
      <c r="E57" s="9">
        <v>1</v>
      </c>
      <c r="F57" s="9">
        <v>5</v>
      </c>
      <c r="G57" s="9">
        <v>2</v>
      </c>
    </row>
    <row r="58" spans="1:7" x14ac:dyDescent="0.2">
      <c r="A58" s="9">
        <v>57</v>
      </c>
      <c r="B58" s="9">
        <v>3</v>
      </c>
      <c r="C58" s="9">
        <v>3</v>
      </c>
      <c r="D58" s="9">
        <v>1</v>
      </c>
      <c r="E58" s="9">
        <v>1</v>
      </c>
      <c r="F58" s="9">
        <v>3</v>
      </c>
      <c r="G58" s="9">
        <v>3</v>
      </c>
    </row>
    <row r="59" spans="1:7" x14ac:dyDescent="0.2">
      <c r="A59" s="9">
        <v>58</v>
      </c>
      <c r="B59" s="11">
        <v>4</v>
      </c>
      <c r="C59" s="11">
        <v>2</v>
      </c>
      <c r="D59" s="11">
        <v>3</v>
      </c>
      <c r="E59" s="11">
        <v>1</v>
      </c>
      <c r="F59" s="11">
        <v>4</v>
      </c>
      <c r="G59" s="11">
        <v>2</v>
      </c>
    </row>
    <row r="60" spans="1:7" x14ac:dyDescent="0.2">
      <c r="A60" s="9">
        <v>59</v>
      </c>
      <c r="B60" s="11">
        <v>3</v>
      </c>
      <c r="C60" s="11">
        <v>3</v>
      </c>
      <c r="D60" s="11">
        <v>3</v>
      </c>
      <c r="E60" s="11">
        <v>2</v>
      </c>
      <c r="F60" s="11">
        <v>5</v>
      </c>
      <c r="G60" s="11">
        <v>4</v>
      </c>
    </row>
    <row r="61" spans="1:7" x14ac:dyDescent="0.2">
      <c r="A61" s="9">
        <v>60</v>
      </c>
      <c r="B61" s="11">
        <v>3</v>
      </c>
      <c r="C61" s="11">
        <v>1</v>
      </c>
      <c r="D61" s="11">
        <v>2</v>
      </c>
      <c r="E61" s="11">
        <v>1</v>
      </c>
      <c r="F61" s="11">
        <v>2</v>
      </c>
      <c r="G61" s="11">
        <v>1</v>
      </c>
    </row>
    <row r="62" spans="1:7" x14ac:dyDescent="0.2">
      <c r="A62" s="9">
        <v>61</v>
      </c>
      <c r="B62" s="11">
        <v>3</v>
      </c>
      <c r="C62" s="11">
        <v>5</v>
      </c>
      <c r="D62" s="11">
        <v>5</v>
      </c>
      <c r="E62" s="11">
        <v>5</v>
      </c>
      <c r="F62" s="11">
        <v>5</v>
      </c>
      <c r="G62" s="11">
        <v>5</v>
      </c>
    </row>
    <row r="63" spans="1:7" x14ac:dyDescent="0.2">
      <c r="A63" s="9">
        <v>62</v>
      </c>
      <c r="B63" s="11">
        <v>3</v>
      </c>
      <c r="C63" s="11">
        <v>1</v>
      </c>
      <c r="D63" s="11">
        <v>3</v>
      </c>
      <c r="E63" s="11">
        <v>1</v>
      </c>
      <c r="F63" s="11">
        <v>4</v>
      </c>
      <c r="G63" s="11">
        <v>1</v>
      </c>
    </row>
    <row r="64" spans="1:7" x14ac:dyDescent="0.2">
      <c r="A64" s="9">
        <v>63</v>
      </c>
      <c r="B64" s="11">
        <v>3</v>
      </c>
      <c r="C64" s="11">
        <v>5</v>
      </c>
      <c r="D64" s="11">
        <v>3</v>
      </c>
      <c r="E64" s="11">
        <v>1</v>
      </c>
      <c r="F64" s="11">
        <v>3</v>
      </c>
      <c r="G64" s="11">
        <v>2</v>
      </c>
    </row>
    <row r="65" spans="1:7" x14ac:dyDescent="0.2">
      <c r="A65" s="9">
        <v>64</v>
      </c>
      <c r="B65" s="33"/>
      <c r="C65" s="33"/>
      <c r="D65" s="33"/>
      <c r="E65" s="33"/>
      <c r="F65" s="33"/>
      <c r="G65" s="33"/>
    </row>
    <row r="66" spans="1:7" x14ac:dyDescent="0.2">
      <c r="A66" s="9">
        <v>65</v>
      </c>
      <c r="B66" s="11">
        <v>3</v>
      </c>
      <c r="C66" s="11">
        <v>3</v>
      </c>
      <c r="D66" s="11">
        <v>1</v>
      </c>
      <c r="E66" s="11">
        <v>1</v>
      </c>
      <c r="F66" s="11">
        <v>5</v>
      </c>
      <c r="G66" s="11">
        <v>5</v>
      </c>
    </row>
    <row r="67" spans="1:7" x14ac:dyDescent="0.2">
      <c r="A67" s="9">
        <v>66</v>
      </c>
      <c r="B67" s="11">
        <v>1</v>
      </c>
      <c r="C67" s="11">
        <v>1</v>
      </c>
      <c r="D67" s="11">
        <v>1</v>
      </c>
      <c r="E67" s="11">
        <v>1</v>
      </c>
      <c r="F67" s="11">
        <v>2</v>
      </c>
      <c r="G67" s="11">
        <v>2</v>
      </c>
    </row>
    <row r="68" spans="1:7" x14ac:dyDescent="0.2">
      <c r="A68" s="9">
        <v>67</v>
      </c>
      <c r="B68" s="11">
        <v>3</v>
      </c>
      <c r="C68" s="11">
        <v>3</v>
      </c>
      <c r="D68" s="11">
        <v>1</v>
      </c>
      <c r="E68" s="11">
        <v>1</v>
      </c>
      <c r="F68" s="11">
        <v>3</v>
      </c>
      <c r="G68" s="11">
        <v>3</v>
      </c>
    </row>
    <row r="69" spans="1:7" x14ac:dyDescent="0.2">
      <c r="A69" s="9">
        <v>68</v>
      </c>
      <c r="B69" s="11">
        <v>5</v>
      </c>
      <c r="C69" s="11">
        <v>5</v>
      </c>
      <c r="D69" s="11">
        <v>5</v>
      </c>
      <c r="E69" s="11">
        <v>5</v>
      </c>
      <c r="F69" s="11">
        <v>5</v>
      </c>
      <c r="G69" s="11">
        <v>5</v>
      </c>
    </row>
    <row r="70" spans="1:7" x14ac:dyDescent="0.2">
      <c r="A70" s="9">
        <v>69</v>
      </c>
      <c r="B70" s="11">
        <v>3</v>
      </c>
      <c r="C70" s="11">
        <v>3</v>
      </c>
      <c r="D70" s="11">
        <v>3</v>
      </c>
      <c r="E70" s="11">
        <v>3</v>
      </c>
      <c r="F70" s="11">
        <v>3</v>
      </c>
      <c r="G70" s="11">
        <v>3</v>
      </c>
    </row>
    <row r="71" spans="1:7" x14ac:dyDescent="0.2">
      <c r="A71" s="9">
        <v>70</v>
      </c>
      <c r="B71" s="11">
        <v>3</v>
      </c>
      <c r="C71" s="11">
        <v>5</v>
      </c>
      <c r="D71" s="11">
        <v>5</v>
      </c>
      <c r="E71" s="11">
        <v>5</v>
      </c>
      <c r="F71" s="11">
        <v>2</v>
      </c>
      <c r="G71" s="11">
        <v>5</v>
      </c>
    </row>
    <row r="72" spans="1:7" x14ac:dyDescent="0.2">
      <c r="A72" s="9">
        <v>71</v>
      </c>
      <c r="B72" s="11">
        <v>5</v>
      </c>
      <c r="C72" s="11">
        <v>3</v>
      </c>
      <c r="D72" s="11">
        <v>1</v>
      </c>
      <c r="E72" s="11">
        <v>1</v>
      </c>
      <c r="F72" s="11">
        <v>5</v>
      </c>
      <c r="G72" s="11">
        <v>3</v>
      </c>
    </row>
    <row r="73" spans="1:7" x14ac:dyDescent="0.2">
      <c r="A73" s="9">
        <v>72</v>
      </c>
      <c r="B73" s="11">
        <v>3</v>
      </c>
      <c r="C73" s="11">
        <v>4</v>
      </c>
      <c r="D73" s="11">
        <v>3</v>
      </c>
      <c r="E73" s="11">
        <v>4</v>
      </c>
      <c r="F73" s="11">
        <v>3</v>
      </c>
      <c r="G73" s="11">
        <v>4</v>
      </c>
    </row>
    <row r="74" spans="1:7" x14ac:dyDescent="0.2">
      <c r="A74" s="9">
        <v>73</v>
      </c>
      <c r="B74" s="33">
        <v>1</v>
      </c>
      <c r="C74" s="33">
        <v>3</v>
      </c>
      <c r="D74" s="33">
        <v>4</v>
      </c>
      <c r="E74" s="33">
        <v>5</v>
      </c>
      <c r="F74" s="33">
        <v>1</v>
      </c>
      <c r="G74" s="33">
        <v>3</v>
      </c>
    </row>
    <row r="75" spans="1:7" x14ac:dyDescent="0.2">
      <c r="A75" s="9">
        <v>74</v>
      </c>
      <c r="B75" s="11">
        <v>5</v>
      </c>
      <c r="C75" s="11">
        <v>5</v>
      </c>
      <c r="D75" s="11">
        <v>1</v>
      </c>
      <c r="E75" s="11">
        <v>1</v>
      </c>
      <c r="F75" s="11">
        <v>5</v>
      </c>
      <c r="G75" s="11">
        <v>5</v>
      </c>
    </row>
    <row r="76" spans="1:7" x14ac:dyDescent="0.2">
      <c r="A76" s="9">
        <v>75</v>
      </c>
      <c r="B76" s="33">
        <v>2</v>
      </c>
      <c r="C76" s="33">
        <v>4</v>
      </c>
      <c r="D76" s="33">
        <v>2</v>
      </c>
      <c r="E76" s="33">
        <v>3</v>
      </c>
      <c r="F76" s="33">
        <v>2</v>
      </c>
      <c r="G76" s="33">
        <v>4</v>
      </c>
    </row>
    <row r="77" spans="1:7" x14ac:dyDescent="0.2">
      <c r="A77" s="9">
        <v>76</v>
      </c>
      <c r="B77" s="11">
        <v>5</v>
      </c>
      <c r="C77" s="11">
        <v>3</v>
      </c>
      <c r="D77" s="11">
        <v>1</v>
      </c>
      <c r="E77" s="11">
        <v>1</v>
      </c>
      <c r="F77" s="11">
        <v>5</v>
      </c>
      <c r="G77" s="11">
        <v>3</v>
      </c>
    </row>
    <row r="78" spans="1:7" x14ac:dyDescent="0.2">
      <c r="A78" s="9">
        <v>77</v>
      </c>
      <c r="B78" s="11">
        <v>3</v>
      </c>
      <c r="C78" s="11">
        <v>4</v>
      </c>
      <c r="D78" s="11">
        <v>3</v>
      </c>
      <c r="E78" s="11">
        <v>5</v>
      </c>
      <c r="F78" s="11">
        <v>3</v>
      </c>
      <c r="G78" s="11">
        <v>4</v>
      </c>
    </row>
    <row r="79" spans="1:7" x14ac:dyDescent="0.2">
      <c r="A79" s="9">
        <v>78</v>
      </c>
      <c r="B79" s="11">
        <v>3</v>
      </c>
      <c r="C79" s="11">
        <v>3</v>
      </c>
      <c r="D79" s="11">
        <v>1</v>
      </c>
      <c r="E79" s="11">
        <v>1</v>
      </c>
      <c r="F79" s="11">
        <v>5</v>
      </c>
      <c r="G79" s="11">
        <v>1</v>
      </c>
    </row>
    <row r="80" spans="1:7" x14ac:dyDescent="0.2">
      <c r="A80" s="9">
        <v>79</v>
      </c>
      <c r="B80" s="11">
        <v>3</v>
      </c>
      <c r="C80" s="11">
        <v>5</v>
      </c>
      <c r="D80" s="11">
        <v>2</v>
      </c>
      <c r="E80" s="11">
        <v>1</v>
      </c>
      <c r="F80" s="11">
        <v>1</v>
      </c>
      <c r="G80" s="11">
        <v>1</v>
      </c>
    </row>
    <row r="81" spans="1:7" x14ac:dyDescent="0.2">
      <c r="A81" s="9">
        <v>80</v>
      </c>
      <c r="B81" s="11">
        <v>3</v>
      </c>
      <c r="C81" s="11">
        <v>2</v>
      </c>
      <c r="D81" s="11">
        <v>2</v>
      </c>
      <c r="E81" s="11">
        <v>1</v>
      </c>
      <c r="F81" s="11">
        <v>4</v>
      </c>
      <c r="G81" s="11">
        <v>3</v>
      </c>
    </row>
    <row r="82" spans="1:7" x14ac:dyDescent="0.2">
      <c r="A82" s="9">
        <v>81</v>
      </c>
      <c r="B82" s="11">
        <v>3</v>
      </c>
      <c r="C82" s="11">
        <v>3</v>
      </c>
      <c r="D82" s="11">
        <v>3</v>
      </c>
      <c r="E82" s="11">
        <v>3</v>
      </c>
      <c r="F82" s="11">
        <v>3</v>
      </c>
      <c r="G82" s="11">
        <v>3</v>
      </c>
    </row>
    <row r="83" spans="1:7" x14ac:dyDescent="0.2">
      <c r="A83" s="9">
        <v>82</v>
      </c>
      <c r="B83" s="11">
        <v>5</v>
      </c>
      <c r="C83" s="11">
        <v>1</v>
      </c>
      <c r="D83" s="11">
        <v>2</v>
      </c>
      <c r="E83" s="11">
        <v>1</v>
      </c>
      <c r="F83" s="11">
        <v>5</v>
      </c>
      <c r="G83" s="11">
        <v>2</v>
      </c>
    </row>
    <row r="84" spans="1:7" x14ac:dyDescent="0.2">
      <c r="A84" s="9">
        <v>83</v>
      </c>
      <c r="B84" s="11">
        <v>3</v>
      </c>
      <c r="C84" s="11">
        <v>1</v>
      </c>
      <c r="D84" s="11">
        <v>3</v>
      </c>
      <c r="E84" s="11">
        <v>1</v>
      </c>
      <c r="F84" s="11">
        <v>3</v>
      </c>
      <c r="G84" s="11">
        <v>1</v>
      </c>
    </row>
    <row r="85" spans="1:7" x14ac:dyDescent="0.2">
      <c r="A85" s="9">
        <v>84</v>
      </c>
      <c r="B85" s="11">
        <v>4</v>
      </c>
      <c r="C85" s="11">
        <v>5</v>
      </c>
      <c r="D85" s="11">
        <v>5</v>
      </c>
      <c r="E85" s="11">
        <v>5</v>
      </c>
      <c r="F85" s="11">
        <v>5</v>
      </c>
      <c r="G85" s="11">
        <v>5</v>
      </c>
    </row>
    <row r="86" spans="1:7" x14ac:dyDescent="0.2">
      <c r="A86" s="9">
        <v>85</v>
      </c>
      <c r="B86" s="11">
        <v>1</v>
      </c>
      <c r="C86" s="11">
        <v>1</v>
      </c>
      <c r="D86" s="11">
        <v>3</v>
      </c>
      <c r="E86" s="11">
        <v>1</v>
      </c>
      <c r="F86" s="11">
        <v>2</v>
      </c>
      <c r="G86" s="11">
        <v>1</v>
      </c>
    </row>
    <row r="87" spans="1:7" x14ac:dyDescent="0.2">
      <c r="A87" s="9">
        <v>86</v>
      </c>
      <c r="B87" s="33"/>
      <c r="C87" s="33"/>
      <c r="D87" s="33"/>
      <c r="E87" s="33"/>
      <c r="F87" s="33"/>
      <c r="G87" s="33"/>
    </row>
    <row r="88" spans="1:7" x14ac:dyDescent="0.2">
      <c r="A88" s="9">
        <v>87</v>
      </c>
      <c r="B88" s="11">
        <v>3</v>
      </c>
      <c r="C88" s="11">
        <v>3</v>
      </c>
      <c r="D88" s="11">
        <v>3</v>
      </c>
      <c r="E88" s="11">
        <v>3</v>
      </c>
      <c r="F88" s="11">
        <v>3</v>
      </c>
      <c r="G88" s="11">
        <v>3</v>
      </c>
    </row>
    <row r="89" spans="1:7" x14ac:dyDescent="0.2">
      <c r="A89" s="9">
        <v>88</v>
      </c>
      <c r="B89" s="11">
        <v>5</v>
      </c>
      <c r="C89" s="11">
        <v>5</v>
      </c>
      <c r="D89" s="11">
        <v>4</v>
      </c>
      <c r="E89" s="11">
        <v>5</v>
      </c>
      <c r="F89" s="11">
        <v>3</v>
      </c>
      <c r="G89" s="11">
        <v>1</v>
      </c>
    </row>
    <row r="90" spans="1:7" x14ac:dyDescent="0.2">
      <c r="A90" s="9">
        <v>89</v>
      </c>
      <c r="B90" s="11">
        <v>3</v>
      </c>
      <c r="C90" s="11">
        <v>2</v>
      </c>
      <c r="D90" s="11">
        <v>2</v>
      </c>
      <c r="E90" s="11">
        <v>1</v>
      </c>
      <c r="F90" s="11">
        <v>4</v>
      </c>
      <c r="G90" s="11">
        <v>1</v>
      </c>
    </row>
    <row r="91" spans="1:7" x14ac:dyDescent="0.2">
      <c r="A91" s="9">
        <v>90</v>
      </c>
      <c r="B91" s="11">
        <v>3</v>
      </c>
      <c r="C91" s="11">
        <v>3</v>
      </c>
      <c r="D91" s="11">
        <v>1</v>
      </c>
      <c r="E91" s="11">
        <v>1</v>
      </c>
      <c r="F91" s="11">
        <v>3</v>
      </c>
      <c r="G91" s="11">
        <v>2</v>
      </c>
    </row>
    <row r="92" spans="1:7" x14ac:dyDescent="0.2">
      <c r="A92" s="9">
        <v>91</v>
      </c>
      <c r="B92" s="33">
        <v>1</v>
      </c>
      <c r="C92" s="33">
        <v>1</v>
      </c>
      <c r="D92" s="33">
        <v>1</v>
      </c>
      <c r="E92" s="33">
        <v>1</v>
      </c>
      <c r="F92" s="33">
        <v>1</v>
      </c>
      <c r="G92" s="33">
        <v>1</v>
      </c>
    </row>
    <row r="93" spans="1:7" x14ac:dyDescent="0.2">
      <c r="A93" s="9">
        <v>92</v>
      </c>
      <c r="B93" s="11">
        <v>3</v>
      </c>
      <c r="C93" s="11">
        <v>4</v>
      </c>
      <c r="D93" s="11">
        <v>4</v>
      </c>
      <c r="E93" s="11">
        <v>4</v>
      </c>
      <c r="F93" s="11">
        <v>4</v>
      </c>
      <c r="G93" s="11">
        <v>4</v>
      </c>
    </row>
    <row r="94" spans="1:7" x14ac:dyDescent="0.2">
      <c r="A94" s="9">
        <v>93</v>
      </c>
      <c r="B94" s="11">
        <v>3</v>
      </c>
      <c r="C94" s="11">
        <v>3</v>
      </c>
      <c r="D94" s="11">
        <v>3</v>
      </c>
      <c r="E94" s="11">
        <v>3</v>
      </c>
      <c r="F94" s="11">
        <v>3</v>
      </c>
      <c r="G94" s="11">
        <v>3</v>
      </c>
    </row>
    <row r="95" spans="1:7" x14ac:dyDescent="0.2">
      <c r="A95" s="9">
        <v>94</v>
      </c>
      <c r="B95" s="11">
        <v>2</v>
      </c>
      <c r="C95" s="11">
        <v>1</v>
      </c>
      <c r="D95" s="11">
        <v>2</v>
      </c>
      <c r="E95" s="11">
        <v>1</v>
      </c>
      <c r="F95" s="11">
        <v>2</v>
      </c>
      <c r="G95" s="11">
        <v>1</v>
      </c>
    </row>
    <row r="96" spans="1:7" x14ac:dyDescent="0.2">
      <c r="A96" s="9">
        <v>95</v>
      </c>
      <c r="B96" s="11">
        <v>3</v>
      </c>
      <c r="C96" s="11">
        <v>2</v>
      </c>
      <c r="D96" s="11">
        <v>2</v>
      </c>
      <c r="E96" s="11">
        <v>1</v>
      </c>
      <c r="F96" s="11">
        <v>3</v>
      </c>
      <c r="G96" s="11">
        <v>2</v>
      </c>
    </row>
    <row r="97" spans="1:7" x14ac:dyDescent="0.2">
      <c r="A97" s="9">
        <v>96</v>
      </c>
      <c r="B97" s="11">
        <v>3</v>
      </c>
      <c r="C97" s="11">
        <v>3</v>
      </c>
      <c r="D97" s="11">
        <v>1</v>
      </c>
      <c r="E97" s="11">
        <v>1</v>
      </c>
      <c r="F97" s="11">
        <v>4</v>
      </c>
      <c r="G97" s="11">
        <v>2</v>
      </c>
    </row>
    <row r="98" spans="1:7" x14ac:dyDescent="0.2">
      <c r="A98" s="9">
        <v>97</v>
      </c>
      <c r="B98" s="11">
        <v>2</v>
      </c>
      <c r="C98" s="11">
        <v>5</v>
      </c>
      <c r="D98" s="11">
        <v>4</v>
      </c>
      <c r="E98" s="11">
        <v>5</v>
      </c>
      <c r="F98" s="11">
        <v>1</v>
      </c>
      <c r="G98" s="11">
        <v>1</v>
      </c>
    </row>
    <row r="99" spans="1:7" x14ac:dyDescent="0.2">
      <c r="A99" s="9">
        <v>98</v>
      </c>
      <c r="B99" s="11">
        <v>4</v>
      </c>
      <c r="C99" s="11">
        <v>5</v>
      </c>
      <c r="D99" s="11">
        <v>4</v>
      </c>
      <c r="E99" s="11">
        <v>4</v>
      </c>
      <c r="F99" s="11">
        <v>3</v>
      </c>
      <c r="G99" s="11">
        <v>3</v>
      </c>
    </row>
    <row r="100" spans="1:7" x14ac:dyDescent="0.2">
      <c r="A100" s="9">
        <v>99</v>
      </c>
      <c r="B100" s="11">
        <v>3</v>
      </c>
      <c r="C100" s="11">
        <v>2</v>
      </c>
      <c r="D100" s="11">
        <v>2</v>
      </c>
      <c r="E100" s="11">
        <v>2</v>
      </c>
      <c r="F100" s="11">
        <v>3</v>
      </c>
      <c r="G100" s="11">
        <v>3</v>
      </c>
    </row>
    <row r="101" spans="1:7" x14ac:dyDescent="0.2">
      <c r="A101" s="9">
        <v>100</v>
      </c>
      <c r="B101" s="11">
        <v>4</v>
      </c>
      <c r="C101" s="11">
        <v>4</v>
      </c>
      <c r="D101" s="11">
        <v>1</v>
      </c>
      <c r="E101" s="11">
        <v>1</v>
      </c>
      <c r="F101" s="11">
        <v>5</v>
      </c>
      <c r="G101" s="11">
        <v>5</v>
      </c>
    </row>
    <row r="102" spans="1:7" x14ac:dyDescent="0.2">
      <c r="A102" s="9">
        <v>101</v>
      </c>
      <c r="B102" s="11">
        <v>3</v>
      </c>
      <c r="C102" s="11">
        <v>3</v>
      </c>
      <c r="D102" s="11">
        <v>3</v>
      </c>
      <c r="E102" s="11">
        <v>3</v>
      </c>
      <c r="F102" s="11">
        <v>3</v>
      </c>
      <c r="G102" s="11">
        <v>3</v>
      </c>
    </row>
    <row r="103" spans="1:7" x14ac:dyDescent="0.2">
      <c r="A103" s="9">
        <v>102</v>
      </c>
      <c r="B103" s="11">
        <v>3</v>
      </c>
      <c r="C103" s="11">
        <v>3</v>
      </c>
      <c r="D103" s="11">
        <v>2</v>
      </c>
      <c r="E103" s="11">
        <v>2</v>
      </c>
      <c r="F103" s="11">
        <v>3</v>
      </c>
      <c r="G103" s="11">
        <v>3</v>
      </c>
    </row>
    <row r="104" spans="1:7" x14ac:dyDescent="0.2">
      <c r="A104" s="9">
        <v>103</v>
      </c>
      <c r="B104" s="11">
        <v>1</v>
      </c>
      <c r="C104" s="11">
        <v>1</v>
      </c>
      <c r="D104" s="11">
        <v>2</v>
      </c>
      <c r="E104" s="11">
        <v>1</v>
      </c>
      <c r="F104" s="11">
        <v>1</v>
      </c>
      <c r="G104" s="11">
        <v>1</v>
      </c>
    </row>
    <row r="105" spans="1:7" x14ac:dyDescent="0.2">
      <c r="A105" s="9">
        <v>104</v>
      </c>
      <c r="B105" s="11">
        <v>3</v>
      </c>
      <c r="C105" s="11">
        <v>3</v>
      </c>
      <c r="D105" s="11">
        <v>3</v>
      </c>
      <c r="E105" s="11">
        <v>3</v>
      </c>
      <c r="F105" s="11">
        <v>3</v>
      </c>
      <c r="G105" s="11">
        <v>3</v>
      </c>
    </row>
    <row r="106" spans="1:7" x14ac:dyDescent="0.2">
      <c r="A106" s="9">
        <v>105</v>
      </c>
      <c r="B106" s="11">
        <v>2</v>
      </c>
      <c r="C106" s="11">
        <v>2</v>
      </c>
      <c r="D106" s="11">
        <v>1</v>
      </c>
      <c r="E106" s="11">
        <v>1</v>
      </c>
      <c r="F106" s="11">
        <v>1</v>
      </c>
      <c r="G106" s="11">
        <v>1</v>
      </c>
    </row>
    <row r="107" spans="1:7" x14ac:dyDescent="0.2">
      <c r="A107" s="9">
        <v>106</v>
      </c>
      <c r="B107" s="11">
        <v>5</v>
      </c>
      <c r="C107" s="11">
        <v>5</v>
      </c>
      <c r="D107" s="11">
        <v>1</v>
      </c>
      <c r="E107" s="11">
        <v>1</v>
      </c>
      <c r="F107" s="11">
        <v>5</v>
      </c>
      <c r="G107" s="11">
        <v>5</v>
      </c>
    </row>
    <row r="108" spans="1:7" x14ac:dyDescent="0.2">
      <c r="A108" s="9">
        <v>107</v>
      </c>
      <c r="B108" s="11">
        <v>1</v>
      </c>
      <c r="C108" s="11">
        <v>3</v>
      </c>
      <c r="D108" s="11">
        <v>2</v>
      </c>
      <c r="E108" s="11">
        <v>3</v>
      </c>
      <c r="F108" s="11">
        <v>5</v>
      </c>
      <c r="G108" s="11">
        <v>3</v>
      </c>
    </row>
    <row r="109" spans="1:7" x14ac:dyDescent="0.2">
      <c r="A109" s="9">
        <v>108</v>
      </c>
      <c r="B109" s="11">
        <v>1</v>
      </c>
      <c r="C109" s="11">
        <v>1</v>
      </c>
      <c r="D109" s="11">
        <v>1</v>
      </c>
      <c r="E109" s="11">
        <v>1</v>
      </c>
      <c r="F109" s="11">
        <v>1</v>
      </c>
      <c r="G109" s="11">
        <v>1</v>
      </c>
    </row>
    <row r="110" spans="1:7" x14ac:dyDescent="0.2">
      <c r="A110" s="9">
        <v>109</v>
      </c>
      <c r="B110" s="11">
        <v>3</v>
      </c>
      <c r="C110" s="11">
        <v>1</v>
      </c>
      <c r="D110" s="11">
        <v>2</v>
      </c>
      <c r="E110" s="11">
        <v>1</v>
      </c>
      <c r="F110" s="11">
        <v>4</v>
      </c>
      <c r="G110" s="11">
        <v>3</v>
      </c>
    </row>
    <row r="111" spans="1:7" x14ac:dyDescent="0.2">
      <c r="A111" s="9">
        <v>110</v>
      </c>
      <c r="B111" s="11">
        <v>1</v>
      </c>
      <c r="C111" s="11">
        <v>1</v>
      </c>
      <c r="D111" s="11">
        <v>1</v>
      </c>
      <c r="E111" s="11">
        <v>1</v>
      </c>
      <c r="F111" s="11">
        <v>2</v>
      </c>
      <c r="G111" s="11">
        <v>2</v>
      </c>
    </row>
    <row r="112" spans="1:7" x14ac:dyDescent="0.2">
      <c r="A112" s="9">
        <v>111</v>
      </c>
      <c r="B112" s="11">
        <v>4</v>
      </c>
      <c r="C112" s="11">
        <v>3</v>
      </c>
      <c r="D112" s="11">
        <v>1</v>
      </c>
      <c r="E112" s="11">
        <v>1</v>
      </c>
      <c r="F112" s="11">
        <v>4</v>
      </c>
      <c r="G112" s="11">
        <v>3</v>
      </c>
    </row>
    <row r="113" spans="1:7" x14ac:dyDescent="0.2">
      <c r="A113" s="9">
        <v>112</v>
      </c>
      <c r="B113" s="11">
        <v>3</v>
      </c>
      <c r="C113" s="11">
        <v>2</v>
      </c>
      <c r="D113" s="11">
        <v>2</v>
      </c>
      <c r="E113" s="11">
        <v>1</v>
      </c>
      <c r="F113" s="11">
        <v>3</v>
      </c>
      <c r="G113" s="11">
        <v>1</v>
      </c>
    </row>
    <row r="114" spans="1:7" x14ac:dyDescent="0.2">
      <c r="A114" s="9">
        <v>113</v>
      </c>
      <c r="B114" s="33">
        <v>3</v>
      </c>
      <c r="C114" s="33">
        <v>2</v>
      </c>
      <c r="D114" s="33">
        <v>2</v>
      </c>
      <c r="E114" s="33">
        <v>1</v>
      </c>
      <c r="F114" s="33">
        <v>3</v>
      </c>
      <c r="G114" s="33">
        <v>2</v>
      </c>
    </row>
    <row r="115" spans="1:7" x14ac:dyDescent="0.2">
      <c r="A115" s="9">
        <v>114</v>
      </c>
      <c r="B115" s="11">
        <v>5</v>
      </c>
      <c r="C115" s="11">
        <v>3</v>
      </c>
      <c r="D115" s="11">
        <v>2</v>
      </c>
      <c r="E115" s="11">
        <v>1</v>
      </c>
      <c r="F115" s="11">
        <v>5</v>
      </c>
      <c r="G115" s="11">
        <v>4</v>
      </c>
    </row>
    <row r="116" spans="1:7" x14ac:dyDescent="0.2">
      <c r="A116" s="9">
        <v>115</v>
      </c>
      <c r="B116" s="11">
        <v>4</v>
      </c>
      <c r="C116" s="11">
        <v>2</v>
      </c>
      <c r="D116" s="11">
        <v>1</v>
      </c>
      <c r="E116" s="11">
        <v>1</v>
      </c>
      <c r="F116" s="11">
        <v>4</v>
      </c>
      <c r="G116" s="11">
        <v>2</v>
      </c>
    </row>
    <row r="117" spans="1:7" x14ac:dyDescent="0.2">
      <c r="A117" s="9">
        <v>116</v>
      </c>
      <c r="B117" s="11">
        <v>3</v>
      </c>
      <c r="C117" s="11">
        <v>2</v>
      </c>
      <c r="D117" s="11">
        <v>1</v>
      </c>
      <c r="E117" s="11">
        <v>1</v>
      </c>
      <c r="F117" s="11">
        <v>3</v>
      </c>
      <c r="G117" s="11">
        <v>1</v>
      </c>
    </row>
    <row r="118" spans="1:7" x14ac:dyDescent="0.2">
      <c r="A118" s="9">
        <v>117</v>
      </c>
      <c r="B118" s="11">
        <v>4</v>
      </c>
      <c r="C118" s="11">
        <v>4</v>
      </c>
      <c r="D118" s="11">
        <v>2</v>
      </c>
      <c r="E118" s="11">
        <v>2</v>
      </c>
      <c r="F118" s="11">
        <v>3</v>
      </c>
      <c r="G118" s="11">
        <v>3</v>
      </c>
    </row>
    <row r="119" spans="1:7" x14ac:dyDescent="0.2">
      <c r="A119" s="9">
        <v>118</v>
      </c>
      <c r="B119" s="11">
        <v>5</v>
      </c>
      <c r="C119" s="11">
        <v>5</v>
      </c>
      <c r="D119" s="11">
        <v>5</v>
      </c>
      <c r="E119" s="11">
        <v>5</v>
      </c>
      <c r="F119" s="11">
        <v>5</v>
      </c>
      <c r="G119" s="11">
        <v>5</v>
      </c>
    </row>
    <row r="120" spans="1:7" x14ac:dyDescent="0.2">
      <c r="A120" s="9">
        <v>119</v>
      </c>
      <c r="B120" s="11">
        <v>4</v>
      </c>
      <c r="C120" s="11">
        <v>1</v>
      </c>
      <c r="D120" s="11">
        <v>3</v>
      </c>
      <c r="E120" s="11">
        <v>1</v>
      </c>
      <c r="F120" s="11">
        <v>5</v>
      </c>
      <c r="G120" s="11">
        <v>1</v>
      </c>
    </row>
    <row r="121" spans="1:7" x14ac:dyDescent="0.2">
      <c r="A121" s="9">
        <v>120</v>
      </c>
      <c r="B121" s="11">
        <v>3</v>
      </c>
      <c r="C121" s="11">
        <v>3</v>
      </c>
      <c r="D121" s="11">
        <v>1</v>
      </c>
      <c r="E121" s="11">
        <v>1</v>
      </c>
      <c r="F121" s="11">
        <v>3</v>
      </c>
      <c r="G121" s="11">
        <v>3</v>
      </c>
    </row>
    <row r="122" spans="1:7" x14ac:dyDescent="0.2">
      <c r="A122" s="9">
        <v>121</v>
      </c>
      <c r="B122" s="11">
        <v>1</v>
      </c>
      <c r="C122" s="11">
        <v>1</v>
      </c>
      <c r="D122" s="11">
        <v>2</v>
      </c>
      <c r="E122" s="11">
        <v>1</v>
      </c>
      <c r="F122" s="11">
        <v>4</v>
      </c>
      <c r="G122" s="11">
        <v>3</v>
      </c>
    </row>
    <row r="123" spans="1:7" x14ac:dyDescent="0.2">
      <c r="A123" s="9">
        <v>122</v>
      </c>
      <c r="B123" s="11">
        <v>5</v>
      </c>
      <c r="C123" s="11">
        <v>4</v>
      </c>
      <c r="D123" s="11">
        <v>2</v>
      </c>
      <c r="E123" s="11">
        <v>1</v>
      </c>
      <c r="F123" s="11">
        <v>4</v>
      </c>
      <c r="G123" s="11">
        <v>4</v>
      </c>
    </row>
    <row r="124" spans="1:7" x14ac:dyDescent="0.2">
      <c r="A124" s="9">
        <v>123</v>
      </c>
      <c r="B124" s="11">
        <v>3</v>
      </c>
      <c r="C124" s="11">
        <v>2</v>
      </c>
      <c r="D124" s="11">
        <v>2</v>
      </c>
      <c r="E124" s="11">
        <v>1</v>
      </c>
      <c r="F124" s="11">
        <v>4</v>
      </c>
      <c r="G124" s="11">
        <v>3</v>
      </c>
    </row>
    <row r="125" spans="1:7" x14ac:dyDescent="0.2">
      <c r="A125" s="9">
        <v>124</v>
      </c>
      <c r="B125" s="11">
        <v>3</v>
      </c>
      <c r="C125" s="11">
        <v>1</v>
      </c>
      <c r="D125" s="11">
        <v>4</v>
      </c>
      <c r="E125" s="11">
        <v>1</v>
      </c>
      <c r="F125" s="11">
        <v>4</v>
      </c>
      <c r="G125" s="11">
        <v>1</v>
      </c>
    </row>
    <row r="126" spans="1:7" x14ac:dyDescent="0.2">
      <c r="A126" s="9">
        <v>125</v>
      </c>
      <c r="B126" s="11">
        <v>1</v>
      </c>
      <c r="C126" s="11">
        <v>1</v>
      </c>
      <c r="D126" s="11">
        <v>1</v>
      </c>
      <c r="E126" s="11">
        <v>1</v>
      </c>
      <c r="F126" s="11">
        <v>3</v>
      </c>
      <c r="G126" s="11">
        <v>3</v>
      </c>
    </row>
    <row r="127" spans="1:7" x14ac:dyDescent="0.2">
      <c r="A127" s="9">
        <v>126</v>
      </c>
      <c r="B127" s="11">
        <v>3</v>
      </c>
      <c r="C127" s="11">
        <v>3</v>
      </c>
      <c r="D127" s="11">
        <v>1</v>
      </c>
      <c r="E127" s="11">
        <v>1</v>
      </c>
      <c r="F127" s="11">
        <v>1</v>
      </c>
      <c r="G127" s="11">
        <v>1</v>
      </c>
    </row>
    <row r="128" spans="1:7" x14ac:dyDescent="0.2">
      <c r="A128" s="9">
        <v>127</v>
      </c>
      <c r="B128" s="11">
        <v>4</v>
      </c>
      <c r="C128" s="11">
        <v>2</v>
      </c>
      <c r="D128" s="11">
        <v>1</v>
      </c>
      <c r="E128" s="11">
        <v>1</v>
      </c>
      <c r="F128" s="11">
        <v>5</v>
      </c>
      <c r="G128" s="11">
        <v>2</v>
      </c>
    </row>
    <row r="129" spans="1:7" x14ac:dyDescent="0.2">
      <c r="A129" s="9">
        <v>128</v>
      </c>
      <c r="B129" s="11">
        <v>3</v>
      </c>
      <c r="C129" s="11">
        <v>3</v>
      </c>
      <c r="D129" s="11">
        <v>5</v>
      </c>
      <c r="E129" s="11">
        <v>5</v>
      </c>
      <c r="F129" s="11">
        <v>3</v>
      </c>
      <c r="G129" s="11">
        <v>3</v>
      </c>
    </row>
    <row r="130" spans="1:7" x14ac:dyDescent="0.2">
      <c r="A130" s="9">
        <v>129</v>
      </c>
      <c r="B130" s="11">
        <v>5</v>
      </c>
      <c r="C130" s="11">
        <v>5</v>
      </c>
      <c r="D130" s="11">
        <v>4</v>
      </c>
      <c r="E130" s="11">
        <v>4</v>
      </c>
      <c r="F130" s="11">
        <v>5</v>
      </c>
      <c r="G130" s="11">
        <v>5</v>
      </c>
    </row>
    <row r="131" spans="1:7" x14ac:dyDescent="0.2">
      <c r="A131" s="9">
        <v>130</v>
      </c>
      <c r="B131" s="11">
        <v>3</v>
      </c>
      <c r="C131" s="11">
        <v>3</v>
      </c>
      <c r="D131" s="11">
        <v>2</v>
      </c>
      <c r="E131" s="11">
        <v>1</v>
      </c>
      <c r="F131" s="11">
        <v>3</v>
      </c>
      <c r="G131" s="11">
        <v>2</v>
      </c>
    </row>
    <row r="132" spans="1:7" x14ac:dyDescent="0.2">
      <c r="A132" s="9">
        <v>131</v>
      </c>
      <c r="B132" s="11">
        <v>3</v>
      </c>
      <c r="C132" s="11">
        <v>3</v>
      </c>
      <c r="D132" s="11">
        <v>3</v>
      </c>
      <c r="E132" s="11">
        <v>3</v>
      </c>
      <c r="F132" s="11">
        <v>3</v>
      </c>
      <c r="G132" s="11">
        <v>3</v>
      </c>
    </row>
    <row r="133" spans="1:7" x14ac:dyDescent="0.2">
      <c r="A133" s="9">
        <v>132</v>
      </c>
      <c r="B133" s="11">
        <v>3</v>
      </c>
      <c r="C133" s="11">
        <v>3</v>
      </c>
      <c r="D133" s="11">
        <v>5</v>
      </c>
      <c r="E133" s="11">
        <v>5</v>
      </c>
      <c r="F133" s="11">
        <v>3</v>
      </c>
      <c r="G133" s="11">
        <v>3</v>
      </c>
    </row>
    <row r="134" spans="1:7" x14ac:dyDescent="0.2">
      <c r="A134" s="9">
        <v>133</v>
      </c>
      <c r="B134" s="11">
        <v>3</v>
      </c>
      <c r="C134" s="11">
        <v>3</v>
      </c>
      <c r="D134" s="11">
        <v>5</v>
      </c>
      <c r="E134" s="11">
        <v>5</v>
      </c>
      <c r="F134" s="11">
        <v>3</v>
      </c>
      <c r="G134" s="11">
        <v>5</v>
      </c>
    </row>
    <row r="135" spans="1:7" x14ac:dyDescent="0.2">
      <c r="A135" s="9">
        <v>134</v>
      </c>
      <c r="B135" s="11">
        <v>2</v>
      </c>
      <c r="C135" s="11">
        <v>1</v>
      </c>
      <c r="D135" s="11">
        <v>1</v>
      </c>
      <c r="E135" s="11">
        <v>1</v>
      </c>
      <c r="F135" s="11">
        <v>2</v>
      </c>
      <c r="G135" s="11">
        <v>1</v>
      </c>
    </row>
    <row r="136" spans="1:7" x14ac:dyDescent="0.2">
      <c r="A136" s="9">
        <v>135</v>
      </c>
      <c r="B136" s="11">
        <v>2</v>
      </c>
      <c r="C136" s="11">
        <v>5</v>
      </c>
      <c r="D136" s="11">
        <v>2</v>
      </c>
      <c r="E136" s="11">
        <v>4</v>
      </c>
      <c r="F136" s="11">
        <v>2</v>
      </c>
      <c r="G136" s="11">
        <v>5</v>
      </c>
    </row>
    <row r="137" spans="1:7" x14ac:dyDescent="0.2">
      <c r="A137" s="9">
        <v>136</v>
      </c>
      <c r="B137" s="11">
        <v>4</v>
      </c>
      <c r="C137" s="11">
        <v>2</v>
      </c>
      <c r="D137" s="11">
        <v>1</v>
      </c>
      <c r="E137" s="11">
        <v>1</v>
      </c>
      <c r="F137" s="11">
        <v>4</v>
      </c>
      <c r="G137" s="11">
        <v>2</v>
      </c>
    </row>
    <row r="138" spans="1:7" x14ac:dyDescent="0.2">
      <c r="A138" s="9">
        <v>137</v>
      </c>
      <c r="B138" s="11">
        <v>4</v>
      </c>
      <c r="C138" s="11">
        <v>5</v>
      </c>
      <c r="D138" s="11">
        <v>4</v>
      </c>
      <c r="E138" s="11">
        <v>5</v>
      </c>
      <c r="F138" s="11">
        <v>3</v>
      </c>
      <c r="G138" s="11">
        <v>5</v>
      </c>
    </row>
    <row r="139" spans="1:7" x14ac:dyDescent="0.2">
      <c r="A139" s="9">
        <v>138</v>
      </c>
      <c r="B139" s="33">
        <v>3</v>
      </c>
      <c r="C139" s="33">
        <v>1</v>
      </c>
      <c r="D139" s="33">
        <v>1</v>
      </c>
      <c r="E139" s="33">
        <v>2</v>
      </c>
      <c r="F139" s="33">
        <v>2</v>
      </c>
      <c r="G139" s="33">
        <v>2</v>
      </c>
    </row>
    <row r="140" spans="1:7" x14ac:dyDescent="0.2">
      <c r="A140" s="9">
        <v>139</v>
      </c>
      <c r="B140" s="11">
        <v>3</v>
      </c>
      <c r="C140" s="11">
        <v>5</v>
      </c>
      <c r="D140" s="11">
        <v>3</v>
      </c>
      <c r="E140" s="11">
        <v>5</v>
      </c>
      <c r="F140" s="11">
        <v>1</v>
      </c>
      <c r="G140" s="11">
        <v>2</v>
      </c>
    </row>
    <row r="141" spans="1:7" x14ac:dyDescent="0.2">
      <c r="A141" s="9">
        <v>140</v>
      </c>
      <c r="B141" s="11">
        <v>3</v>
      </c>
      <c r="C141" s="11">
        <v>3</v>
      </c>
      <c r="D141" s="11">
        <v>2</v>
      </c>
      <c r="E141" s="11">
        <v>2</v>
      </c>
      <c r="F141" s="11">
        <v>3</v>
      </c>
      <c r="G141" s="11">
        <v>3</v>
      </c>
    </row>
    <row r="142" spans="1:7" x14ac:dyDescent="0.2">
      <c r="A142" s="9">
        <v>141</v>
      </c>
      <c r="B142" s="11">
        <v>3</v>
      </c>
      <c r="C142" s="11">
        <v>2</v>
      </c>
      <c r="D142" s="11">
        <v>2</v>
      </c>
      <c r="E142" s="11">
        <v>1</v>
      </c>
      <c r="F142" s="11">
        <v>3</v>
      </c>
      <c r="G142" s="11">
        <v>2</v>
      </c>
    </row>
    <row r="143" spans="1:7" x14ac:dyDescent="0.2">
      <c r="A143" s="9">
        <v>142</v>
      </c>
      <c r="B143" s="33">
        <v>5</v>
      </c>
      <c r="C143" s="33">
        <v>5</v>
      </c>
      <c r="D143" s="33">
        <v>5</v>
      </c>
      <c r="E143" s="33">
        <v>5</v>
      </c>
      <c r="F143" s="33">
        <v>3</v>
      </c>
      <c r="G143" s="33">
        <v>5</v>
      </c>
    </row>
    <row r="144" spans="1:7" x14ac:dyDescent="0.2">
      <c r="A144" s="9">
        <v>143</v>
      </c>
      <c r="B144" s="11">
        <v>5</v>
      </c>
      <c r="C144" s="11">
        <v>5</v>
      </c>
      <c r="D144" s="11">
        <v>2</v>
      </c>
      <c r="E144" s="11">
        <v>1</v>
      </c>
      <c r="F144" s="11">
        <v>5</v>
      </c>
      <c r="G144" s="11">
        <v>5</v>
      </c>
    </row>
    <row r="145" spans="1:7" x14ac:dyDescent="0.2">
      <c r="A145" s="9">
        <v>144</v>
      </c>
      <c r="B145" s="11">
        <v>2</v>
      </c>
      <c r="C145" s="11">
        <v>4</v>
      </c>
      <c r="D145" s="11">
        <v>3</v>
      </c>
      <c r="E145" s="11">
        <v>5</v>
      </c>
      <c r="F145" s="11">
        <v>4</v>
      </c>
      <c r="G145" s="11">
        <v>5</v>
      </c>
    </row>
    <row r="146" spans="1:7" x14ac:dyDescent="0.2">
      <c r="A146" s="9">
        <v>145</v>
      </c>
      <c r="B146" s="11">
        <v>5</v>
      </c>
      <c r="C146" s="11">
        <v>5</v>
      </c>
      <c r="D146" s="11">
        <v>2</v>
      </c>
      <c r="E146" s="11">
        <v>1</v>
      </c>
      <c r="F146" s="11">
        <v>5</v>
      </c>
      <c r="G146" s="11">
        <v>5</v>
      </c>
    </row>
    <row r="147" spans="1:7" x14ac:dyDescent="0.2">
      <c r="A147" s="9">
        <v>146</v>
      </c>
      <c r="B147" s="11">
        <v>4</v>
      </c>
      <c r="C147" s="11">
        <v>5</v>
      </c>
      <c r="D147" s="11">
        <v>2</v>
      </c>
      <c r="E147" s="11">
        <v>5</v>
      </c>
      <c r="F147" s="11">
        <v>5</v>
      </c>
      <c r="G147" s="11">
        <v>5</v>
      </c>
    </row>
    <row r="148" spans="1:7" x14ac:dyDescent="0.2">
      <c r="A148" s="9">
        <v>147</v>
      </c>
      <c r="B148" s="11">
        <v>3</v>
      </c>
      <c r="C148" s="11">
        <v>2</v>
      </c>
      <c r="D148" s="11">
        <v>2</v>
      </c>
      <c r="E148" s="11">
        <v>2</v>
      </c>
      <c r="F148" s="11">
        <v>3</v>
      </c>
      <c r="G148" s="11">
        <v>2</v>
      </c>
    </row>
    <row r="149" spans="1:7" x14ac:dyDescent="0.2">
      <c r="A149" s="9">
        <v>148</v>
      </c>
      <c r="B149" s="11">
        <v>4</v>
      </c>
      <c r="C149" s="11">
        <v>4</v>
      </c>
      <c r="D149" s="11">
        <v>2</v>
      </c>
      <c r="E149" s="11">
        <v>1</v>
      </c>
      <c r="F149" s="11">
        <v>4</v>
      </c>
      <c r="G149" s="11">
        <v>4</v>
      </c>
    </row>
    <row r="150" spans="1:7" x14ac:dyDescent="0.2">
      <c r="A150" s="9">
        <v>149</v>
      </c>
      <c r="B150" s="11">
        <v>5</v>
      </c>
      <c r="C150" s="11">
        <v>5</v>
      </c>
      <c r="D150" s="11">
        <v>5</v>
      </c>
      <c r="E150" s="11">
        <v>5</v>
      </c>
      <c r="F150" s="11">
        <v>5</v>
      </c>
      <c r="G150" s="11">
        <v>5</v>
      </c>
    </row>
    <row r="151" spans="1:7" x14ac:dyDescent="0.2">
      <c r="A151" s="9">
        <v>150</v>
      </c>
      <c r="B151" s="11">
        <v>3</v>
      </c>
      <c r="C151" s="11">
        <v>3</v>
      </c>
      <c r="D151" s="11">
        <v>4</v>
      </c>
      <c r="E151" s="11">
        <v>2</v>
      </c>
      <c r="F151" s="11">
        <v>2</v>
      </c>
      <c r="G151" s="11">
        <v>1</v>
      </c>
    </row>
    <row r="152" spans="1:7" x14ac:dyDescent="0.2">
      <c r="A152" s="9">
        <v>151</v>
      </c>
      <c r="B152" s="33">
        <v>3</v>
      </c>
      <c r="C152" s="33">
        <v>1</v>
      </c>
      <c r="D152" s="33">
        <v>1</v>
      </c>
      <c r="E152" s="33">
        <v>1</v>
      </c>
      <c r="F152" s="33">
        <v>3</v>
      </c>
      <c r="G152" s="33">
        <v>1</v>
      </c>
    </row>
    <row r="153" spans="1:7" x14ac:dyDescent="0.2">
      <c r="A153" s="9">
        <v>152</v>
      </c>
      <c r="B153" s="11">
        <v>2</v>
      </c>
      <c r="C153" s="11">
        <v>3</v>
      </c>
      <c r="D153" s="11">
        <v>4</v>
      </c>
      <c r="E153" s="11">
        <v>5</v>
      </c>
      <c r="F153" s="11">
        <v>2</v>
      </c>
      <c r="G153" s="11">
        <v>3</v>
      </c>
    </row>
    <row r="154" spans="1:7" x14ac:dyDescent="0.2">
      <c r="A154" s="9">
        <v>153</v>
      </c>
      <c r="B154" s="11">
        <v>4</v>
      </c>
      <c r="C154" s="11">
        <v>4</v>
      </c>
      <c r="D154" s="11">
        <v>4</v>
      </c>
      <c r="E154" s="11">
        <v>5</v>
      </c>
      <c r="F154" s="11">
        <v>1</v>
      </c>
      <c r="G154" s="11">
        <v>2</v>
      </c>
    </row>
    <row r="155" spans="1:7" x14ac:dyDescent="0.2">
      <c r="A155" s="9">
        <v>154</v>
      </c>
      <c r="B155" s="11">
        <v>2</v>
      </c>
      <c r="C155" s="11">
        <v>4</v>
      </c>
      <c r="D155" s="11">
        <v>4</v>
      </c>
      <c r="E155" s="11">
        <v>4</v>
      </c>
      <c r="F155" s="11">
        <v>4</v>
      </c>
      <c r="G155" s="11">
        <v>4</v>
      </c>
    </row>
    <row r="156" spans="1:7" x14ac:dyDescent="0.2">
      <c r="A156" s="9">
        <v>155</v>
      </c>
      <c r="B156" s="11">
        <v>4</v>
      </c>
      <c r="C156" s="11">
        <v>3</v>
      </c>
      <c r="D156" s="11">
        <v>2</v>
      </c>
      <c r="E156" s="11">
        <v>2</v>
      </c>
      <c r="F156" s="11">
        <v>4</v>
      </c>
      <c r="G156" s="11">
        <v>3</v>
      </c>
    </row>
    <row r="157" spans="1:7" x14ac:dyDescent="0.2">
      <c r="A157" s="9">
        <v>156</v>
      </c>
      <c r="B157" s="11">
        <v>1</v>
      </c>
      <c r="C157" s="11">
        <v>1</v>
      </c>
      <c r="D157" s="11">
        <v>5</v>
      </c>
      <c r="E157" s="11">
        <v>5</v>
      </c>
      <c r="F157" s="11">
        <v>1</v>
      </c>
      <c r="G157" s="11">
        <v>1</v>
      </c>
    </row>
    <row r="158" spans="1:7" x14ac:dyDescent="0.2">
      <c r="A158" s="9">
        <v>157</v>
      </c>
      <c r="B158" s="11">
        <v>4</v>
      </c>
      <c r="C158" s="11">
        <v>3</v>
      </c>
      <c r="D158" s="11">
        <v>2</v>
      </c>
      <c r="E158" s="11">
        <v>1</v>
      </c>
      <c r="F158" s="11">
        <v>4</v>
      </c>
      <c r="G158" s="11">
        <v>3</v>
      </c>
    </row>
    <row r="159" spans="1:7" x14ac:dyDescent="0.2">
      <c r="A159" s="9">
        <v>158</v>
      </c>
      <c r="B159" s="11">
        <v>3</v>
      </c>
      <c r="C159" s="11">
        <v>3</v>
      </c>
      <c r="D159" s="11">
        <v>3</v>
      </c>
      <c r="E159" s="11">
        <v>3</v>
      </c>
      <c r="F159" s="11">
        <v>3</v>
      </c>
      <c r="G159" s="11">
        <v>3</v>
      </c>
    </row>
    <row r="160" spans="1:7" x14ac:dyDescent="0.2">
      <c r="A160" s="9">
        <v>159</v>
      </c>
      <c r="B160" s="11">
        <v>2</v>
      </c>
      <c r="C160" s="11">
        <v>2</v>
      </c>
      <c r="D160" s="11">
        <v>1</v>
      </c>
      <c r="E160" s="11">
        <v>1</v>
      </c>
      <c r="F160" s="11">
        <v>2</v>
      </c>
      <c r="G160" s="11">
        <v>2</v>
      </c>
    </row>
    <row r="161" spans="1:7" x14ac:dyDescent="0.2">
      <c r="A161" s="9">
        <v>160</v>
      </c>
      <c r="B161" s="11">
        <v>3</v>
      </c>
      <c r="C161" s="11">
        <v>1</v>
      </c>
      <c r="D161" s="11">
        <v>3</v>
      </c>
      <c r="E161" s="11">
        <v>1</v>
      </c>
      <c r="F161" s="11">
        <v>3</v>
      </c>
      <c r="G161" s="11">
        <v>1</v>
      </c>
    </row>
    <row r="162" spans="1:7" x14ac:dyDescent="0.2">
      <c r="A162" s="9">
        <v>161</v>
      </c>
      <c r="B162" s="11">
        <v>2</v>
      </c>
      <c r="C162" s="11">
        <v>2</v>
      </c>
      <c r="D162" s="11">
        <v>4</v>
      </c>
      <c r="E162" s="11">
        <v>4</v>
      </c>
      <c r="F162" s="11">
        <v>2</v>
      </c>
      <c r="G162" s="11">
        <v>2</v>
      </c>
    </row>
    <row r="163" spans="1:7" x14ac:dyDescent="0.2">
      <c r="A163" s="9">
        <v>162</v>
      </c>
      <c r="B163" s="11">
        <v>3</v>
      </c>
      <c r="C163" s="11">
        <v>1</v>
      </c>
      <c r="D163" s="11">
        <v>3</v>
      </c>
      <c r="E163" s="11">
        <v>1</v>
      </c>
      <c r="F163" s="11">
        <v>1</v>
      </c>
      <c r="G163" s="11">
        <v>1</v>
      </c>
    </row>
    <row r="164" spans="1:7" x14ac:dyDescent="0.2">
      <c r="A164" s="9">
        <v>163</v>
      </c>
      <c r="B164" s="11">
        <v>3</v>
      </c>
      <c r="C164" s="11">
        <v>2</v>
      </c>
      <c r="D164" s="11">
        <v>1</v>
      </c>
      <c r="E164" s="11">
        <v>1</v>
      </c>
      <c r="F164" s="11">
        <v>3</v>
      </c>
      <c r="G164" s="11">
        <v>2</v>
      </c>
    </row>
    <row r="165" spans="1:7" x14ac:dyDescent="0.2">
      <c r="A165" s="9">
        <v>164</v>
      </c>
      <c r="B165" s="11">
        <v>3</v>
      </c>
      <c r="C165" s="11">
        <v>3</v>
      </c>
      <c r="D165" s="11">
        <v>3</v>
      </c>
      <c r="E165" s="11">
        <v>3</v>
      </c>
      <c r="F165" s="11">
        <v>3</v>
      </c>
      <c r="G165" s="11">
        <v>3</v>
      </c>
    </row>
    <row r="166" spans="1:7" x14ac:dyDescent="0.2">
      <c r="A166" s="9">
        <v>165</v>
      </c>
      <c r="B166" s="11">
        <v>1</v>
      </c>
      <c r="C166" s="11">
        <v>1</v>
      </c>
      <c r="D166" s="11">
        <v>3</v>
      </c>
      <c r="E166" s="11">
        <v>1</v>
      </c>
      <c r="F166" s="11">
        <v>3</v>
      </c>
      <c r="G166" s="11">
        <v>3</v>
      </c>
    </row>
    <row r="167" spans="1:7" x14ac:dyDescent="0.2">
      <c r="A167" s="9">
        <v>166</v>
      </c>
      <c r="B167" s="11">
        <v>5</v>
      </c>
      <c r="C167" s="11">
        <v>4</v>
      </c>
      <c r="D167" s="11">
        <v>1</v>
      </c>
      <c r="E167" s="11">
        <v>1</v>
      </c>
      <c r="F167" s="11">
        <v>5</v>
      </c>
      <c r="G167" s="11">
        <v>2</v>
      </c>
    </row>
    <row r="168" spans="1:7" x14ac:dyDescent="0.2">
      <c r="A168" s="9">
        <v>167</v>
      </c>
      <c r="B168" s="11">
        <v>5</v>
      </c>
      <c r="C168" s="11">
        <v>4</v>
      </c>
      <c r="D168" s="11">
        <v>2</v>
      </c>
      <c r="E168" s="11">
        <v>1</v>
      </c>
      <c r="F168" s="11">
        <v>5</v>
      </c>
      <c r="G168" s="11">
        <v>3</v>
      </c>
    </row>
    <row r="169" spans="1:7" x14ac:dyDescent="0.2">
      <c r="A169" s="9">
        <v>168</v>
      </c>
      <c r="B169" s="11">
        <v>1</v>
      </c>
      <c r="C169" s="11">
        <v>1</v>
      </c>
      <c r="D169" s="11">
        <v>1</v>
      </c>
      <c r="E169" s="11">
        <v>1</v>
      </c>
      <c r="F169" s="11">
        <v>1</v>
      </c>
      <c r="G169" s="11">
        <v>1</v>
      </c>
    </row>
    <row r="170" spans="1:7" x14ac:dyDescent="0.2">
      <c r="A170" s="9">
        <v>169</v>
      </c>
      <c r="B170" s="11">
        <v>3</v>
      </c>
      <c r="C170" s="11">
        <v>3</v>
      </c>
      <c r="D170" s="11">
        <v>3</v>
      </c>
      <c r="E170" s="11">
        <v>1</v>
      </c>
      <c r="F170" s="11">
        <v>5</v>
      </c>
      <c r="G170" s="11">
        <v>3</v>
      </c>
    </row>
    <row r="171" spans="1:7" x14ac:dyDescent="0.2">
      <c r="A171" s="9">
        <v>170</v>
      </c>
      <c r="B171" s="11">
        <v>3</v>
      </c>
      <c r="C171" s="11">
        <v>4</v>
      </c>
      <c r="D171" s="11">
        <v>3</v>
      </c>
      <c r="E171" s="11">
        <v>5</v>
      </c>
      <c r="F171" s="11">
        <v>3</v>
      </c>
      <c r="G171" s="11">
        <v>4</v>
      </c>
    </row>
    <row r="172" spans="1:7" x14ac:dyDescent="0.2">
      <c r="A172" s="9">
        <v>171</v>
      </c>
      <c r="B172" s="11">
        <v>4</v>
      </c>
      <c r="C172" s="11">
        <v>4</v>
      </c>
      <c r="D172" s="11">
        <v>2</v>
      </c>
      <c r="E172" s="11">
        <v>1</v>
      </c>
      <c r="F172" s="11">
        <v>5</v>
      </c>
      <c r="G172" s="11">
        <v>5</v>
      </c>
    </row>
    <row r="173" spans="1:7" x14ac:dyDescent="0.2">
      <c r="A173" s="9">
        <v>172</v>
      </c>
      <c r="B173" s="11">
        <v>4</v>
      </c>
      <c r="C173" s="11">
        <v>1</v>
      </c>
      <c r="D173" s="11">
        <v>2</v>
      </c>
      <c r="E173" s="11">
        <v>1</v>
      </c>
      <c r="F173" s="11">
        <v>5</v>
      </c>
      <c r="G173" s="11">
        <v>1</v>
      </c>
    </row>
    <row r="174" spans="1:7" x14ac:dyDescent="0.2">
      <c r="A174" s="9">
        <v>173</v>
      </c>
      <c r="B174" s="11">
        <v>3</v>
      </c>
      <c r="C174" s="11">
        <v>3</v>
      </c>
      <c r="D174" s="11">
        <v>4</v>
      </c>
      <c r="E174" s="11">
        <v>5</v>
      </c>
      <c r="F174" s="11">
        <v>3</v>
      </c>
      <c r="G174" s="11">
        <v>3</v>
      </c>
    </row>
    <row r="175" spans="1:7" x14ac:dyDescent="0.2">
      <c r="A175" s="9">
        <v>174</v>
      </c>
      <c r="B175" s="11">
        <v>2</v>
      </c>
      <c r="C175" s="11">
        <v>1</v>
      </c>
      <c r="D175" s="11">
        <v>1</v>
      </c>
      <c r="E175" s="11">
        <v>1</v>
      </c>
      <c r="F175" s="11">
        <v>2</v>
      </c>
      <c r="G175" s="11">
        <v>2</v>
      </c>
    </row>
    <row r="176" spans="1:7" x14ac:dyDescent="0.2">
      <c r="A176" s="9">
        <v>175</v>
      </c>
      <c r="B176" s="11">
        <v>2</v>
      </c>
      <c r="C176" s="11">
        <v>2</v>
      </c>
      <c r="D176" s="11">
        <v>1</v>
      </c>
      <c r="E176" s="11">
        <v>1</v>
      </c>
      <c r="F176" s="11">
        <v>5</v>
      </c>
      <c r="G176" s="11">
        <v>5</v>
      </c>
    </row>
    <row r="177" spans="1:7" x14ac:dyDescent="0.2">
      <c r="A177" s="9">
        <v>176</v>
      </c>
      <c r="B177" s="11">
        <v>3</v>
      </c>
      <c r="C177" s="11">
        <v>3</v>
      </c>
      <c r="D177" s="11">
        <v>1</v>
      </c>
      <c r="E177" s="11">
        <v>1</v>
      </c>
      <c r="F177" s="11">
        <v>3</v>
      </c>
      <c r="G177" s="11">
        <v>3</v>
      </c>
    </row>
    <row r="178" spans="1:7" x14ac:dyDescent="0.2">
      <c r="A178" s="9">
        <v>177</v>
      </c>
      <c r="B178" s="11">
        <v>3</v>
      </c>
      <c r="C178" s="11">
        <v>1</v>
      </c>
      <c r="D178" s="11">
        <v>3</v>
      </c>
      <c r="E178" s="11">
        <v>1</v>
      </c>
      <c r="F178" s="11">
        <v>3</v>
      </c>
      <c r="G178" s="11">
        <v>1</v>
      </c>
    </row>
    <row r="179" spans="1:7" x14ac:dyDescent="0.2">
      <c r="A179" s="9">
        <v>178</v>
      </c>
      <c r="B179" s="11">
        <v>3</v>
      </c>
      <c r="C179" s="11">
        <v>2</v>
      </c>
      <c r="D179" s="11">
        <v>3</v>
      </c>
      <c r="E179" s="11">
        <v>2</v>
      </c>
      <c r="F179" s="11">
        <v>5</v>
      </c>
      <c r="G179" s="11">
        <v>3</v>
      </c>
    </row>
    <row r="180" spans="1:7" x14ac:dyDescent="0.2">
      <c r="A180" s="9">
        <v>179</v>
      </c>
      <c r="B180" s="11">
        <v>2</v>
      </c>
      <c r="C180" s="11">
        <v>2</v>
      </c>
      <c r="D180" s="11">
        <v>2</v>
      </c>
      <c r="E180" s="11">
        <v>2</v>
      </c>
      <c r="F180" s="11">
        <v>3</v>
      </c>
      <c r="G180" s="11">
        <v>3</v>
      </c>
    </row>
    <row r="181" spans="1:7" x14ac:dyDescent="0.2">
      <c r="A181" s="9">
        <v>180</v>
      </c>
      <c r="B181" s="11">
        <v>3</v>
      </c>
      <c r="C181" s="11">
        <v>5</v>
      </c>
      <c r="D181" s="11">
        <v>3</v>
      </c>
      <c r="E181" s="11">
        <v>5</v>
      </c>
      <c r="F181" s="11">
        <v>1</v>
      </c>
      <c r="G181" s="11">
        <v>5</v>
      </c>
    </row>
    <row r="182" spans="1:7" x14ac:dyDescent="0.2">
      <c r="A182" s="9">
        <v>181</v>
      </c>
      <c r="B182" s="11">
        <v>3</v>
      </c>
      <c r="C182" s="11">
        <v>3</v>
      </c>
      <c r="D182" s="11">
        <v>2</v>
      </c>
      <c r="E182" s="11">
        <v>1</v>
      </c>
      <c r="F182" s="11">
        <v>3</v>
      </c>
      <c r="G182" s="11">
        <v>3</v>
      </c>
    </row>
    <row r="183" spans="1:7" x14ac:dyDescent="0.2">
      <c r="A183" s="9">
        <v>182</v>
      </c>
      <c r="B183" s="11">
        <v>3</v>
      </c>
      <c r="C183" s="11">
        <v>4</v>
      </c>
      <c r="D183" s="11">
        <v>4</v>
      </c>
      <c r="E183" s="11">
        <v>5</v>
      </c>
      <c r="F183" s="11">
        <v>2</v>
      </c>
      <c r="G183" s="11">
        <v>3</v>
      </c>
    </row>
    <row r="184" spans="1:7" x14ac:dyDescent="0.2">
      <c r="A184" s="9">
        <v>183</v>
      </c>
      <c r="B184" s="11">
        <v>1</v>
      </c>
      <c r="C184" s="11">
        <v>1</v>
      </c>
      <c r="D184" s="11">
        <v>1</v>
      </c>
      <c r="E184" s="11">
        <v>1</v>
      </c>
      <c r="F184" s="11">
        <v>2</v>
      </c>
      <c r="G184" s="11">
        <v>2</v>
      </c>
    </row>
    <row r="185" spans="1:7" x14ac:dyDescent="0.2">
      <c r="A185" s="9">
        <v>184</v>
      </c>
      <c r="B185" s="11">
        <v>3</v>
      </c>
      <c r="C185" s="11">
        <v>5</v>
      </c>
      <c r="D185" s="11">
        <v>1</v>
      </c>
      <c r="E185" s="11">
        <v>1</v>
      </c>
      <c r="F185" s="11">
        <v>4</v>
      </c>
      <c r="G185" s="11">
        <v>4</v>
      </c>
    </row>
    <row r="186" spans="1:7" x14ac:dyDescent="0.2">
      <c r="A186" s="9">
        <v>185</v>
      </c>
      <c r="B186" s="11">
        <v>3</v>
      </c>
      <c r="C186" s="11">
        <v>3</v>
      </c>
      <c r="D186" s="11">
        <v>1</v>
      </c>
      <c r="E186" s="11">
        <v>2</v>
      </c>
      <c r="F186" s="11">
        <v>4</v>
      </c>
      <c r="G186" s="11">
        <v>3</v>
      </c>
    </row>
    <row r="187" spans="1:7" x14ac:dyDescent="0.2">
      <c r="A187" s="9">
        <v>186</v>
      </c>
      <c r="B187" s="11">
        <v>5</v>
      </c>
      <c r="C187" s="11">
        <v>1</v>
      </c>
      <c r="D187" s="11">
        <v>1</v>
      </c>
      <c r="E187" s="11">
        <v>1</v>
      </c>
      <c r="F187" s="11">
        <v>5</v>
      </c>
      <c r="G187" s="11">
        <v>2</v>
      </c>
    </row>
    <row r="188" spans="1:7" x14ac:dyDescent="0.2">
      <c r="A188" s="9">
        <v>187</v>
      </c>
      <c r="B188" s="11">
        <v>2</v>
      </c>
      <c r="C188" s="11">
        <v>2</v>
      </c>
      <c r="D188" s="11">
        <v>2</v>
      </c>
      <c r="E188" s="11">
        <v>2</v>
      </c>
      <c r="F188" s="11">
        <v>2</v>
      </c>
      <c r="G188" s="11">
        <v>2</v>
      </c>
    </row>
    <row r="189" spans="1:7" x14ac:dyDescent="0.2">
      <c r="A189" s="9">
        <v>188</v>
      </c>
      <c r="B189" s="11">
        <v>3</v>
      </c>
      <c r="C189" s="11">
        <v>1</v>
      </c>
      <c r="D189" s="11">
        <v>3</v>
      </c>
      <c r="E189" s="11">
        <v>1</v>
      </c>
      <c r="F189" s="11">
        <v>3</v>
      </c>
      <c r="G189" s="11">
        <v>1</v>
      </c>
    </row>
    <row r="190" spans="1:7" x14ac:dyDescent="0.2">
      <c r="A190" s="9">
        <v>189</v>
      </c>
      <c r="B190" s="11">
        <v>3</v>
      </c>
      <c r="C190" s="11">
        <v>3</v>
      </c>
      <c r="D190" s="11">
        <v>1</v>
      </c>
      <c r="E190" s="11">
        <v>1</v>
      </c>
      <c r="F190" s="11">
        <v>3</v>
      </c>
      <c r="G190" s="11">
        <v>3</v>
      </c>
    </row>
    <row r="191" spans="1:7" x14ac:dyDescent="0.2">
      <c r="A191" s="9">
        <v>190</v>
      </c>
      <c r="B191" s="11">
        <v>3</v>
      </c>
      <c r="C191" s="11">
        <v>1</v>
      </c>
      <c r="D191" s="11">
        <v>3</v>
      </c>
      <c r="E191" s="11">
        <v>1</v>
      </c>
      <c r="F191" s="11">
        <v>5</v>
      </c>
      <c r="G191" s="11">
        <v>1</v>
      </c>
    </row>
    <row r="192" spans="1:7" x14ac:dyDescent="0.2">
      <c r="A192" s="9">
        <v>191</v>
      </c>
      <c r="B192" s="11">
        <v>1</v>
      </c>
      <c r="C192" s="11">
        <v>1</v>
      </c>
      <c r="D192" s="11">
        <v>4</v>
      </c>
      <c r="E192" s="11">
        <v>5</v>
      </c>
      <c r="F192" s="11">
        <v>2</v>
      </c>
      <c r="G192" s="11">
        <v>1</v>
      </c>
    </row>
    <row r="193" spans="1:7" x14ac:dyDescent="0.2">
      <c r="A193" s="9">
        <v>192</v>
      </c>
      <c r="B193" s="11">
        <v>5</v>
      </c>
      <c r="C193" s="11">
        <v>1</v>
      </c>
      <c r="D193" s="11">
        <v>1</v>
      </c>
      <c r="E193" s="11">
        <v>5</v>
      </c>
      <c r="F193" s="11">
        <v>5</v>
      </c>
      <c r="G193" s="11">
        <v>1</v>
      </c>
    </row>
    <row r="194" spans="1:7" x14ac:dyDescent="0.2">
      <c r="A194" s="9">
        <v>193</v>
      </c>
      <c r="B194" s="11">
        <v>3</v>
      </c>
      <c r="C194" s="11">
        <v>3</v>
      </c>
      <c r="D194" s="11">
        <v>3</v>
      </c>
      <c r="E194" s="11">
        <v>3</v>
      </c>
      <c r="F194" s="11">
        <v>3</v>
      </c>
      <c r="G194" s="11">
        <v>3</v>
      </c>
    </row>
    <row r="195" spans="1:7" x14ac:dyDescent="0.2">
      <c r="A195" s="9">
        <v>194</v>
      </c>
      <c r="B195" s="11">
        <v>5</v>
      </c>
      <c r="C195" s="11">
        <v>2</v>
      </c>
      <c r="D195" s="11">
        <v>5</v>
      </c>
      <c r="E195" s="11">
        <v>1</v>
      </c>
      <c r="F195" s="11">
        <v>5</v>
      </c>
      <c r="G195" s="11">
        <v>3</v>
      </c>
    </row>
    <row r="196" spans="1:7" x14ac:dyDescent="0.2">
      <c r="A196" s="9">
        <v>195</v>
      </c>
      <c r="B196" s="11">
        <v>4</v>
      </c>
      <c r="C196" s="11">
        <v>5</v>
      </c>
      <c r="D196" s="11">
        <v>5</v>
      </c>
      <c r="E196" s="11">
        <v>5</v>
      </c>
      <c r="F196" s="11">
        <v>2</v>
      </c>
      <c r="G196" s="11">
        <v>2</v>
      </c>
    </row>
    <row r="197" spans="1:7" x14ac:dyDescent="0.2">
      <c r="A197" s="9">
        <v>196</v>
      </c>
      <c r="B197" s="11">
        <v>1</v>
      </c>
      <c r="C197" s="11">
        <v>1</v>
      </c>
      <c r="D197" s="11">
        <v>1</v>
      </c>
      <c r="E197" s="11">
        <v>1</v>
      </c>
      <c r="F197" s="11">
        <v>1</v>
      </c>
      <c r="G197" s="11">
        <v>1</v>
      </c>
    </row>
    <row r="198" spans="1:7" x14ac:dyDescent="0.2">
      <c r="A198" s="9">
        <v>197</v>
      </c>
      <c r="B198" s="33">
        <v>2</v>
      </c>
      <c r="C198" s="33">
        <v>2</v>
      </c>
      <c r="D198" s="33">
        <v>1</v>
      </c>
      <c r="E198" s="33">
        <v>1</v>
      </c>
      <c r="F198" s="33">
        <v>2</v>
      </c>
      <c r="G198" s="33">
        <v>2</v>
      </c>
    </row>
    <row r="199" spans="1:7" x14ac:dyDescent="0.2">
      <c r="A199" s="9">
        <v>198</v>
      </c>
      <c r="B199" s="33"/>
      <c r="C199" s="33"/>
      <c r="D199" s="33"/>
      <c r="E199" s="33"/>
      <c r="F199" s="33"/>
      <c r="G199" s="33"/>
    </row>
    <row r="200" spans="1:7" x14ac:dyDescent="0.2">
      <c r="A200" s="9">
        <v>199</v>
      </c>
      <c r="B200" s="11">
        <v>1</v>
      </c>
      <c r="C200" s="11">
        <v>1</v>
      </c>
      <c r="D200" s="11">
        <v>1</v>
      </c>
      <c r="E200" s="11">
        <v>1</v>
      </c>
      <c r="F200" s="11">
        <v>2</v>
      </c>
      <c r="G200" s="11">
        <v>2</v>
      </c>
    </row>
    <row r="201" spans="1:7" x14ac:dyDescent="0.2">
      <c r="A201" s="9">
        <v>200</v>
      </c>
      <c r="B201" s="11">
        <v>5</v>
      </c>
      <c r="C201" s="11">
        <v>5</v>
      </c>
      <c r="D201" s="11">
        <v>1</v>
      </c>
      <c r="E201" s="11">
        <v>1</v>
      </c>
      <c r="F201" s="11">
        <v>5</v>
      </c>
      <c r="G201" s="11">
        <v>5</v>
      </c>
    </row>
    <row r="202" spans="1:7" x14ac:dyDescent="0.2">
      <c r="A202" s="9">
        <v>201</v>
      </c>
      <c r="B202" s="11">
        <v>2</v>
      </c>
      <c r="C202" s="11">
        <v>2</v>
      </c>
      <c r="D202" s="11">
        <v>2</v>
      </c>
      <c r="E202" s="11">
        <v>2</v>
      </c>
      <c r="F202" s="11">
        <v>1</v>
      </c>
      <c r="G202" s="11">
        <v>1</v>
      </c>
    </row>
    <row r="203" spans="1:7" x14ac:dyDescent="0.2">
      <c r="A203" s="9">
        <v>202</v>
      </c>
      <c r="B203" s="11">
        <v>3</v>
      </c>
      <c r="C203" s="11">
        <v>3</v>
      </c>
      <c r="D203" s="11">
        <v>5</v>
      </c>
      <c r="E203" s="11">
        <v>5</v>
      </c>
      <c r="F203" s="11">
        <v>4</v>
      </c>
      <c r="G203" s="11">
        <v>4</v>
      </c>
    </row>
    <row r="204" spans="1:7" x14ac:dyDescent="0.2">
      <c r="A204" s="9">
        <v>203</v>
      </c>
      <c r="B204" s="11">
        <v>5</v>
      </c>
      <c r="C204" s="11">
        <v>3</v>
      </c>
      <c r="D204" s="11">
        <v>2</v>
      </c>
      <c r="E204" s="11">
        <v>1</v>
      </c>
      <c r="F204" s="11">
        <v>3</v>
      </c>
      <c r="G204" s="11">
        <v>3</v>
      </c>
    </row>
    <row r="205" spans="1:7" x14ac:dyDescent="0.2">
      <c r="A205" s="9">
        <v>204</v>
      </c>
      <c r="B205" s="11">
        <v>5</v>
      </c>
      <c r="C205" s="11">
        <v>5</v>
      </c>
      <c r="D205" s="11">
        <v>2</v>
      </c>
      <c r="E205" s="11">
        <v>1</v>
      </c>
      <c r="F205" s="11">
        <v>5</v>
      </c>
      <c r="G205" s="11">
        <v>5</v>
      </c>
    </row>
    <row r="206" spans="1:7" x14ac:dyDescent="0.2">
      <c r="A206" s="9">
        <v>205</v>
      </c>
      <c r="B206" s="11">
        <v>2</v>
      </c>
      <c r="C206" s="11">
        <v>1</v>
      </c>
      <c r="D206" s="11">
        <v>5</v>
      </c>
      <c r="E206" s="11">
        <v>5</v>
      </c>
      <c r="F206" s="11">
        <v>4</v>
      </c>
      <c r="G206" s="11">
        <v>2</v>
      </c>
    </row>
    <row r="207" spans="1:7" x14ac:dyDescent="0.2">
      <c r="A207" s="9">
        <v>206</v>
      </c>
      <c r="B207" s="33">
        <v>1</v>
      </c>
      <c r="C207" s="33">
        <v>1</v>
      </c>
      <c r="D207" s="33">
        <v>1</v>
      </c>
      <c r="E207" s="33">
        <v>1</v>
      </c>
      <c r="F207" s="33">
        <v>3</v>
      </c>
      <c r="G207" s="33">
        <v>5</v>
      </c>
    </row>
    <row r="208" spans="1:7" x14ac:dyDescent="0.2">
      <c r="A208" s="9">
        <v>207</v>
      </c>
      <c r="B208" s="11">
        <v>4</v>
      </c>
      <c r="C208" s="11">
        <v>2</v>
      </c>
      <c r="D208" s="11">
        <v>1</v>
      </c>
      <c r="E208" s="11">
        <v>1</v>
      </c>
      <c r="F208" s="11">
        <v>4</v>
      </c>
      <c r="G208" s="11">
        <v>2</v>
      </c>
    </row>
    <row r="209" spans="1:7" x14ac:dyDescent="0.2">
      <c r="A209" s="9">
        <v>208</v>
      </c>
      <c r="B209" s="11">
        <v>5</v>
      </c>
      <c r="C209" s="11">
        <v>5</v>
      </c>
      <c r="D209" s="11">
        <v>5</v>
      </c>
      <c r="E209" s="11">
        <v>5</v>
      </c>
      <c r="F209" s="11">
        <v>5</v>
      </c>
      <c r="G209" s="11">
        <v>5</v>
      </c>
    </row>
    <row r="210" spans="1:7" x14ac:dyDescent="0.2">
      <c r="A210" s="9">
        <v>209</v>
      </c>
      <c r="B210" s="11">
        <v>2</v>
      </c>
      <c r="C210" s="11">
        <v>2</v>
      </c>
      <c r="D210" s="11">
        <v>2</v>
      </c>
      <c r="E210" s="11">
        <v>2</v>
      </c>
      <c r="F210" s="11">
        <v>5</v>
      </c>
      <c r="G210" s="11">
        <v>5</v>
      </c>
    </row>
    <row r="211" spans="1:7" x14ac:dyDescent="0.2">
      <c r="A211" s="9">
        <v>210</v>
      </c>
      <c r="B211" s="11">
        <v>3</v>
      </c>
      <c r="C211" s="11">
        <v>3</v>
      </c>
      <c r="D211" s="11">
        <v>3</v>
      </c>
      <c r="E211" s="11">
        <v>1</v>
      </c>
      <c r="F211" s="11">
        <v>3</v>
      </c>
      <c r="G211" s="11">
        <v>3</v>
      </c>
    </row>
    <row r="212" spans="1:7" x14ac:dyDescent="0.2">
      <c r="A212" s="9">
        <v>211</v>
      </c>
      <c r="B212" s="11">
        <v>2</v>
      </c>
      <c r="C212" s="11">
        <v>3</v>
      </c>
      <c r="D212" s="11">
        <v>5</v>
      </c>
      <c r="E212" s="11">
        <v>5</v>
      </c>
      <c r="F212" s="11">
        <v>2</v>
      </c>
      <c r="G212" s="11">
        <v>3</v>
      </c>
    </row>
    <row r="213" spans="1:7" x14ac:dyDescent="0.2">
      <c r="A213" s="9">
        <v>212</v>
      </c>
      <c r="B213" s="11">
        <v>5</v>
      </c>
      <c r="C213" s="11">
        <v>1</v>
      </c>
      <c r="D213" s="11">
        <v>3</v>
      </c>
      <c r="E213" s="11">
        <v>4</v>
      </c>
      <c r="F213" s="11">
        <v>5</v>
      </c>
      <c r="G213" s="11">
        <v>1</v>
      </c>
    </row>
    <row r="214" spans="1:7" x14ac:dyDescent="0.2">
      <c r="A214" s="9">
        <v>213</v>
      </c>
      <c r="B214" s="11">
        <v>5</v>
      </c>
      <c r="C214" s="11">
        <v>5</v>
      </c>
      <c r="D214" s="11">
        <v>1</v>
      </c>
      <c r="E214" s="11">
        <v>1</v>
      </c>
      <c r="F214" s="11">
        <v>5</v>
      </c>
      <c r="G214" s="11">
        <v>5</v>
      </c>
    </row>
    <row r="215" spans="1:7" x14ac:dyDescent="0.2">
      <c r="A215" s="9">
        <v>214</v>
      </c>
      <c r="B215" s="11">
        <v>5</v>
      </c>
      <c r="C215" s="11">
        <v>5</v>
      </c>
      <c r="D215" s="11">
        <v>2</v>
      </c>
      <c r="E215" s="11">
        <v>1</v>
      </c>
      <c r="F215" s="11">
        <v>3</v>
      </c>
      <c r="G215" s="11">
        <v>3</v>
      </c>
    </row>
    <row r="216" spans="1:7" x14ac:dyDescent="0.2">
      <c r="A216" s="9">
        <v>215</v>
      </c>
      <c r="B216" s="33"/>
      <c r="C216" s="33"/>
      <c r="D216" s="33"/>
      <c r="E216" s="33"/>
      <c r="F216" s="33"/>
      <c r="G216" s="33"/>
    </row>
    <row r="217" spans="1:7" x14ac:dyDescent="0.2">
      <c r="A217" s="9">
        <v>216</v>
      </c>
      <c r="B217" s="11">
        <v>2</v>
      </c>
      <c r="C217" s="11">
        <v>1</v>
      </c>
      <c r="D217" s="11">
        <v>2</v>
      </c>
      <c r="E217" s="11">
        <v>2</v>
      </c>
      <c r="F217" s="11">
        <v>4</v>
      </c>
      <c r="G217" s="11">
        <v>5</v>
      </c>
    </row>
    <row r="218" spans="1:7" x14ac:dyDescent="0.2">
      <c r="A218" s="9">
        <v>217</v>
      </c>
      <c r="B218" s="11">
        <v>1</v>
      </c>
      <c r="C218" s="11">
        <v>1</v>
      </c>
      <c r="D218" s="11">
        <v>1</v>
      </c>
      <c r="E218" s="11">
        <v>1</v>
      </c>
      <c r="F218" s="11">
        <v>1</v>
      </c>
      <c r="G218" s="11">
        <v>1</v>
      </c>
    </row>
    <row r="219" spans="1:7" x14ac:dyDescent="0.2">
      <c r="A219" s="9">
        <v>218</v>
      </c>
      <c r="B219" s="11">
        <v>1</v>
      </c>
      <c r="C219" s="11">
        <v>3</v>
      </c>
      <c r="D219" s="11">
        <v>2</v>
      </c>
      <c r="E219" s="11">
        <v>3</v>
      </c>
      <c r="F219" s="11">
        <v>2</v>
      </c>
      <c r="G219" s="11">
        <v>3</v>
      </c>
    </row>
    <row r="220" spans="1:7" x14ac:dyDescent="0.2">
      <c r="A220" s="9">
        <v>219</v>
      </c>
      <c r="B220" s="11">
        <v>3</v>
      </c>
      <c r="C220" s="11">
        <v>3</v>
      </c>
      <c r="D220" s="11">
        <v>3</v>
      </c>
      <c r="E220" s="11">
        <v>3</v>
      </c>
      <c r="F220" s="11">
        <v>3</v>
      </c>
      <c r="G220" s="11">
        <v>3</v>
      </c>
    </row>
    <row r="221" spans="1:7" x14ac:dyDescent="0.2">
      <c r="A221" s="9">
        <v>220</v>
      </c>
      <c r="B221" s="11">
        <v>1</v>
      </c>
      <c r="C221" s="11">
        <v>1</v>
      </c>
      <c r="D221" s="11">
        <v>1</v>
      </c>
      <c r="E221" s="11">
        <v>1</v>
      </c>
      <c r="F221" s="11">
        <v>2</v>
      </c>
      <c r="G221" s="11">
        <v>2</v>
      </c>
    </row>
    <row r="222" spans="1:7" x14ac:dyDescent="0.2">
      <c r="A222" s="9">
        <v>221</v>
      </c>
      <c r="B222" s="11">
        <v>4</v>
      </c>
      <c r="C222" s="11">
        <v>1</v>
      </c>
      <c r="D222" s="11">
        <v>3</v>
      </c>
      <c r="E222" s="11">
        <v>1</v>
      </c>
      <c r="F222" s="11">
        <v>3</v>
      </c>
      <c r="G222" s="11">
        <v>1</v>
      </c>
    </row>
    <row r="223" spans="1:7" x14ac:dyDescent="0.2">
      <c r="A223" s="9">
        <v>222</v>
      </c>
      <c r="B223" s="11">
        <v>3</v>
      </c>
      <c r="C223" s="11">
        <v>2</v>
      </c>
      <c r="D223" s="11">
        <v>3</v>
      </c>
      <c r="E223" s="11">
        <v>1</v>
      </c>
      <c r="F223" s="11">
        <v>3</v>
      </c>
      <c r="G223" s="11">
        <v>2</v>
      </c>
    </row>
    <row r="224" spans="1:7" x14ac:dyDescent="0.2">
      <c r="A224" s="9">
        <v>223</v>
      </c>
      <c r="B224" s="33">
        <v>3</v>
      </c>
      <c r="C224" s="33">
        <v>3</v>
      </c>
      <c r="D224" s="33">
        <v>1</v>
      </c>
      <c r="E224" s="33">
        <v>1</v>
      </c>
      <c r="F224" s="33">
        <v>3</v>
      </c>
      <c r="G224" s="33">
        <v>2</v>
      </c>
    </row>
    <row r="225" spans="1:7" x14ac:dyDescent="0.2">
      <c r="A225" s="9">
        <v>224</v>
      </c>
      <c r="B225" s="11">
        <v>3</v>
      </c>
      <c r="C225" s="11">
        <v>3</v>
      </c>
      <c r="D225" s="11">
        <v>1</v>
      </c>
      <c r="E225" s="11">
        <v>1</v>
      </c>
      <c r="F225" s="11">
        <v>3</v>
      </c>
      <c r="G225" s="11">
        <v>3</v>
      </c>
    </row>
    <row r="226" spans="1:7" x14ac:dyDescent="0.2">
      <c r="A226" s="9">
        <v>225</v>
      </c>
      <c r="B226" s="11">
        <v>3</v>
      </c>
      <c r="C226" s="11">
        <v>2</v>
      </c>
      <c r="D226" s="11">
        <v>1</v>
      </c>
      <c r="E226" s="11">
        <v>1</v>
      </c>
      <c r="F226" s="11">
        <v>3</v>
      </c>
      <c r="G226" s="11">
        <v>2</v>
      </c>
    </row>
    <row r="227" spans="1:7" x14ac:dyDescent="0.2">
      <c r="A227" s="9">
        <v>226</v>
      </c>
      <c r="B227" s="11">
        <v>1</v>
      </c>
      <c r="C227" s="11">
        <v>1</v>
      </c>
      <c r="D227" s="11">
        <v>2</v>
      </c>
      <c r="E227" s="11">
        <v>1</v>
      </c>
      <c r="F227" s="11">
        <v>3</v>
      </c>
      <c r="G227" s="11">
        <v>3</v>
      </c>
    </row>
    <row r="228" spans="1:7" x14ac:dyDescent="0.2">
      <c r="A228" s="9">
        <v>227</v>
      </c>
      <c r="B228" s="11">
        <v>5</v>
      </c>
      <c r="C228" s="11">
        <v>5</v>
      </c>
      <c r="D228" s="11">
        <v>3</v>
      </c>
      <c r="E228" s="11">
        <v>3</v>
      </c>
      <c r="F228" s="11">
        <v>5</v>
      </c>
      <c r="G228" s="11">
        <v>5</v>
      </c>
    </row>
    <row r="229" spans="1:7" x14ac:dyDescent="0.2">
      <c r="A229" s="9">
        <v>228</v>
      </c>
      <c r="B229" s="11">
        <v>3</v>
      </c>
      <c r="C229" s="11">
        <v>3</v>
      </c>
      <c r="D229" s="11">
        <v>2</v>
      </c>
      <c r="E229" s="11">
        <v>2</v>
      </c>
      <c r="F229" s="11">
        <v>3</v>
      </c>
      <c r="G229" s="11">
        <v>3</v>
      </c>
    </row>
    <row r="230" spans="1:7" x14ac:dyDescent="0.2">
      <c r="A230" s="9">
        <v>229</v>
      </c>
      <c r="B230" s="11">
        <v>3</v>
      </c>
      <c r="C230" s="11">
        <v>1</v>
      </c>
      <c r="D230" s="11">
        <v>1</v>
      </c>
      <c r="E230" s="11">
        <v>1</v>
      </c>
      <c r="F230" s="11">
        <v>5</v>
      </c>
      <c r="G230" s="11">
        <v>1</v>
      </c>
    </row>
    <row r="231" spans="1:7" x14ac:dyDescent="0.2">
      <c r="A231" s="9">
        <v>230</v>
      </c>
      <c r="B231" s="11">
        <v>3</v>
      </c>
      <c r="C231" s="11">
        <v>2</v>
      </c>
      <c r="D231" s="11">
        <v>1</v>
      </c>
      <c r="E231" s="11">
        <v>1</v>
      </c>
      <c r="F231" s="11">
        <v>3</v>
      </c>
      <c r="G231" s="11">
        <v>3</v>
      </c>
    </row>
    <row r="232" spans="1:7" x14ac:dyDescent="0.2">
      <c r="A232" s="9">
        <v>231</v>
      </c>
      <c r="B232" s="11">
        <v>1</v>
      </c>
      <c r="C232" s="11">
        <v>1</v>
      </c>
      <c r="D232" s="11">
        <v>2</v>
      </c>
      <c r="E232" s="11">
        <v>1</v>
      </c>
      <c r="F232" s="11">
        <v>3</v>
      </c>
      <c r="G232" s="11">
        <v>1</v>
      </c>
    </row>
    <row r="233" spans="1:7" x14ac:dyDescent="0.2">
      <c r="A233" s="9">
        <v>232</v>
      </c>
      <c r="B233" s="11">
        <v>5</v>
      </c>
      <c r="C233" s="11">
        <v>4</v>
      </c>
      <c r="D233" s="11">
        <v>4</v>
      </c>
      <c r="E233" s="11">
        <v>5</v>
      </c>
      <c r="F233" s="11">
        <v>5</v>
      </c>
      <c r="G233" s="11">
        <v>5</v>
      </c>
    </row>
    <row r="234" spans="1:7" x14ac:dyDescent="0.2">
      <c r="A234" s="9">
        <v>233</v>
      </c>
      <c r="B234" s="11">
        <v>1</v>
      </c>
      <c r="C234" s="11">
        <v>3</v>
      </c>
      <c r="D234" s="11">
        <v>2</v>
      </c>
      <c r="E234" s="11">
        <v>2</v>
      </c>
      <c r="F234" s="11">
        <v>4</v>
      </c>
      <c r="G234" s="11">
        <v>4</v>
      </c>
    </row>
    <row r="235" spans="1:7" x14ac:dyDescent="0.2">
      <c r="A235" s="9">
        <v>234</v>
      </c>
      <c r="B235" s="11">
        <v>2</v>
      </c>
      <c r="C235" s="11">
        <v>1</v>
      </c>
      <c r="D235" s="11">
        <v>1</v>
      </c>
      <c r="E235" s="11">
        <v>1</v>
      </c>
      <c r="F235" s="11">
        <v>2</v>
      </c>
      <c r="G235" s="11">
        <v>1</v>
      </c>
    </row>
    <row r="236" spans="1:7" x14ac:dyDescent="0.2">
      <c r="A236" s="9">
        <v>235</v>
      </c>
      <c r="B236" s="11">
        <v>3</v>
      </c>
      <c r="C236" s="21">
        <v>1</v>
      </c>
      <c r="D236" s="7">
        <v>2</v>
      </c>
      <c r="E236" s="21">
        <v>1</v>
      </c>
      <c r="F236" s="11">
        <v>4</v>
      </c>
      <c r="G236" s="11">
        <v>3</v>
      </c>
    </row>
    <row r="237" spans="1:7" x14ac:dyDescent="0.2">
      <c r="A237" s="9">
        <v>236</v>
      </c>
      <c r="B237" s="11">
        <v>3</v>
      </c>
      <c r="C237" s="11">
        <v>3</v>
      </c>
      <c r="D237" s="11">
        <v>3</v>
      </c>
      <c r="E237" s="11">
        <v>3</v>
      </c>
      <c r="F237" s="11">
        <v>3</v>
      </c>
      <c r="G237" s="11">
        <v>3</v>
      </c>
    </row>
    <row r="238" spans="1:7" x14ac:dyDescent="0.2">
      <c r="A238" s="9">
        <v>237</v>
      </c>
      <c r="B238" s="11">
        <v>3</v>
      </c>
      <c r="C238" s="11">
        <v>3</v>
      </c>
      <c r="D238" s="11">
        <v>1</v>
      </c>
      <c r="E238" s="11">
        <v>1</v>
      </c>
      <c r="F238" s="11">
        <v>4</v>
      </c>
      <c r="G238" s="11">
        <v>2</v>
      </c>
    </row>
    <row r="239" spans="1:7" x14ac:dyDescent="0.2">
      <c r="A239" s="9">
        <v>238</v>
      </c>
      <c r="B239" s="11">
        <v>5</v>
      </c>
      <c r="C239" s="11">
        <v>5</v>
      </c>
      <c r="D239" s="11">
        <v>1</v>
      </c>
      <c r="E239" s="11">
        <v>1</v>
      </c>
      <c r="F239" s="11">
        <v>5</v>
      </c>
      <c r="G239" s="11">
        <v>3</v>
      </c>
    </row>
    <row r="240" spans="1:7" x14ac:dyDescent="0.2">
      <c r="A240" s="9">
        <v>239</v>
      </c>
      <c r="B240" s="11">
        <v>2</v>
      </c>
      <c r="C240" s="11">
        <v>3</v>
      </c>
      <c r="D240" s="11">
        <v>1</v>
      </c>
      <c r="E240" s="11">
        <v>1</v>
      </c>
      <c r="F240" s="11">
        <v>5</v>
      </c>
      <c r="G240" s="11">
        <v>5</v>
      </c>
    </row>
    <row r="241" spans="1:7" x14ac:dyDescent="0.2">
      <c r="A241" s="9">
        <v>240</v>
      </c>
      <c r="B241" s="33"/>
      <c r="C241" s="33"/>
      <c r="D241" s="33"/>
      <c r="E241" s="33"/>
      <c r="F241" s="33"/>
      <c r="G241" s="33"/>
    </row>
    <row r="242" spans="1:7" x14ac:dyDescent="0.2">
      <c r="A242" s="9">
        <v>241</v>
      </c>
      <c r="B242" s="11">
        <v>1</v>
      </c>
      <c r="C242" s="11">
        <v>1</v>
      </c>
      <c r="D242" s="11">
        <v>1</v>
      </c>
      <c r="E242" s="11">
        <v>1</v>
      </c>
      <c r="F242" s="11">
        <v>3</v>
      </c>
      <c r="G242" s="11">
        <v>2</v>
      </c>
    </row>
    <row r="243" spans="1:7" x14ac:dyDescent="0.2">
      <c r="A243" s="9">
        <v>242</v>
      </c>
      <c r="B243" s="11">
        <v>1</v>
      </c>
      <c r="C243" s="11">
        <v>1</v>
      </c>
      <c r="D243" s="11">
        <v>1</v>
      </c>
      <c r="E243" s="11">
        <v>1</v>
      </c>
      <c r="F243" s="11">
        <v>5</v>
      </c>
      <c r="G243" s="11">
        <v>5</v>
      </c>
    </row>
    <row r="244" spans="1:7" x14ac:dyDescent="0.2">
      <c r="A244" s="9">
        <v>243</v>
      </c>
      <c r="B244" s="11">
        <v>4</v>
      </c>
      <c r="C244" s="11">
        <v>5</v>
      </c>
      <c r="D244" s="11">
        <v>4</v>
      </c>
      <c r="E244" s="11">
        <v>5</v>
      </c>
      <c r="F244" s="11">
        <v>2</v>
      </c>
      <c r="G244" s="11">
        <v>2</v>
      </c>
    </row>
    <row r="245" spans="1:7" x14ac:dyDescent="0.2">
      <c r="A245" s="9">
        <v>244</v>
      </c>
      <c r="B245" s="11">
        <v>1</v>
      </c>
      <c r="C245" s="11">
        <v>1</v>
      </c>
      <c r="D245" s="11">
        <v>2</v>
      </c>
      <c r="E245" s="11">
        <v>1</v>
      </c>
      <c r="F245" s="11">
        <v>2</v>
      </c>
      <c r="G245" s="11">
        <v>1</v>
      </c>
    </row>
    <row r="246" spans="1:7" x14ac:dyDescent="0.2">
      <c r="A246" s="9">
        <v>245</v>
      </c>
      <c r="B246" s="11">
        <v>1</v>
      </c>
      <c r="C246" s="11">
        <v>1</v>
      </c>
      <c r="D246" s="11">
        <v>1</v>
      </c>
      <c r="E246" s="11">
        <v>1</v>
      </c>
      <c r="F246" s="11">
        <v>1</v>
      </c>
      <c r="G246" s="11">
        <v>1</v>
      </c>
    </row>
    <row r="247" spans="1:7" x14ac:dyDescent="0.2">
      <c r="A247" s="9">
        <v>246</v>
      </c>
      <c r="B247" s="11">
        <v>3</v>
      </c>
      <c r="C247" s="11">
        <v>3</v>
      </c>
      <c r="D247" s="11">
        <v>3</v>
      </c>
      <c r="E247" s="11">
        <v>3</v>
      </c>
      <c r="F247" s="11">
        <v>3</v>
      </c>
      <c r="G247" s="11">
        <v>3</v>
      </c>
    </row>
    <row r="248" spans="1:7" x14ac:dyDescent="0.2">
      <c r="A248" s="9">
        <v>247</v>
      </c>
      <c r="B248" s="11">
        <v>5</v>
      </c>
      <c r="C248" s="11">
        <v>3</v>
      </c>
      <c r="D248" s="11">
        <v>3</v>
      </c>
      <c r="E248" s="11">
        <v>1</v>
      </c>
      <c r="F248" s="11">
        <v>4</v>
      </c>
      <c r="G248" s="11">
        <v>3</v>
      </c>
    </row>
    <row r="249" spans="1:7" x14ac:dyDescent="0.2">
      <c r="A249" s="9">
        <v>248</v>
      </c>
      <c r="B249" s="11">
        <v>3</v>
      </c>
      <c r="C249" s="11">
        <v>3</v>
      </c>
      <c r="D249" s="11">
        <v>3</v>
      </c>
      <c r="E249" s="11">
        <v>3</v>
      </c>
      <c r="F249" s="11">
        <v>2</v>
      </c>
      <c r="G249" s="11">
        <v>3</v>
      </c>
    </row>
    <row r="250" spans="1:7" x14ac:dyDescent="0.2">
      <c r="A250" s="9">
        <v>249</v>
      </c>
      <c r="B250" s="11">
        <v>1</v>
      </c>
      <c r="C250" s="11">
        <v>3</v>
      </c>
      <c r="D250" s="11">
        <v>2</v>
      </c>
      <c r="E250" s="11">
        <v>3</v>
      </c>
      <c r="F250" s="11">
        <v>4</v>
      </c>
      <c r="G250" s="11">
        <v>5</v>
      </c>
    </row>
    <row r="251" spans="1:7" x14ac:dyDescent="0.2">
      <c r="A251" s="9">
        <v>250</v>
      </c>
      <c r="B251" s="11">
        <v>2</v>
      </c>
      <c r="C251" s="11">
        <v>2</v>
      </c>
      <c r="D251" s="11">
        <v>2</v>
      </c>
      <c r="E251" s="11">
        <v>2</v>
      </c>
      <c r="F251" s="11">
        <v>3</v>
      </c>
      <c r="G251" s="11">
        <v>3</v>
      </c>
    </row>
    <row r="252" spans="1:7" x14ac:dyDescent="0.2">
      <c r="A252" s="9">
        <v>251</v>
      </c>
      <c r="B252" s="11">
        <v>2</v>
      </c>
      <c r="C252" s="11">
        <v>2</v>
      </c>
      <c r="D252" s="11">
        <v>1</v>
      </c>
      <c r="E252" s="11">
        <v>1</v>
      </c>
      <c r="F252" s="11">
        <v>2</v>
      </c>
      <c r="G252" s="11">
        <v>2</v>
      </c>
    </row>
    <row r="253" spans="1:7" x14ac:dyDescent="0.2">
      <c r="A253" s="9">
        <v>252</v>
      </c>
      <c r="B253" s="11">
        <v>4</v>
      </c>
      <c r="C253" s="11">
        <v>1</v>
      </c>
      <c r="D253" s="11">
        <v>2</v>
      </c>
      <c r="E253" s="11">
        <v>1</v>
      </c>
      <c r="F253" s="11">
        <v>4</v>
      </c>
      <c r="G253" s="11">
        <v>1</v>
      </c>
    </row>
    <row r="254" spans="1:7" x14ac:dyDescent="0.2">
      <c r="A254" s="9">
        <v>253</v>
      </c>
      <c r="B254" s="11">
        <v>3</v>
      </c>
      <c r="C254" s="11">
        <v>4</v>
      </c>
      <c r="D254" s="11">
        <v>1</v>
      </c>
      <c r="E254" s="11">
        <v>5</v>
      </c>
      <c r="F254" s="11">
        <v>3</v>
      </c>
      <c r="G254" s="11">
        <v>4</v>
      </c>
    </row>
    <row r="255" spans="1:7" x14ac:dyDescent="0.2">
      <c r="A255" s="9">
        <v>254</v>
      </c>
      <c r="B255" s="11">
        <v>3</v>
      </c>
      <c r="C255" s="11">
        <v>3</v>
      </c>
      <c r="D255" s="11">
        <v>2</v>
      </c>
      <c r="E255" s="11">
        <v>1</v>
      </c>
      <c r="F255" s="11">
        <v>3</v>
      </c>
      <c r="G255" s="11">
        <v>3</v>
      </c>
    </row>
    <row r="256" spans="1:7" x14ac:dyDescent="0.2">
      <c r="A256" s="9">
        <v>255</v>
      </c>
      <c r="B256" s="33">
        <v>1</v>
      </c>
      <c r="C256" s="33">
        <v>1</v>
      </c>
      <c r="D256" s="33">
        <v>2</v>
      </c>
      <c r="E256" s="33">
        <v>1</v>
      </c>
      <c r="F256" s="33">
        <v>2</v>
      </c>
      <c r="G256" s="33">
        <v>2</v>
      </c>
    </row>
    <row r="257" spans="1:7" x14ac:dyDescent="0.2">
      <c r="A257" s="9">
        <v>256</v>
      </c>
      <c r="B257" s="33">
        <v>3</v>
      </c>
      <c r="C257" s="33">
        <v>3</v>
      </c>
      <c r="D257" s="33">
        <v>3</v>
      </c>
      <c r="E257" s="33">
        <v>1</v>
      </c>
      <c r="F257" s="33">
        <v>4</v>
      </c>
      <c r="G257" s="33">
        <v>2</v>
      </c>
    </row>
    <row r="258" spans="1:7" x14ac:dyDescent="0.2">
      <c r="A258" s="9">
        <v>257</v>
      </c>
      <c r="B258" s="11">
        <v>5</v>
      </c>
      <c r="C258" s="11">
        <v>3</v>
      </c>
      <c r="D258" s="11">
        <v>1</v>
      </c>
      <c r="E258" s="11">
        <v>1</v>
      </c>
      <c r="F258" s="11">
        <v>5</v>
      </c>
      <c r="G258" s="11">
        <v>3</v>
      </c>
    </row>
    <row r="259" spans="1:7" x14ac:dyDescent="0.2">
      <c r="A259" s="9">
        <v>258</v>
      </c>
      <c r="B259" s="11">
        <v>4</v>
      </c>
      <c r="C259" s="11">
        <v>4</v>
      </c>
      <c r="D259" s="11">
        <v>2</v>
      </c>
      <c r="E259" s="11">
        <v>1</v>
      </c>
      <c r="F259" s="11">
        <v>4</v>
      </c>
      <c r="G259" s="11">
        <v>3</v>
      </c>
    </row>
    <row r="260" spans="1:7" x14ac:dyDescent="0.2">
      <c r="A260" s="9">
        <v>259</v>
      </c>
      <c r="B260" s="11">
        <v>1</v>
      </c>
      <c r="C260" s="11">
        <v>1</v>
      </c>
      <c r="D260" s="11">
        <v>1</v>
      </c>
      <c r="E260" s="11">
        <v>1</v>
      </c>
      <c r="F260" s="11">
        <v>4</v>
      </c>
      <c r="G260" s="11">
        <v>3</v>
      </c>
    </row>
    <row r="261" spans="1:7" x14ac:dyDescent="0.2">
      <c r="A261" s="9">
        <v>260</v>
      </c>
      <c r="B261" s="11">
        <v>4</v>
      </c>
      <c r="C261" s="11">
        <v>3</v>
      </c>
      <c r="D261" s="11">
        <v>1</v>
      </c>
      <c r="E261" s="11">
        <v>5</v>
      </c>
      <c r="F261" s="11">
        <v>3</v>
      </c>
      <c r="G261" s="11">
        <v>2</v>
      </c>
    </row>
    <row r="262" spans="1:7" x14ac:dyDescent="0.2">
      <c r="A262" s="9">
        <v>261</v>
      </c>
      <c r="B262" s="11">
        <v>2</v>
      </c>
      <c r="C262" s="11">
        <v>2</v>
      </c>
      <c r="D262" s="11">
        <v>1</v>
      </c>
      <c r="E262" s="11">
        <v>1</v>
      </c>
      <c r="F262" s="11">
        <v>3</v>
      </c>
      <c r="G262" s="11">
        <v>3</v>
      </c>
    </row>
    <row r="263" spans="1:7" x14ac:dyDescent="0.2">
      <c r="A263" s="9">
        <v>262</v>
      </c>
      <c r="B263" s="11">
        <v>4</v>
      </c>
      <c r="C263" s="11">
        <v>3</v>
      </c>
      <c r="D263" s="11">
        <v>4</v>
      </c>
      <c r="E263" s="11">
        <v>1</v>
      </c>
      <c r="F263" s="11">
        <v>4</v>
      </c>
      <c r="G263" s="11">
        <v>2</v>
      </c>
    </row>
    <row r="264" spans="1:7" x14ac:dyDescent="0.2">
      <c r="A264" s="9">
        <v>263</v>
      </c>
      <c r="B264" s="11">
        <v>4</v>
      </c>
      <c r="C264" s="11">
        <v>4</v>
      </c>
      <c r="D264" s="11">
        <v>1</v>
      </c>
      <c r="E264" s="11">
        <v>1</v>
      </c>
      <c r="F264" s="11">
        <v>3</v>
      </c>
      <c r="G264" s="11">
        <v>3</v>
      </c>
    </row>
    <row r="265" spans="1:7" x14ac:dyDescent="0.2">
      <c r="A265" s="9">
        <v>264</v>
      </c>
      <c r="B265" s="11">
        <v>3</v>
      </c>
      <c r="C265" s="11">
        <v>3</v>
      </c>
      <c r="D265" s="11">
        <v>2</v>
      </c>
      <c r="E265" s="11">
        <v>2</v>
      </c>
      <c r="F265" s="11">
        <v>2</v>
      </c>
      <c r="G265" s="11">
        <v>1</v>
      </c>
    </row>
    <row r="266" spans="1:7" x14ac:dyDescent="0.2">
      <c r="A266" s="9">
        <v>265</v>
      </c>
      <c r="B266" s="11">
        <v>3</v>
      </c>
      <c r="C266" s="11">
        <v>3</v>
      </c>
      <c r="D266" s="11">
        <v>3</v>
      </c>
      <c r="E266" s="11">
        <v>3</v>
      </c>
      <c r="F266" s="11">
        <v>5</v>
      </c>
      <c r="G266" s="11">
        <v>5</v>
      </c>
    </row>
    <row r="267" spans="1:7" x14ac:dyDescent="0.2">
      <c r="A267" s="9">
        <v>266</v>
      </c>
      <c r="B267" s="11">
        <v>3</v>
      </c>
      <c r="C267" s="11">
        <v>3</v>
      </c>
      <c r="D267" s="11">
        <v>3</v>
      </c>
      <c r="E267" s="11">
        <v>3</v>
      </c>
      <c r="F267" s="11">
        <v>3</v>
      </c>
      <c r="G267" s="11">
        <v>3</v>
      </c>
    </row>
    <row r="268" spans="1:7" x14ac:dyDescent="0.2">
      <c r="A268" s="9">
        <v>267</v>
      </c>
      <c r="B268" s="11">
        <v>2</v>
      </c>
      <c r="C268" s="11">
        <v>3</v>
      </c>
      <c r="D268" s="11">
        <v>5</v>
      </c>
      <c r="E268" s="11">
        <v>3</v>
      </c>
      <c r="F268" s="11">
        <v>4</v>
      </c>
      <c r="G268" s="11">
        <v>4</v>
      </c>
    </row>
    <row r="269" spans="1:7" x14ac:dyDescent="0.2">
      <c r="A269" s="9">
        <v>268</v>
      </c>
      <c r="B269" s="11">
        <v>3</v>
      </c>
      <c r="C269" s="11">
        <v>1</v>
      </c>
      <c r="D269" s="11">
        <v>2</v>
      </c>
      <c r="E269" s="11">
        <v>1</v>
      </c>
      <c r="F269" s="11">
        <v>3</v>
      </c>
      <c r="G269" s="11">
        <v>1</v>
      </c>
    </row>
    <row r="270" spans="1:7" x14ac:dyDescent="0.2">
      <c r="A270" s="9">
        <v>269</v>
      </c>
      <c r="B270" s="11">
        <v>3</v>
      </c>
      <c r="C270" s="11">
        <v>3</v>
      </c>
      <c r="D270" s="11">
        <v>1</v>
      </c>
      <c r="E270" s="11">
        <v>1</v>
      </c>
      <c r="F270" s="11">
        <v>3</v>
      </c>
      <c r="G270" s="11">
        <v>3</v>
      </c>
    </row>
    <row r="271" spans="1:7" x14ac:dyDescent="0.2">
      <c r="A271" s="9">
        <v>270</v>
      </c>
      <c r="B271" s="11">
        <v>5</v>
      </c>
      <c r="C271" s="11">
        <v>4</v>
      </c>
      <c r="D271" s="11">
        <v>4</v>
      </c>
      <c r="E271" s="11">
        <v>4</v>
      </c>
      <c r="F271" s="11">
        <v>4</v>
      </c>
      <c r="G271" s="11">
        <v>4</v>
      </c>
    </row>
    <row r="272" spans="1:7" x14ac:dyDescent="0.2">
      <c r="A272" s="9">
        <v>271</v>
      </c>
      <c r="B272" s="11">
        <v>5</v>
      </c>
      <c r="C272" s="11">
        <v>5</v>
      </c>
      <c r="D272" s="11">
        <v>1</v>
      </c>
      <c r="E272" s="11">
        <v>1</v>
      </c>
      <c r="F272" s="11">
        <v>5</v>
      </c>
      <c r="G272" s="11">
        <v>5</v>
      </c>
    </row>
    <row r="273" spans="1:7" x14ac:dyDescent="0.2">
      <c r="A273" s="9">
        <v>272</v>
      </c>
      <c r="B273" s="11">
        <v>2</v>
      </c>
      <c r="C273" s="11">
        <v>1</v>
      </c>
      <c r="D273" s="11">
        <v>2</v>
      </c>
      <c r="E273" s="11">
        <v>1</v>
      </c>
      <c r="F273" s="11">
        <v>3</v>
      </c>
      <c r="G273" s="11">
        <v>1</v>
      </c>
    </row>
    <row r="274" spans="1:7" x14ac:dyDescent="0.2">
      <c r="A274" s="9">
        <v>273</v>
      </c>
      <c r="B274" s="11">
        <v>4</v>
      </c>
      <c r="C274" s="11">
        <v>4</v>
      </c>
      <c r="D274" s="11">
        <v>3</v>
      </c>
      <c r="E274" s="11">
        <v>4</v>
      </c>
      <c r="F274" s="11">
        <v>3</v>
      </c>
      <c r="G274" s="11">
        <v>3</v>
      </c>
    </row>
    <row r="275" spans="1:7" x14ac:dyDescent="0.2">
      <c r="A275" s="9">
        <v>274</v>
      </c>
      <c r="B275" s="11">
        <v>2</v>
      </c>
      <c r="C275" s="11">
        <v>1</v>
      </c>
      <c r="D275" s="11">
        <v>3</v>
      </c>
      <c r="E275" s="11">
        <v>2</v>
      </c>
      <c r="F275" s="11">
        <v>4</v>
      </c>
      <c r="G275" s="11">
        <v>2</v>
      </c>
    </row>
    <row r="276" spans="1:7" x14ac:dyDescent="0.2">
      <c r="A276" s="9">
        <v>275</v>
      </c>
      <c r="B276" s="11">
        <v>2</v>
      </c>
      <c r="C276" s="11">
        <v>1</v>
      </c>
      <c r="D276" s="11">
        <v>2</v>
      </c>
      <c r="E276" s="11">
        <v>1</v>
      </c>
      <c r="F276" s="11">
        <v>2</v>
      </c>
      <c r="G276" s="11">
        <v>1</v>
      </c>
    </row>
    <row r="277" spans="1:7" x14ac:dyDescent="0.2">
      <c r="A277" s="9">
        <v>276</v>
      </c>
      <c r="B277" s="9">
        <v>5</v>
      </c>
      <c r="C277" s="9">
        <v>5</v>
      </c>
      <c r="D277" s="9">
        <v>3</v>
      </c>
      <c r="E277" s="9">
        <v>3</v>
      </c>
      <c r="F277" s="9">
        <v>5</v>
      </c>
      <c r="G277" s="9">
        <v>4</v>
      </c>
    </row>
  </sheetData>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D9A1C-F808-444C-A120-B5287FCF1AC6}">
  <dimension ref="A1:BP277"/>
  <sheetViews>
    <sheetView topLeftCell="Z1" zoomScale="70" zoomScaleNormal="70" workbookViewId="0">
      <pane ySplit="1" topLeftCell="A2" activePane="bottomLeft" state="frozen"/>
      <selection activeCell="F1" sqref="F1"/>
      <selection pane="bottomLeft" activeCell="AA1" sqref="AA1"/>
    </sheetView>
  </sheetViews>
  <sheetFormatPr defaultColWidth="26.85546875" defaultRowHeight="12.75" x14ac:dyDescent="0.2"/>
  <cols>
    <col min="1" max="1" width="10.5703125" style="11" customWidth="1"/>
    <col min="2" max="3" width="26.85546875" style="11"/>
    <col min="4" max="4" width="18.85546875" style="11" customWidth="1"/>
    <col min="5" max="5" width="20.7109375" style="11" customWidth="1"/>
    <col min="6" max="27" width="26.85546875" style="11"/>
    <col min="28" max="28" width="8.5703125" style="11" customWidth="1"/>
    <col min="29" max="29" width="24.7109375" style="11" customWidth="1"/>
    <col min="30" max="30" width="10" style="11" customWidth="1"/>
    <col min="31" max="31" width="22.42578125" style="11" customWidth="1"/>
    <col min="32" max="33" width="10" style="11" customWidth="1"/>
    <col min="34" max="35" width="12.140625" style="11" customWidth="1"/>
    <col min="36" max="36" width="12.28515625" style="11" customWidth="1"/>
    <col min="37" max="47" width="10" style="11" customWidth="1"/>
    <col min="48" max="49" width="12.5703125" style="11" bestFit="1" customWidth="1"/>
    <col min="50" max="50" width="12.140625" style="11" bestFit="1" customWidth="1"/>
    <col min="51" max="51" width="13.28515625" style="11" customWidth="1"/>
    <col min="52" max="52" width="23.28515625" style="11" customWidth="1"/>
    <col min="53" max="58" width="9.5703125" style="11" customWidth="1"/>
    <col min="59" max="60" width="12.5703125" style="11" bestFit="1" customWidth="1"/>
    <col min="61" max="61" width="12.140625" style="11" bestFit="1" customWidth="1"/>
    <col min="62" max="62" width="9.5703125" style="11" customWidth="1"/>
    <col min="63" max="63" width="28.140625" style="11" customWidth="1"/>
    <col min="64" max="64" width="9.85546875" style="11" customWidth="1"/>
    <col min="65" max="65" width="7.140625" style="11" customWidth="1"/>
    <col min="66" max="66" width="24.28515625" style="11" customWidth="1"/>
    <col min="67" max="67" width="11.7109375" style="11" customWidth="1"/>
    <col min="68" max="68" width="7.85546875" style="11" customWidth="1"/>
    <col min="69" max="16384" width="26.85546875" style="11"/>
  </cols>
  <sheetData>
    <row r="1" spans="1:68" s="2" customFormat="1" ht="76.5" x14ac:dyDescent="0.2">
      <c r="B1" s="2" t="s">
        <v>1952</v>
      </c>
      <c r="C1" s="2" t="s">
        <v>1951</v>
      </c>
      <c r="D1" s="2" t="s">
        <v>1941</v>
      </c>
      <c r="E1" s="2" t="s">
        <v>3612</v>
      </c>
      <c r="F1" s="2" t="s">
        <v>1942</v>
      </c>
      <c r="G1" s="22" t="s">
        <v>1953</v>
      </c>
      <c r="H1" s="2" t="s">
        <v>1954</v>
      </c>
      <c r="I1" s="2" t="s">
        <v>1942</v>
      </c>
      <c r="J1" s="2" t="s">
        <v>1943</v>
      </c>
      <c r="K1" s="2" t="s">
        <v>1942</v>
      </c>
      <c r="L1" s="2" t="s">
        <v>1179</v>
      </c>
      <c r="M1" s="2" t="s">
        <v>1942</v>
      </c>
      <c r="N1" s="2" t="s">
        <v>1181</v>
      </c>
      <c r="O1" s="2" t="s">
        <v>1942</v>
      </c>
      <c r="P1" s="2" t="s">
        <v>1183</v>
      </c>
      <c r="Q1" s="2" t="s">
        <v>1944</v>
      </c>
      <c r="R1" s="22" t="s">
        <v>671</v>
      </c>
      <c r="S1" s="2" t="s">
        <v>1945</v>
      </c>
      <c r="T1" s="2" t="s">
        <v>1942</v>
      </c>
      <c r="U1" s="2" t="s">
        <v>1946</v>
      </c>
      <c r="V1" s="2" t="s">
        <v>1942</v>
      </c>
      <c r="W1" s="2" t="s">
        <v>1947</v>
      </c>
      <c r="X1" s="2" t="s">
        <v>1942</v>
      </c>
      <c r="Y1" s="2" t="s">
        <v>1948</v>
      </c>
      <c r="Z1" s="2" t="s">
        <v>1944</v>
      </c>
      <c r="AB1" s="8"/>
      <c r="AC1" s="8" t="s">
        <v>1951</v>
      </c>
      <c r="AD1" s="8" t="s">
        <v>3570</v>
      </c>
      <c r="AE1" s="8" t="s">
        <v>1951</v>
      </c>
      <c r="AF1" s="8" t="s">
        <v>3570</v>
      </c>
      <c r="AG1" s="8"/>
      <c r="AH1" s="8" t="s">
        <v>4002</v>
      </c>
      <c r="AI1" s="8" t="s">
        <v>4014</v>
      </c>
      <c r="AJ1" s="8" t="s">
        <v>4003</v>
      </c>
      <c r="AK1" s="8"/>
      <c r="AL1" s="8" t="s">
        <v>105</v>
      </c>
      <c r="AM1" s="8" t="s">
        <v>324</v>
      </c>
      <c r="AN1" s="8" t="s">
        <v>309</v>
      </c>
      <c r="AO1" s="8" t="s">
        <v>443</v>
      </c>
      <c r="AP1" s="8" t="s">
        <v>107</v>
      </c>
      <c r="AQ1" s="8" t="s">
        <v>3959</v>
      </c>
      <c r="AR1" s="8" t="s">
        <v>377</v>
      </c>
      <c r="AS1" s="8" t="s">
        <v>161</v>
      </c>
      <c r="AT1" s="8"/>
      <c r="AU1" s="73" t="s">
        <v>138</v>
      </c>
      <c r="AV1" s="73" t="s">
        <v>86</v>
      </c>
      <c r="AW1" s="73" t="s">
        <v>618</v>
      </c>
      <c r="AX1" s="73" t="s">
        <v>108</v>
      </c>
      <c r="AY1" s="8"/>
      <c r="AZ1" s="8" t="s">
        <v>3999</v>
      </c>
      <c r="BA1" s="8" t="s">
        <v>3570</v>
      </c>
      <c r="BB1" s="8" t="s">
        <v>4002</v>
      </c>
      <c r="BC1" s="8" t="s">
        <v>4014</v>
      </c>
      <c r="BD1" s="8" t="s">
        <v>4003</v>
      </c>
      <c r="BE1" s="8"/>
      <c r="BF1" s="73"/>
      <c r="BG1" s="73" t="s">
        <v>86</v>
      </c>
      <c r="BH1" s="73" t="s">
        <v>618</v>
      </c>
      <c r="BI1" s="73" t="s">
        <v>108</v>
      </c>
      <c r="BJ1" s="8"/>
      <c r="BK1" s="8" t="s">
        <v>1955</v>
      </c>
      <c r="BL1" s="8"/>
      <c r="BM1" s="8"/>
      <c r="BN1" s="8" t="s">
        <v>671</v>
      </c>
      <c r="BO1" s="8"/>
      <c r="BP1" s="8"/>
    </row>
    <row r="2" spans="1:68" ht="38.25" x14ac:dyDescent="0.2">
      <c r="A2" s="11">
        <v>1</v>
      </c>
      <c r="B2" s="11" t="s">
        <v>94</v>
      </c>
      <c r="G2" s="7" t="s">
        <v>95</v>
      </c>
      <c r="H2" s="7"/>
      <c r="I2" s="7"/>
      <c r="J2" s="7"/>
      <c r="K2" s="7"/>
      <c r="L2" s="7"/>
      <c r="M2" s="7"/>
      <c r="N2" s="7"/>
      <c r="O2" s="7"/>
      <c r="P2" s="7"/>
      <c r="Q2" s="7"/>
      <c r="R2" s="7" t="s">
        <v>1147</v>
      </c>
      <c r="S2" s="21" t="s">
        <v>81</v>
      </c>
      <c r="T2" s="21"/>
      <c r="U2" s="21"/>
      <c r="V2" s="21"/>
      <c r="W2" s="21"/>
      <c r="X2" s="21"/>
      <c r="Y2" s="7"/>
      <c r="Z2" s="7"/>
      <c r="AC2" s="11" t="s">
        <v>708</v>
      </c>
      <c r="AD2" s="11">
        <f>COUNTIF($C$2:$C$496,"*facility")</f>
        <v>59</v>
      </c>
      <c r="AE2" s="11" t="s">
        <v>708</v>
      </c>
      <c r="AF2" s="11">
        <f>COUNTIF($C$2:$C$496,"*facility")</f>
        <v>59</v>
      </c>
      <c r="AH2" s="11">
        <f>COUNTIFS($C$2:$C$496,"*facility",'1'!$F$2:$F$496,"*staff*")</f>
        <v>25</v>
      </c>
      <c r="AI2" s="11">
        <f>COUNTIFS($C$2:$C$496,"*facility",'1'!$F$2:$F$496,"*both*")</f>
        <v>34</v>
      </c>
      <c r="AJ2" s="11">
        <f>COUNTIFS($C$2:$C$496,"*facility",'1'!$F$2:$F$496,"*users work*")</f>
        <v>0</v>
      </c>
      <c r="AL2" s="11">
        <f>COUNTIFS($C$2:$C$496,"*facility",'1'!$B$2:$B$496,"*flow cytometry*")</f>
        <v>5</v>
      </c>
      <c r="AM2" s="11">
        <f>COUNTIFS($C$2:$C$496,"*facility",'1'!$B$2:$B$496,"*genomics*")</f>
        <v>6</v>
      </c>
      <c r="AN2" s="11">
        <f>COUNTIFS($C$2:$C$496,"*facility",'1'!$B$2:$B$496,"*histology*")</f>
        <v>0</v>
      </c>
      <c r="AO2" s="11">
        <f>COUNTIFS($C$2:$C$496,"*facility",'1'!$B$2:$B$496,"*metabolomics*")</f>
        <v>2</v>
      </c>
      <c r="AP2" s="11">
        <f>COUNTIFS($C$2:$C$496,"*facility",'1'!$B$2:$B$496,"*microscopy*")</f>
        <v>6</v>
      </c>
      <c r="AQ2" s="11">
        <f>COUNTIFS($C$2:$C$496,"*facility",'1'!$B$2:$B$496,"*mouse*")</f>
        <v>5</v>
      </c>
      <c r="AR2" s="11">
        <f>COUNTIFS($C$2:$C$496,"*facility",'1'!$B$2:$B$496,"*protein expression*")</f>
        <v>3</v>
      </c>
      <c r="AS2" s="11">
        <f>COUNTIFS($C$2:$C$496,"*facility",'1'!$B$2:$B$496,"*proteomics*")</f>
        <v>19</v>
      </c>
      <c r="AU2" s="11">
        <f>COUNTIFS($C$2:$C$496,"*facility",'1'!$G$2:$G$496,"*1MB")</f>
        <v>2</v>
      </c>
      <c r="AV2" s="11">
        <f>COUNTIFS($C$2:$C$496,"*facility",'1'!$G$2:$G$496,"1-1000 MB")</f>
        <v>8</v>
      </c>
      <c r="AW2" s="11">
        <f>COUNTIFS($C$2:$C$496,"*facility",'1'!$G$2:$G$496,"1-1000 GB")</f>
        <v>32</v>
      </c>
      <c r="AX2" s="11">
        <f>COUNTIFS($C$2:$C$496,"*facility",'1'!$G$2:$G$496,"1-1000 TB")</f>
        <v>13</v>
      </c>
      <c r="AZ2" s="11" t="s">
        <v>84</v>
      </c>
      <c r="BA2" s="11">
        <f>COUNTIF($E$2:$E$496,"Yes")</f>
        <v>9</v>
      </c>
      <c r="BB2" s="11">
        <f>COUNTIFS($E$2:$E$496,"Yes",'1'!$F$2:$F$496,"*staff*")</f>
        <v>2</v>
      </c>
      <c r="BC2" s="11">
        <f>COUNTIFS($E$2:$E$496,"Yes",'1'!$F$2:$F$496,"*both*")</f>
        <v>7</v>
      </c>
      <c r="BD2" s="11">
        <f>COUNTIFS($E$2:$E$496,"Yes",'1'!$F$2:$F$496,"*users work*")</f>
        <v>0</v>
      </c>
      <c r="BG2" s="11">
        <f>COUNTIFS($E$2:$E$496,"Yes",'1'!$G$2:$G$496,"1-1000 MB")</f>
        <v>1</v>
      </c>
      <c r="BH2" s="11">
        <f>COUNTIFS($E$2:$E$496,"Yes",'1'!$G$2:$G$496,"1-1000 GB")</f>
        <v>8</v>
      </c>
      <c r="BI2" s="11">
        <f>COUNTIFS($E$2:$E$496,"Yes",'1'!$G$2:$G$496,"1-1000 TB")</f>
        <v>0</v>
      </c>
      <c r="BK2" s="11" t="s">
        <v>423</v>
      </c>
      <c r="BL2" s="11">
        <f>COUNTIF(J$2:J$496,"Yes")</f>
        <v>108</v>
      </c>
      <c r="BN2" s="7" t="s">
        <v>245</v>
      </c>
      <c r="BO2" s="7">
        <f>COUNTIF(S$2:S$496,"Yes")</f>
        <v>192</v>
      </c>
      <c r="BP2" s="7"/>
    </row>
    <row r="3" spans="1:68" ht="25.5" x14ac:dyDescent="0.2">
      <c r="A3" s="11">
        <v>2</v>
      </c>
      <c r="B3" s="11" t="s">
        <v>114</v>
      </c>
      <c r="G3" s="11" t="s">
        <v>115</v>
      </c>
      <c r="R3" s="11" t="s">
        <v>1145</v>
      </c>
      <c r="S3" s="21" t="s">
        <v>81</v>
      </c>
      <c r="T3" s="21"/>
      <c r="U3" s="21"/>
      <c r="V3" s="21"/>
      <c r="W3" s="21"/>
      <c r="X3" s="21"/>
      <c r="AC3" s="11" t="s">
        <v>118</v>
      </c>
      <c r="AD3" s="11">
        <f>COUNTIF($C$2:$C$496,"both")</f>
        <v>73</v>
      </c>
      <c r="AE3" s="11" t="s">
        <v>3962</v>
      </c>
      <c r="AF3" s="11">
        <f>COUNTIF($C$2:$C$496,"both")</f>
        <v>73</v>
      </c>
      <c r="AH3" s="11">
        <f>COUNTIFS($C$2:$C$496,"both",'1'!$F$2:$F$496,"*staff*")</f>
        <v>21</v>
      </c>
      <c r="AI3" s="11">
        <f>COUNTIFS($C$2:$C$496,"both",'1'!$F$2:$F$496,"*both*")</f>
        <v>48</v>
      </c>
      <c r="AJ3" s="11">
        <f>COUNTIFS($C$2:$C$496,"both",'1'!$F$2:$F$496,"*users work*")</f>
        <v>4</v>
      </c>
      <c r="AL3" s="11">
        <f>COUNTIFS($C$2:$C$496,"both",'1'!$B$2:$B$496,"*flow cytometry*")</f>
        <v>17</v>
      </c>
      <c r="AM3" s="11">
        <f>COUNTIFS($C$2:$C$496,"both",'1'!$B$2:$B$496,"*genomics*")</f>
        <v>12</v>
      </c>
      <c r="AN3" s="11">
        <f>COUNTIFS($C$2:$C$496,"both",'1'!$B$2:$B$496,"*histology*")</f>
        <v>4</v>
      </c>
      <c r="AO3" s="11">
        <f>COUNTIFS($C$2:$C$496,"both",'1'!$B$2:$B$496,"*metabolomics*")</f>
        <v>2</v>
      </c>
      <c r="AP3" s="11">
        <f>COUNTIFS($C$2:$C$496,"both",'1'!$B$2:$B$496,"*microscopy*")</f>
        <v>18</v>
      </c>
      <c r="AQ3" s="11">
        <f>COUNTIFS($C$2:$C$496,"both",'1'!$B$2:$B$496,"*mouse*")</f>
        <v>3</v>
      </c>
      <c r="AR3" s="11">
        <f>COUNTIFS($C$2:$C$496,"both",'1'!$B$2:$B$496,"*protein expression*")</f>
        <v>3</v>
      </c>
      <c r="AS3" s="11">
        <f>COUNTIFS($C$2:$C$496,"both",'1'!$B$2:$B$496,"*proteomics*")</f>
        <v>2</v>
      </c>
      <c r="AU3" s="11">
        <f>COUNTIFS($C$2:$C$496,"both",'1'!$G$2:$G$496,"*1MB")</f>
        <v>4</v>
      </c>
      <c r="AV3" s="11">
        <f>COUNTIFS($C$2:$C$496,"both",'1'!$G$2:$G$496,"1-1000 MB")</f>
        <v>7</v>
      </c>
      <c r="AW3" s="11">
        <f>COUNTIFS($C$2:$C$496,"both",'1'!$G$2:$G$496,"1-1000 GB")</f>
        <v>28</v>
      </c>
      <c r="AX3" s="11">
        <f>COUNTIFS($C$2:$C$496,"both",'1'!$G$2:$G$496,"1-1000 TB")</f>
        <v>18</v>
      </c>
      <c r="AZ3" s="11" t="s">
        <v>82</v>
      </c>
      <c r="BA3" s="11">
        <f>COUNTIF($E$2:$E$496,"No")</f>
        <v>64</v>
      </c>
      <c r="BB3" s="11">
        <f>COUNTIFS($E$2:$E$496,"No",'1'!$F$2:$F$496,"*staff*")</f>
        <v>8</v>
      </c>
      <c r="BC3" s="11">
        <f>COUNTIFS($E$2:$E$496,"No",'1'!$F$2:$F$496,"*both*")</f>
        <v>50</v>
      </c>
      <c r="BD3" s="11">
        <f>COUNTIFS($E$2:$E$496,"No",'1'!$F$2:$F$496,"*users work*")</f>
        <v>6</v>
      </c>
      <c r="BG3" s="11">
        <f>COUNTIFS($E$2:$E$496,"No",'1'!$G$2:$G$496,"1-1000 MB")</f>
        <v>8</v>
      </c>
      <c r="BH3" s="11">
        <f>COUNTIFS($E$2:$E$496,"No",'1'!$G$2:$G$496,"1-1000 GB")</f>
        <v>24</v>
      </c>
      <c r="BI3" s="11">
        <f>COUNTIFS($E$2:$E$496,"No",'1'!$G$2:$G$496,"1-1000 TB")</f>
        <v>21</v>
      </c>
      <c r="BK3" s="11" t="s">
        <v>1956</v>
      </c>
      <c r="BL3" s="11">
        <f>COUNTIF(H$2:H$496,"Yes")</f>
        <v>68</v>
      </c>
      <c r="BN3" s="11" t="s">
        <v>1979</v>
      </c>
      <c r="BO3" s="7">
        <f>COUNTIF(U$2:U$496,"Yes")</f>
        <v>90</v>
      </c>
    </row>
    <row r="4" spans="1:68" ht="38.25" x14ac:dyDescent="0.2">
      <c r="A4" s="11">
        <v>3</v>
      </c>
      <c r="B4" s="11" t="s">
        <v>128</v>
      </c>
      <c r="G4" s="11" t="s">
        <v>4160</v>
      </c>
      <c r="R4" s="7" t="s">
        <v>1146</v>
      </c>
      <c r="S4" s="21" t="s">
        <v>81</v>
      </c>
      <c r="T4" s="21"/>
      <c r="U4" s="21"/>
      <c r="V4" s="21"/>
      <c r="W4" s="21"/>
      <c r="X4" s="21"/>
      <c r="Y4" s="7"/>
      <c r="Z4" s="7"/>
      <c r="AC4" s="11" t="s">
        <v>128</v>
      </c>
      <c r="AD4" s="11">
        <f>COUNTIF($C$2:$C$496,"*user")</f>
        <v>62</v>
      </c>
      <c r="AE4" s="11" t="s">
        <v>3963</v>
      </c>
      <c r="AF4" s="11">
        <f>COUNTIFS($C$2:$C$496,"*user",$E$2:$E$496,"Yes")</f>
        <v>5</v>
      </c>
      <c r="AH4" s="11">
        <f>COUNTIFS($C$2:$C$496,"*user",$E$2:$E$496,"Yes",'1'!$F$2:$F$496,"*staff*")</f>
        <v>0</v>
      </c>
      <c r="AI4" s="11">
        <f>COUNTIFS($C$2:$C$496,"*user",$E$2:$E$496,"Yes",'1'!$F$2:$F$496,"*both*")</f>
        <v>5</v>
      </c>
      <c r="AJ4" s="11">
        <f>COUNTIFS($C$2:$C$496,"*user",$E$2:$E$496,"Yes",'1'!$F$2:$F$496,"*users work*")</f>
        <v>0</v>
      </c>
      <c r="AL4" s="11">
        <f>COUNTIFS($C$2:$C$496,"*user",$E$2:$E$496,"Yes",'1'!$B$2:$B$496,"*flow cytometry*")</f>
        <v>2</v>
      </c>
      <c r="AM4" s="11">
        <f>COUNTIFS($C$2:$C$496,"*user",$E$2:$E$496,"Yes",'1'!$B$2:$B$496,"*genomics*")</f>
        <v>0</v>
      </c>
      <c r="AN4" s="11">
        <f>COUNTIFS($C$2:$C$496,"*user",$E$2:$E$496,"Yes",'1'!$B$2:$B$496,"*histology*")</f>
        <v>1</v>
      </c>
      <c r="AO4" s="11">
        <f>COUNTIFS($C$2:$C$496,"*user",$E$2:$E$496,"Yes",'1'!$B$2:$B$496,"*metabolomics*")</f>
        <v>0</v>
      </c>
      <c r="AP4" s="11">
        <f>COUNTIFS($C$2:$C$496,"*user",$E$2:$E$496,"Yes",'1'!$B$2:$B$496,"*microscopy*")</f>
        <v>2</v>
      </c>
      <c r="AQ4" s="11">
        <f>COUNTIFS($C$2:$C$496,"*user",$E$2:$E$496,"Yes",'1'!$B$2:$B$496,"*mouse*")</f>
        <v>0</v>
      </c>
      <c r="AR4" s="11">
        <f>COUNTIFS($C$2:$C$496,"*user",$E$2:$E$496,"Yes",'1'!$B$2:$B$496,"*protein expression*")</f>
        <v>0</v>
      </c>
      <c r="AS4" s="11">
        <f>COUNTIFS($C$2:$C$496,"*user",$E$2:$E$496,"Yes",'1'!$B$2:$B$496,"*proteomics*")</f>
        <v>0</v>
      </c>
      <c r="AU4" s="11">
        <f>COUNTIFS($C$2:$C$496,"*user",$E$2:$E$496,"Yes",'1'!$G$2:$G$496,"*1MB")</f>
        <v>0</v>
      </c>
      <c r="AV4" s="11">
        <f>COUNTIFS($C$2:$C$496,"*user",$E$2:$E$496,"Yes",'1'!$G$2:$G$496,"1-1000 MB")</f>
        <v>0</v>
      </c>
      <c r="AW4" s="11">
        <f>COUNTIFS($C$2:$C$496,"*user",$E$2:$E$496,"Yes",'1'!$G$2:$G$496,"1-1000 GB")</f>
        <v>5</v>
      </c>
      <c r="AX4" s="11">
        <f>COUNTIFS($C$2:$C$496,"*user",$E$2:$E$496,"Yes",'1'!$G$2:$G$496,"1-1000 TB")</f>
        <v>0</v>
      </c>
      <c r="BK4" s="11" t="s">
        <v>438</v>
      </c>
      <c r="BL4" s="11">
        <f>COUNTIF(N$2:N$496,"Yes")</f>
        <v>24</v>
      </c>
      <c r="BN4" s="7" t="s">
        <v>478</v>
      </c>
      <c r="BO4" s="7">
        <f>COUNTIF(W$2:W$496,"Yes")</f>
        <v>53</v>
      </c>
      <c r="BP4" s="7"/>
    </row>
    <row r="5" spans="1:68" x14ac:dyDescent="0.2">
      <c r="A5" s="11">
        <v>4</v>
      </c>
      <c r="B5" s="11" t="s">
        <v>142</v>
      </c>
      <c r="G5" s="19" t="s">
        <v>143</v>
      </c>
      <c r="H5" s="19"/>
      <c r="I5" s="19"/>
      <c r="J5" s="19"/>
      <c r="K5" s="19"/>
      <c r="L5" s="19"/>
      <c r="M5" s="19"/>
      <c r="N5" s="19"/>
      <c r="O5" s="19"/>
      <c r="P5" s="19"/>
      <c r="Q5" s="19"/>
      <c r="R5" s="19" t="s">
        <v>144</v>
      </c>
      <c r="S5" s="21" t="s">
        <v>81</v>
      </c>
      <c r="T5" s="21"/>
      <c r="U5" s="21"/>
      <c r="V5" s="21"/>
      <c r="W5" s="21"/>
      <c r="X5" s="21"/>
      <c r="Y5" s="19"/>
      <c r="Z5" s="19"/>
      <c r="AC5" s="11" t="s">
        <v>702</v>
      </c>
      <c r="AD5" s="11">
        <f>COUNTIF($C$2:$C$496,"other")</f>
        <v>11</v>
      </c>
      <c r="AE5" s="11" t="s">
        <v>4161</v>
      </c>
      <c r="AF5" s="11">
        <f>COUNTIFS($C$2:$C$496,"*user",$E$2:$E$496,"No")</f>
        <v>57</v>
      </c>
      <c r="AH5" s="11">
        <f>COUNTIFS($C$2:$C$496,"*user",$E$2:$E$496,"No",'1'!$F$2:$F$496,"*staff*")</f>
        <v>7</v>
      </c>
      <c r="AI5" s="11">
        <f>COUNTIFS($C$2:$C$496,"*user",$E$2:$E$496,"No",'1'!$F$2:$F$496,"*both*")</f>
        <v>45</v>
      </c>
      <c r="AJ5" s="11">
        <f>COUNTIFS($C$2:$C$496,"*user",$E$2:$E$496,"No",'1'!$F$2:$F$496,"*users work*")</f>
        <v>5</v>
      </c>
      <c r="AL5" s="11">
        <f>COUNTIFS($C$2:$C$496,"*user",$E$2:$E$496,"No",'1'!$B$2:$B$496,"*flow cytometry*")</f>
        <v>15</v>
      </c>
      <c r="AM5" s="11">
        <f>COUNTIFS($C$2:$C$496,"*user",$E$2:$E$496,"No",'1'!$B$2:$B$496,"*genomics*")</f>
        <v>6</v>
      </c>
      <c r="AN5" s="11">
        <f>COUNTIFS($C$2:$C$496,"*user",$E$2:$E$496,"No",'1'!$B$2:$B$496,"*histology*")</f>
        <v>2</v>
      </c>
      <c r="AO5" s="11">
        <f>COUNTIFS($C$2:$C$496,"*user",$E$2:$E$496,"No",'1'!$B$2:$B$496,"*metabolomics*")</f>
        <v>0</v>
      </c>
      <c r="AP5" s="11">
        <f>COUNTIFS($C$2:$C$496,"*user",$E$2:$E$496,"No",'1'!$B$2:$B$496,"*microscopy*")</f>
        <v>21</v>
      </c>
      <c r="AQ5" s="11">
        <f>COUNTIFS($C$2:$C$496,"*user",$E$2:$E$496,"No",'1'!$B$2:$B$496,"*mouse*")</f>
        <v>1</v>
      </c>
      <c r="AR5" s="11">
        <f>COUNTIFS($C$2:$C$496,"*user",$E$2:$E$496,"No",'1'!$B$2:$B$496,"*protein expression*")</f>
        <v>1</v>
      </c>
      <c r="AS5" s="11">
        <f>COUNTIFS($C$2:$C$496,"*user",$E$2:$E$496,"No",'1'!$B$2:$B$496,"*proteomics*")</f>
        <v>3</v>
      </c>
      <c r="AU5" s="11">
        <f>COUNTIFS($C$2:$C$496,"*user",$E$2:$E$496,"No",'1'!$G$2:$G$496,"*1MB")</f>
        <v>1</v>
      </c>
      <c r="AV5" s="11">
        <f>COUNTIFS($C$2:$C$496,"*user",$E$2:$E$496,"No",'1'!$G$2:$G$496,"1-1000 MB")</f>
        <v>8</v>
      </c>
      <c r="AW5" s="11">
        <f>COUNTIFS($C$2:$C$496,"*user",$E$2:$E$496,"No",'1'!$G$2:$G$496,"1-1000 GB")</f>
        <v>20</v>
      </c>
      <c r="AX5" s="11">
        <f>COUNTIFS($C$2:$C$496,"*user",$E$2:$E$496,"No",'1'!$G$2:$G$496,"1-1000 TB")</f>
        <v>19</v>
      </c>
      <c r="BK5" s="11" t="s">
        <v>1957</v>
      </c>
      <c r="BL5" s="11">
        <f>COUNTIF(L$2:L$496,"Yes")</f>
        <v>16</v>
      </c>
      <c r="BN5" s="7" t="s">
        <v>1458</v>
      </c>
      <c r="BO5" s="7">
        <f>COUNTIFS(S$2:S$496,"No",U$2:U$496,"No",W$2:W$496,"No")</f>
        <v>20</v>
      </c>
      <c r="BP5" s="19"/>
    </row>
    <row r="6" spans="1:68" ht="25.5" x14ac:dyDescent="0.2">
      <c r="A6" s="11">
        <v>5</v>
      </c>
      <c r="B6" s="11" t="s">
        <v>155</v>
      </c>
      <c r="G6" s="11" t="s">
        <v>1116</v>
      </c>
      <c r="R6" s="7" t="s">
        <v>1958</v>
      </c>
      <c r="S6" s="21" t="s">
        <v>81</v>
      </c>
      <c r="T6" s="21"/>
      <c r="U6" s="21" t="s">
        <v>81</v>
      </c>
      <c r="V6" s="21"/>
      <c r="W6" s="21"/>
      <c r="X6" s="21"/>
      <c r="Y6" s="7"/>
      <c r="Z6" s="7"/>
      <c r="AD6" s="11">
        <f>SUM(AD2:AD5)</f>
        <v>205</v>
      </c>
      <c r="AE6" s="11" t="s">
        <v>702</v>
      </c>
      <c r="AF6" s="11">
        <f>COUNTIF($C$2:$C$496,"other")</f>
        <v>11</v>
      </c>
      <c r="AH6" s="11">
        <f>COUNTIFS($C$2:$C$496,"other",'1'!$F$2:$F$496,"*staff*")</f>
        <v>3</v>
      </c>
      <c r="AI6" s="11">
        <f>COUNTIFS($C$2:$C$496,"other",'1'!$F$2:$F$496,"*both*")</f>
        <v>7</v>
      </c>
      <c r="AJ6" s="11">
        <f>COUNTIFS($C$2:$C$496,"other",'1'!$F$2:$F$496,"*users work*")</f>
        <v>1</v>
      </c>
      <c r="AL6" s="11">
        <f>COUNTIFS($C$2:$C$496,"other",'1'!$B$2:$B$496,"*flow cytometry*")</f>
        <v>2</v>
      </c>
      <c r="AM6" s="11">
        <f>COUNTIFS($C$2:$C$496,"other",'1'!$B$2:$B$496,"*genomics*")</f>
        <v>0</v>
      </c>
      <c r="AN6" s="11">
        <f>COUNTIFS($C$2:$C$496,"other",'1'!$B$2:$B$496,"*histology*")</f>
        <v>0</v>
      </c>
      <c r="AO6" s="11">
        <f>COUNTIFS($C$2:$C$496,"other",'1'!$B$2:$B$496,"*metabolomics*")</f>
        <v>0</v>
      </c>
      <c r="AP6" s="11">
        <f>COUNTIFS($C$2:$C$496,"other",'1'!$B$2:$B$496,"*microscopy*")</f>
        <v>3</v>
      </c>
      <c r="AQ6" s="11">
        <f>COUNTIFS($C$2:$C$496,"other",'1'!$B$2:$B$496,"*mouse*")</f>
        <v>0</v>
      </c>
      <c r="AR6" s="11">
        <f>COUNTIFS($C$2:$C$496,"other",'1'!$B$2:$B$496,"*protein expression*")</f>
        <v>0</v>
      </c>
      <c r="AS6" s="11">
        <f>COUNTIFS($C$2:$C$496,"other",'1'!$B$2:$B$496,"*proteomics*")</f>
        <v>3</v>
      </c>
      <c r="AU6" s="11">
        <f>COUNTIFS($C$2:$C$496,"other",'1'!$G$2:$G$496,"*1MB")</f>
        <v>0</v>
      </c>
      <c r="AV6" s="11">
        <f>COUNTIFS($C$2:$C$496,"other",'1'!$G$2:$G$496,"1-1000 MB")</f>
        <v>1</v>
      </c>
      <c r="AW6" s="11">
        <f>COUNTIFS($C$2:$C$496,"other",'1'!$G$2:$G$496,"1-1000 GB")</f>
        <v>7</v>
      </c>
      <c r="AX6" s="11">
        <f>COUNTIFS($C$2:$C$496,"other",'1'!$G$2:$G$496,"1-1000 TB")</f>
        <v>2</v>
      </c>
      <c r="BK6" s="11" t="s">
        <v>702</v>
      </c>
      <c r="BL6" s="11">
        <f>COUNTIF(P$2:P$496,"Yes")</f>
        <v>0</v>
      </c>
      <c r="BN6" s="7"/>
      <c r="BO6" s="7"/>
      <c r="BP6" s="7"/>
    </row>
    <row r="7" spans="1:68" ht="63.75" x14ac:dyDescent="0.2">
      <c r="A7" s="11">
        <v>6</v>
      </c>
      <c r="B7" s="11" t="s">
        <v>1118</v>
      </c>
      <c r="G7" s="11" t="s">
        <v>1117</v>
      </c>
      <c r="R7" s="11" t="s">
        <v>1959</v>
      </c>
      <c r="S7" s="21" t="s">
        <v>246</v>
      </c>
      <c r="T7" s="21"/>
      <c r="U7" s="21" t="s">
        <v>246</v>
      </c>
      <c r="V7" s="21"/>
      <c r="W7" s="21" t="s">
        <v>246</v>
      </c>
      <c r="X7" s="21"/>
    </row>
    <row r="8" spans="1:68" ht="38.25" x14ac:dyDescent="0.2">
      <c r="A8" s="11">
        <v>7</v>
      </c>
      <c r="B8" s="11" t="s">
        <v>182</v>
      </c>
      <c r="G8" s="11" t="s">
        <v>183</v>
      </c>
      <c r="R8" s="11" t="s">
        <v>184</v>
      </c>
      <c r="S8" s="21"/>
      <c r="T8" s="21"/>
      <c r="U8" s="21"/>
      <c r="V8" s="21"/>
      <c r="W8" s="21"/>
      <c r="X8" s="21"/>
    </row>
    <row r="9" spans="1:68" x14ac:dyDescent="0.2">
      <c r="A9" s="11">
        <v>8</v>
      </c>
      <c r="B9" s="11" t="s">
        <v>200</v>
      </c>
      <c r="G9" s="19" t="s">
        <v>201</v>
      </c>
      <c r="H9" s="19"/>
      <c r="I9" s="19"/>
      <c r="J9" s="19"/>
      <c r="K9" s="19"/>
      <c r="L9" s="19"/>
      <c r="M9" s="19"/>
      <c r="N9" s="19"/>
      <c r="O9" s="19"/>
      <c r="P9" s="19"/>
      <c r="Q9" s="19"/>
      <c r="R9" s="11" t="s">
        <v>202</v>
      </c>
      <c r="S9" s="21" t="s">
        <v>81</v>
      </c>
      <c r="T9" s="21"/>
      <c r="U9" s="21"/>
      <c r="V9" s="21"/>
      <c r="W9" s="21"/>
      <c r="X9" s="21"/>
    </row>
    <row r="10" spans="1:68" ht="25.5" x14ac:dyDescent="0.2">
      <c r="A10" s="11">
        <v>9</v>
      </c>
      <c r="B10" s="11" t="s">
        <v>209</v>
      </c>
      <c r="G10" s="11" t="s">
        <v>1119</v>
      </c>
      <c r="R10" s="11" t="s">
        <v>4162</v>
      </c>
      <c r="S10" s="21"/>
      <c r="T10" s="21"/>
      <c r="U10" s="21" t="s">
        <v>81</v>
      </c>
      <c r="V10" s="21"/>
      <c r="W10" s="21"/>
      <c r="X10" s="21"/>
    </row>
    <row r="11" spans="1:68" ht="25.5" x14ac:dyDescent="0.2">
      <c r="A11" s="11">
        <v>10</v>
      </c>
      <c r="B11" s="11" t="s">
        <v>209</v>
      </c>
      <c r="G11" s="11" t="s">
        <v>1120</v>
      </c>
      <c r="R11" s="7" t="s">
        <v>1960</v>
      </c>
      <c r="S11" s="21" t="s">
        <v>81</v>
      </c>
      <c r="T11" s="21"/>
      <c r="U11" s="21"/>
      <c r="V11" s="21"/>
      <c r="W11" s="21"/>
      <c r="X11" s="21"/>
    </row>
    <row r="12" spans="1:68" x14ac:dyDescent="0.2">
      <c r="A12" s="11">
        <v>11</v>
      </c>
      <c r="B12" s="11" t="s">
        <v>97</v>
      </c>
      <c r="G12" s="11" t="s">
        <v>1121</v>
      </c>
      <c r="R12" s="19" t="s">
        <v>245</v>
      </c>
      <c r="S12" s="21" t="s">
        <v>81</v>
      </c>
      <c r="T12" s="21"/>
      <c r="U12" s="21"/>
      <c r="V12" s="21"/>
      <c r="W12" s="21"/>
      <c r="X12" s="21"/>
    </row>
    <row r="13" spans="1:68" ht="63.75" x14ac:dyDescent="0.2">
      <c r="A13" s="11">
        <v>12</v>
      </c>
      <c r="B13" s="11" t="s">
        <v>260</v>
      </c>
      <c r="G13" s="11" t="s">
        <v>1122</v>
      </c>
      <c r="R13" s="11" t="s">
        <v>262</v>
      </c>
      <c r="S13" s="21"/>
      <c r="T13" s="21"/>
      <c r="U13" s="21"/>
      <c r="V13" s="21"/>
      <c r="W13" s="21"/>
      <c r="X13" s="21"/>
      <c r="AV13"/>
    </row>
    <row r="14" spans="1:68" ht="51" x14ac:dyDescent="0.2">
      <c r="A14" s="11">
        <v>13</v>
      </c>
      <c r="B14" s="11" t="s">
        <v>278</v>
      </c>
      <c r="G14" s="11" t="s">
        <v>1123</v>
      </c>
      <c r="R14" s="11" t="s">
        <v>1961</v>
      </c>
      <c r="S14" s="21" t="s">
        <v>81</v>
      </c>
      <c r="T14" s="21"/>
      <c r="U14" s="21"/>
      <c r="V14" s="21"/>
      <c r="W14" s="21"/>
      <c r="X14" s="21"/>
      <c r="AV14"/>
    </row>
    <row r="15" spans="1:68" ht="25.5" x14ac:dyDescent="0.2">
      <c r="A15" s="11">
        <v>14</v>
      </c>
      <c r="B15" s="11" t="s">
        <v>298</v>
      </c>
      <c r="G15" s="11" t="s">
        <v>1124</v>
      </c>
      <c r="R15" s="11" t="s">
        <v>300</v>
      </c>
      <c r="S15" s="21"/>
      <c r="T15" s="21"/>
      <c r="U15" s="21"/>
      <c r="V15" s="21"/>
      <c r="W15" s="21"/>
      <c r="X15" s="21"/>
      <c r="AV15"/>
    </row>
    <row r="16" spans="1:68" x14ac:dyDescent="0.2">
      <c r="A16" s="11">
        <v>15</v>
      </c>
      <c r="B16" s="11" t="s">
        <v>209</v>
      </c>
      <c r="G16" s="7" t="s">
        <v>1125</v>
      </c>
      <c r="H16" s="7"/>
      <c r="I16" s="7"/>
      <c r="J16" s="7"/>
      <c r="K16" s="7"/>
      <c r="L16" s="7"/>
      <c r="M16" s="7"/>
      <c r="N16" s="7"/>
      <c r="O16" s="7"/>
      <c r="P16" s="7"/>
      <c r="Q16" s="7"/>
      <c r="R16" s="7" t="s">
        <v>1962</v>
      </c>
      <c r="S16" s="21" t="s">
        <v>81</v>
      </c>
      <c r="T16" s="21"/>
      <c r="U16" s="21" t="s">
        <v>81</v>
      </c>
      <c r="V16" s="21"/>
      <c r="W16" s="21"/>
      <c r="X16" s="21"/>
      <c r="AV16"/>
    </row>
    <row r="17" spans="1:26" x14ac:dyDescent="0.2">
      <c r="A17" s="11">
        <v>16</v>
      </c>
      <c r="B17" s="11" t="s">
        <v>327</v>
      </c>
      <c r="G17" s="11" t="s">
        <v>1126</v>
      </c>
      <c r="R17" s="11" t="s">
        <v>1963</v>
      </c>
      <c r="S17" s="21" t="s">
        <v>81</v>
      </c>
      <c r="T17" s="21"/>
      <c r="U17" s="21"/>
      <c r="V17" s="21"/>
      <c r="W17" s="21"/>
      <c r="X17" s="21"/>
    </row>
    <row r="18" spans="1:26" x14ac:dyDescent="0.2">
      <c r="A18" s="11">
        <v>17</v>
      </c>
      <c r="B18" s="11" t="s">
        <v>341</v>
      </c>
      <c r="G18" s="11" t="s">
        <v>1127</v>
      </c>
      <c r="R18" s="11" t="s">
        <v>343</v>
      </c>
      <c r="S18" s="21"/>
      <c r="T18" s="21"/>
      <c r="U18" s="21"/>
      <c r="V18" s="21"/>
      <c r="W18" s="21"/>
      <c r="X18" s="21"/>
    </row>
    <row r="19" spans="1:26" x14ac:dyDescent="0.2">
      <c r="A19" s="11">
        <v>18</v>
      </c>
      <c r="B19" s="11" t="s">
        <v>355</v>
      </c>
      <c r="G19" s="11" t="s">
        <v>356</v>
      </c>
      <c r="R19" s="11" t="s">
        <v>1964</v>
      </c>
      <c r="S19" s="21" t="s">
        <v>81</v>
      </c>
      <c r="T19" s="21"/>
      <c r="U19" s="21"/>
      <c r="V19" s="21"/>
      <c r="W19" s="21"/>
      <c r="X19" s="21"/>
    </row>
    <row r="20" spans="1:26" x14ac:dyDescent="0.2">
      <c r="A20" s="11">
        <v>19</v>
      </c>
      <c r="B20" s="33"/>
      <c r="C20" s="33"/>
      <c r="D20" s="33"/>
      <c r="E20" s="33"/>
      <c r="F20" s="33"/>
      <c r="G20" s="33"/>
      <c r="H20" s="33"/>
      <c r="I20" s="33"/>
      <c r="J20" s="33"/>
      <c r="K20" s="33"/>
      <c r="L20" s="33"/>
      <c r="M20" s="33"/>
      <c r="N20" s="33"/>
      <c r="O20" s="33"/>
      <c r="P20" s="33"/>
      <c r="Q20" s="33"/>
      <c r="R20" s="33"/>
      <c r="S20" s="45"/>
      <c r="T20" s="45"/>
      <c r="U20" s="45"/>
      <c r="V20" s="45"/>
      <c r="W20" s="45"/>
      <c r="X20" s="45"/>
      <c r="Y20" s="33"/>
      <c r="Z20" s="33"/>
    </row>
    <row r="21" spans="1:26" x14ac:dyDescent="0.2">
      <c r="A21" s="11">
        <v>20</v>
      </c>
      <c r="B21" s="33"/>
      <c r="C21" s="33"/>
      <c r="D21" s="33"/>
      <c r="E21" s="33"/>
      <c r="F21" s="33"/>
      <c r="G21" s="33"/>
      <c r="H21" s="33"/>
      <c r="I21" s="33"/>
      <c r="J21" s="33"/>
      <c r="K21" s="33"/>
      <c r="L21" s="33"/>
      <c r="M21" s="33"/>
      <c r="N21" s="33"/>
      <c r="O21" s="33"/>
      <c r="P21" s="33"/>
      <c r="Q21" s="33"/>
      <c r="R21" s="33"/>
      <c r="S21" s="45"/>
      <c r="T21" s="45"/>
      <c r="U21" s="45"/>
      <c r="V21" s="45"/>
      <c r="W21" s="45"/>
      <c r="X21" s="45"/>
      <c r="Y21" s="33"/>
      <c r="Z21" s="33"/>
    </row>
    <row r="22" spans="1:26" x14ac:dyDescent="0.2">
      <c r="A22" s="11">
        <v>21</v>
      </c>
      <c r="B22" s="11" t="s">
        <v>374</v>
      </c>
      <c r="G22" s="19" t="s">
        <v>375</v>
      </c>
      <c r="H22" s="19"/>
      <c r="I22" s="19"/>
      <c r="J22" s="19"/>
      <c r="K22" s="19"/>
      <c r="L22" s="19"/>
      <c r="M22" s="19"/>
      <c r="N22" s="19"/>
      <c r="O22" s="19"/>
      <c r="P22" s="19"/>
      <c r="Q22" s="19"/>
      <c r="R22" s="19" t="s">
        <v>376</v>
      </c>
      <c r="S22" s="21" t="s">
        <v>81</v>
      </c>
      <c r="T22" s="21"/>
      <c r="U22" s="21"/>
      <c r="V22" s="21"/>
      <c r="W22" s="21"/>
      <c r="X22" s="21"/>
    </row>
    <row r="23" spans="1:26" ht="51" x14ac:dyDescent="0.2">
      <c r="A23" s="11">
        <v>22</v>
      </c>
      <c r="B23" s="11" t="s">
        <v>381</v>
      </c>
      <c r="G23" s="7" t="s">
        <v>1131</v>
      </c>
      <c r="H23" s="7"/>
      <c r="I23" s="7"/>
      <c r="J23" s="7"/>
      <c r="K23" s="7"/>
      <c r="L23" s="7"/>
      <c r="M23" s="7"/>
      <c r="N23" s="7"/>
      <c r="O23" s="7"/>
      <c r="P23" s="7"/>
      <c r="Q23" s="7"/>
      <c r="R23" s="11" t="s">
        <v>383</v>
      </c>
      <c r="S23" s="21" t="s">
        <v>246</v>
      </c>
      <c r="T23" s="21"/>
      <c r="U23" s="21" t="s">
        <v>246</v>
      </c>
      <c r="V23" s="21"/>
      <c r="W23" s="21" t="s">
        <v>246</v>
      </c>
      <c r="X23" s="21"/>
    </row>
    <row r="24" spans="1:26" ht="25.5" x14ac:dyDescent="0.2">
      <c r="A24" s="11">
        <v>23</v>
      </c>
      <c r="B24" s="11" t="s">
        <v>391</v>
      </c>
      <c r="G24" s="7" t="s">
        <v>1128</v>
      </c>
      <c r="H24" s="7"/>
      <c r="I24" s="7"/>
      <c r="J24" s="7"/>
      <c r="K24" s="7"/>
      <c r="L24" s="7"/>
      <c r="M24" s="7"/>
      <c r="N24" s="7"/>
      <c r="O24" s="7"/>
      <c r="P24" s="7"/>
      <c r="Q24" s="7"/>
      <c r="R24" s="11" t="s">
        <v>1965</v>
      </c>
      <c r="S24" s="21"/>
      <c r="T24" s="21"/>
      <c r="U24" s="21"/>
      <c r="V24" s="21"/>
      <c r="W24" s="21" t="s">
        <v>81</v>
      </c>
      <c r="X24" s="21"/>
    </row>
    <row r="25" spans="1:26" ht="25.5" x14ac:dyDescent="0.2">
      <c r="A25" s="11">
        <v>24</v>
      </c>
      <c r="B25" s="11" t="s">
        <v>406</v>
      </c>
      <c r="G25" s="11" t="s">
        <v>1129</v>
      </c>
      <c r="R25" s="11" t="s">
        <v>1966</v>
      </c>
      <c r="S25" s="21" t="s">
        <v>81</v>
      </c>
      <c r="T25" s="21"/>
      <c r="U25" s="21"/>
      <c r="V25" s="21"/>
      <c r="W25" s="21" t="s">
        <v>81</v>
      </c>
      <c r="X25" s="21"/>
    </row>
    <row r="26" spans="1:26" x14ac:dyDescent="0.2">
      <c r="A26" s="11">
        <v>25</v>
      </c>
      <c r="B26" s="11" t="s">
        <v>422</v>
      </c>
      <c r="G26" s="11" t="s">
        <v>1130</v>
      </c>
      <c r="R26" s="11" t="s">
        <v>424</v>
      </c>
      <c r="S26" s="21"/>
      <c r="T26" s="21"/>
      <c r="U26" s="21"/>
      <c r="V26" s="21"/>
      <c r="W26" s="21"/>
      <c r="X26" s="21"/>
    </row>
    <row r="27" spans="1:26" ht="25.5" x14ac:dyDescent="0.2">
      <c r="A27" s="11">
        <v>26</v>
      </c>
      <c r="B27" s="11" t="s">
        <v>434</v>
      </c>
      <c r="G27" s="11" t="s">
        <v>1132</v>
      </c>
      <c r="R27" s="19" t="s">
        <v>435</v>
      </c>
      <c r="S27" s="21" t="s">
        <v>81</v>
      </c>
      <c r="T27" s="21"/>
      <c r="U27" s="21"/>
      <c r="V27" s="21"/>
      <c r="W27" s="21"/>
      <c r="X27" s="21"/>
    </row>
    <row r="28" spans="1:26" ht="76.5" x14ac:dyDescent="0.2">
      <c r="A28" s="11">
        <v>27</v>
      </c>
      <c r="B28" s="11" t="s">
        <v>450</v>
      </c>
      <c r="G28" s="7" t="s">
        <v>1133</v>
      </c>
      <c r="H28" s="7"/>
      <c r="I28" s="7"/>
      <c r="J28" s="7"/>
      <c r="K28" s="7"/>
      <c r="L28" s="7"/>
      <c r="M28" s="7"/>
      <c r="N28" s="7"/>
      <c r="O28" s="7"/>
      <c r="P28" s="7"/>
      <c r="Q28" s="7"/>
      <c r="R28" s="11" t="s">
        <v>452</v>
      </c>
      <c r="S28" s="21" t="s">
        <v>246</v>
      </c>
      <c r="T28" s="21"/>
      <c r="U28" s="21" t="s">
        <v>246</v>
      </c>
      <c r="V28" s="21"/>
      <c r="W28" s="21" t="s">
        <v>246</v>
      </c>
      <c r="X28" s="21"/>
    </row>
    <row r="29" spans="1:26" ht="25.5" x14ac:dyDescent="0.2">
      <c r="A29" s="11">
        <v>28</v>
      </c>
      <c r="B29" s="11" t="s">
        <v>465</v>
      </c>
      <c r="G29" s="11" t="s">
        <v>1134</v>
      </c>
      <c r="R29" s="11" t="s">
        <v>467</v>
      </c>
      <c r="S29" s="21" t="s">
        <v>246</v>
      </c>
      <c r="T29" s="21"/>
      <c r="U29" s="21" t="s">
        <v>246</v>
      </c>
      <c r="V29" s="21"/>
      <c r="W29" s="21" t="s">
        <v>246</v>
      </c>
      <c r="X29" s="21"/>
    </row>
    <row r="30" spans="1:26" ht="38.25" x14ac:dyDescent="0.2">
      <c r="A30" s="11">
        <v>29</v>
      </c>
      <c r="B30" s="11" t="s">
        <v>483</v>
      </c>
      <c r="G30" s="19" t="s">
        <v>3402</v>
      </c>
      <c r="H30" s="19"/>
      <c r="I30" s="19"/>
      <c r="J30" s="19"/>
      <c r="K30" s="19"/>
      <c r="L30" s="19"/>
      <c r="M30" s="19"/>
      <c r="N30" s="19"/>
      <c r="O30" s="19"/>
      <c r="P30" s="19"/>
      <c r="Q30" s="19"/>
      <c r="R30" s="19" t="s">
        <v>478</v>
      </c>
      <c r="S30" s="21"/>
      <c r="T30" s="21"/>
      <c r="U30" s="21"/>
      <c r="V30" s="21"/>
      <c r="W30" s="21" t="s">
        <v>81</v>
      </c>
      <c r="X30" s="21"/>
    </row>
    <row r="31" spans="1:26" ht="25.5" x14ac:dyDescent="0.2">
      <c r="A31" s="11">
        <v>30</v>
      </c>
      <c r="B31" s="11" t="s">
        <v>497</v>
      </c>
      <c r="G31" s="19" t="s">
        <v>498</v>
      </c>
      <c r="H31" s="19"/>
      <c r="I31" s="19"/>
      <c r="J31" s="19"/>
      <c r="K31" s="19"/>
      <c r="L31" s="19"/>
      <c r="M31" s="19"/>
      <c r="N31" s="19"/>
      <c r="O31" s="19"/>
      <c r="P31" s="19"/>
      <c r="Q31" s="19"/>
      <c r="R31" s="11" t="s">
        <v>499</v>
      </c>
      <c r="S31" s="21" t="s">
        <v>246</v>
      </c>
      <c r="T31" s="21"/>
      <c r="U31" s="21" t="s">
        <v>246</v>
      </c>
      <c r="V31" s="21"/>
      <c r="W31" s="21" t="s">
        <v>246</v>
      </c>
      <c r="X31" s="21"/>
    </row>
    <row r="32" spans="1:26" x14ac:dyDescent="0.2">
      <c r="A32" s="11">
        <v>31</v>
      </c>
      <c r="B32" s="11" t="s">
        <v>510</v>
      </c>
      <c r="G32" s="11" t="s">
        <v>456</v>
      </c>
      <c r="R32" s="11" t="s">
        <v>511</v>
      </c>
      <c r="S32" s="21" t="s">
        <v>246</v>
      </c>
      <c r="T32" s="21"/>
      <c r="U32" s="21" t="s">
        <v>246</v>
      </c>
      <c r="V32" s="21"/>
      <c r="W32" s="21" t="s">
        <v>246</v>
      </c>
      <c r="X32" s="21"/>
    </row>
    <row r="33" spans="1:26" x14ac:dyDescent="0.2">
      <c r="A33" s="11">
        <v>32</v>
      </c>
      <c r="B33" s="11" t="s">
        <v>519</v>
      </c>
      <c r="G33" s="7" t="s">
        <v>1135</v>
      </c>
      <c r="H33" s="7"/>
      <c r="I33" s="7"/>
      <c r="J33" s="7"/>
      <c r="K33" s="7"/>
      <c r="L33" s="7"/>
      <c r="M33" s="7"/>
      <c r="N33" s="7"/>
      <c r="O33" s="7"/>
      <c r="P33" s="7"/>
      <c r="Q33" s="7"/>
      <c r="R33" s="11" t="s">
        <v>1967</v>
      </c>
      <c r="S33" s="21" t="s">
        <v>81</v>
      </c>
      <c r="T33" s="21"/>
      <c r="U33" s="21"/>
      <c r="V33" s="21"/>
      <c r="W33" s="21"/>
      <c r="X33" s="21"/>
    </row>
    <row r="34" spans="1:26" ht="38.25" x14ac:dyDescent="0.2">
      <c r="A34" s="11">
        <v>33</v>
      </c>
      <c r="B34" s="11" t="s">
        <v>527</v>
      </c>
      <c r="G34" s="11" t="s">
        <v>1136</v>
      </c>
      <c r="R34" s="11" t="s">
        <v>1968</v>
      </c>
      <c r="S34" s="21"/>
      <c r="T34" s="21"/>
      <c r="U34" s="21" t="s">
        <v>81</v>
      </c>
      <c r="V34" s="21"/>
      <c r="W34" s="21"/>
      <c r="X34" s="21"/>
    </row>
    <row r="35" spans="1:26" ht="38.25" x14ac:dyDescent="0.2">
      <c r="A35" s="11">
        <v>34</v>
      </c>
      <c r="B35" s="11" t="s">
        <v>547</v>
      </c>
      <c r="G35" s="11" t="s">
        <v>1137</v>
      </c>
      <c r="R35" s="11" t="s">
        <v>549</v>
      </c>
      <c r="S35" s="21" t="s">
        <v>81</v>
      </c>
      <c r="T35" s="21"/>
      <c r="U35" s="21"/>
      <c r="V35" s="21"/>
      <c r="W35" s="21"/>
      <c r="X35" s="21"/>
    </row>
    <row r="36" spans="1:26" x14ac:dyDescent="0.2">
      <c r="A36" s="11">
        <v>35</v>
      </c>
      <c r="B36" s="11" t="s">
        <v>565</v>
      </c>
      <c r="G36" s="7" t="s">
        <v>1138</v>
      </c>
      <c r="H36" s="7"/>
      <c r="I36" s="7"/>
      <c r="J36" s="7"/>
      <c r="K36" s="7"/>
      <c r="L36" s="7"/>
      <c r="M36" s="7"/>
      <c r="N36" s="7"/>
      <c r="O36" s="7"/>
      <c r="P36" s="7"/>
      <c r="Q36" s="7"/>
      <c r="R36" s="11" t="s">
        <v>567</v>
      </c>
      <c r="S36" s="21" t="s">
        <v>246</v>
      </c>
      <c r="T36" s="21"/>
      <c r="U36" s="21" t="s">
        <v>246</v>
      </c>
      <c r="V36" s="21"/>
      <c r="W36" s="21" t="s">
        <v>246</v>
      </c>
      <c r="X36" s="21"/>
    </row>
    <row r="37" spans="1:26" ht="89.25" x14ac:dyDescent="0.2">
      <c r="A37" s="11">
        <v>36</v>
      </c>
      <c r="B37" s="11" t="s">
        <v>586</v>
      </c>
      <c r="G37" s="11" t="s">
        <v>1139</v>
      </c>
      <c r="R37" s="11" t="s">
        <v>4163</v>
      </c>
      <c r="S37" s="21" t="s">
        <v>81</v>
      </c>
      <c r="T37" s="21"/>
      <c r="U37" s="21"/>
      <c r="V37" s="21"/>
      <c r="W37" s="21"/>
      <c r="X37" s="21"/>
    </row>
    <row r="38" spans="1:26" ht="102" x14ac:dyDescent="0.2">
      <c r="A38" s="11">
        <v>37</v>
      </c>
      <c r="B38" s="11" t="s">
        <v>600</v>
      </c>
      <c r="G38" s="11" t="s">
        <v>1140</v>
      </c>
      <c r="R38" s="11" t="s">
        <v>602</v>
      </c>
      <c r="S38" s="21" t="s">
        <v>246</v>
      </c>
      <c r="T38" s="21"/>
      <c r="U38" s="21" t="s">
        <v>246</v>
      </c>
      <c r="V38" s="21"/>
      <c r="W38" s="21" t="s">
        <v>246</v>
      </c>
      <c r="X38" s="21"/>
    </row>
    <row r="39" spans="1:26" ht="89.25" x14ac:dyDescent="0.2">
      <c r="A39" s="11">
        <v>38</v>
      </c>
      <c r="B39" s="11" t="s">
        <v>719</v>
      </c>
      <c r="G39" s="11" t="s">
        <v>1141</v>
      </c>
      <c r="R39" s="11" t="s">
        <v>1969</v>
      </c>
      <c r="S39" s="21" t="s">
        <v>81</v>
      </c>
      <c r="T39" s="21"/>
      <c r="U39" s="21" t="s">
        <v>81</v>
      </c>
      <c r="V39" s="21"/>
      <c r="W39" s="21"/>
      <c r="X39" s="21"/>
    </row>
    <row r="40" spans="1:26" ht="38.25" x14ac:dyDescent="0.2">
      <c r="A40" s="11">
        <v>39</v>
      </c>
      <c r="B40" s="11" t="s">
        <v>737</v>
      </c>
      <c r="G40" s="11" t="s">
        <v>1142</v>
      </c>
      <c r="R40" s="11" t="s">
        <v>739</v>
      </c>
      <c r="S40" s="21" t="s">
        <v>246</v>
      </c>
      <c r="T40" s="21"/>
      <c r="U40" s="21" t="s">
        <v>246</v>
      </c>
      <c r="V40" s="21"/>
      <c r="W40" s="21" t="s">
        <v>246</v>
      </c>
      <c r="X40" s="21"/>
    </row>
    <row r="41" spans="1:26" ht="25.5" x14ac:dyDescent="0.2">
      <c r="A41" s="11">
        <v>40</v>
      </c>
      <c r="B41" s="11" t="s">
        <v>756</v>
      </c>
      <c r="G41" s="11" t="s">
        <v>757</v>
      </c>
      <c r="R41" s="7" t="s">
        <v>1970</v>
      </c>
      <c r="S41" s="21" t="s">
        <v>81</v>
      </c>
      <c r="T41" s="21"/>
      <c r="U41" s="21"/>
      <c r="V41" s="21"/>
      <c r="W41" s="21" t="s">
        <v>81</v>
      </c>
      <c r="X41" s="21"/>
    </row>
    <row r="42" spans="1:26" ht="38.25" x14ac:dyDescent="0.2">
      <c r="A42" s="11">
        <v>41</v>
      </c>
      <c r="B42" s="11" t="s">
        <v>97</v>
      </c>
      <c r="G42" s="11" t="s">
        <v>1143</v>
      </c>
      <c r="R42" s="11" t="s">
        <v>1971</v>
      </c>
      <c r="S42" s="21" t="s">
        <v>81</v>
      </c>
      <c r="T42" s="21"/>
      <c r="U42" s="21"/>
      <c r="V42" s="21"/>
      <c r="W42" s="21"/>
      <c r="X42" s="21"/>
    </row>
    <row r="43" spans="1:26" ht="38.25" x14ac:dyDescent="0.2">
      <c r="A43" s="11">
        <v>42</v>
      </c>
      <c r="B43" s="11" t="s">
        <v>785</v>
      </c>
      <c r="S43" s="21"/>
      <c r="T43" s="21"/>
      <c r="U43" s="21"/>
      <c r="V43" s="21"/>
      <c r="W43" s="21"/>
      <c r="X43" s="21"/>
    </row>
    <row r="44" spans="1:26" ht="38.25" x14ac:dyDescent="0.2">
      <c r="A44" s="11">
        <v>43</v>
      </c>
      <c r="B44" s="11" t="s">
        <v>791</v>
      </c>
      <c r="G44" s="11" t="s">
        <v>1144</v>
      </c>
      <c r="R44" s="11" t="s">
        <v>1972</v>
      </c>
      <c r="S44" s="21"/>
      <c r="T44" s="21"/>
      <c r="U44" s="21"/>
      <c r="V44" s="21"/>
      <c r="W44" s="21" t="s">
        <v>81</v>
      </c>
      <c r="X44" s="21"/>
    </row>
    <row r="45" spans="1:26" ht="127.5" x14ac:dyDescent="0.2">
      <c r="A45" s="11">
        <v>44</v>
      </c>
      <c r="B45" s="33" t="s">
        <v>808</v>
      </c>
      <c r="C45" s="33"/>
      <c r="D45" s="33"/>
      <c r="E45" s="33"/>
      <c r="F45" s="33"/>
      <c r="G45" s="33" t="s">
        <v>809</v>
      </c>
      <c r="H45" s="33"/>
      <c r="I45" s="33"/>
      <c r="J45" s="33"/>
      <c r="K45" s="33"/>
      <c r="L45" s="33"/>
      <c r="M45" s="33"/>
      <c r="N45" s="33"/>
      <c r="O45" s="33"/>
      <c r="P45" s="33"/>
      <c r="Q45" s="33"/>
      <c r="R45" s="33" t="s">
        <v>4164</v>
      </c>
      <c r="S45" s="45" t="s">
        <v>81</v>
      </c>
      <c r="T45" s="45"/>
      <c r="U45" s="45" t="s">
        <v>81</v>
      </c>
      <c r="V45" s="45"/>
      <c r="W45" s="45"/>
      <c r="X45" s="45"/>
      <c r="Y45" s="33"/>
      <c r="Z45" s="33"/>
    </row>
    <row r="46" spans="1:26" x14ac:dyDescent="0.2">
      <c r="A46" s="11">
        <v>45</v>
      </c>
      <c r="B46" s="11" t="s">
        <v>815</v>
      </c>
      <c r="G46" s="11" t="s">
        <v>816</v>
      </c>
      <c r="R46" s="11" t="s">
        <v>1130</v>
      </c>
      <c r="S46" s="21" t="s">
        <v>81</v>
      </c>
      <c r="T46" s="21"/>
      <c r="U46" s="21"/>
      <c r="V46" s="21"/>
      <c r="W46" s="21"/>
      <c r="X46" s="21"/>
    </row>
    <row r="47" spans="1:26" ht="25.5" x14ac:dyDescent="0.2">
      <c r="A47" s="11">
        <v>46</v>
      </c>
      <c r="B47" s="11" t="s">
        <v>97</v>
      </c>
      <c r="G47" s="11" t="s">
        <v>828</v>
      </c>
      <c r="R47" s="11" t="s">
        <v>1973</v>
      </c>
      <c r="S47" s="21" t="s">
        <v>81</v>
      </c>
      <c r="T47" s="21"/>
      <c r="U47" s="21"/>
      <c r="V47" s="21"/>
      <c r="W47" s="21"/>
      <c r="X47" s="21"/>
    </row>
    <row r="48" spans="1:26" ht="25.5" x14ac:dyDescent="0.2">
      <c r="A48" s="11">
        <v>47</v>
      </c>
      <c r="B48" s="11" t="s">
        <v>844</v>
      </c>
      <c r="G48" s="11" t="s">
        <v>845</v>
      </c>
      <c r="R48" s="7" t="s">
        <v>4165</v>
      </c>
      <c r="S48" s="21" t="s">
        <v>81</v>
      </c>
      <c r="T48" s="21"/>
      <c r="U48" s="21"/>
      <c r="V48" s="21"/>
      <c r="W48" s="21" t="s">
        <v>81</v>
      </c>
      <c r="X48" s="21"/>
    </row>
    <row r="49" spans="1:26" x14ac:dyDescent="0.2">
      <c r="A49" s="11">
        <v>48</v>
      </c>
      <c r="B49" s="11" t="s">
        <v>374</v>
      </c>
      <c r="G49" s="11" t="s">
        <v>859</v>
      </c>
      <c r="R49" s="19" t="s">
        <v>860</v>
      </c>
      <c r="S49" s="21" t="s">
        <v>81</v>
      </c>
      <c r="T49" s="21"/>
      <c r="U49" s="21"/>
      <c r="V49" s="21"/>
      <c r="W49" s="21"/>
      <c r="X49" s="21"/>
    </row>
    <row r="50" spans="1:26" x14ac:dyDescent="0.2">
      <c r="A50" s="11">
        <v>49</v>
      </c>
      <c r="B50" s="11" t="s">
        <v>870</v>
      </c>
      <c r="G50" s="11" t="s">
        <v>871</v>
      </c>
      <c r="R50" s="19" t="s">
        <v>4166</v>
      </c>
      <c r="S50" s="21" t="s">
        <v>81</v>
      </c>
      <c r="T50" s="21"/>
      <c r="U50" s="21"/>
      <c r="V50" s="21"/>
      <c r="W50" s="21"/>
      <c r="X50" s="21"/>
    </row>
    <row r="51" spans="1:26" ht="25.5" x14ac:dyDescent="0.2">
      <c r="A51" s="11">
        <v>50</v>
      </c>
      <c r="B51" s="11" t="s">
        <v>884</v>
      </c>
      <c r="G51" s="11" t="s">
        <v>885</v>
      </c>
      <c r="R51" s="11" t="s">
        <v>1974</v>
      </c>
      <c r="S51" s="21" t="s">
        <v>81</v>
      </c>
      <c r="T51" s="21"/>
      <c r="U51" s="21"/>
      <c r="V51" s="21"/>
      <c r="W51" s="21"/>
      <c r="X51" s="21"/>
    </row>
    <row r="52" spans="1:26" x14ac:dyDescent="0.2">
      <c r="A52" s="11">
        <v>51</v>
      </c>
      <c r="B52" s="11" t="s">
        <v>97</v>
      </c>
      <c r="G52" s="11" t="s">
        <v>894</v>
      </c>
      <c r="R52" s="7" t="s">
        <v>1975</v>
      </c>
      <c r="S52" s="21" t="s">
        <v>81</v>
      </c>
      <c r="T52" s="21"/>
      <c r="U52" s="21" t="s">
        <v>81</v>
      </c>
      <c r="V52" s="21"/>
      <c r="W52" s="21"/>
      <c r="X52" s="21"/>
    </row>
    <row r="53" spans="1:26" ht="25.5" x14ac:dyDescent="0.2">
      <c r="A53" s="11">
        <v>52</v>
      </c>
      <c r="B53" s="11" t="s">
        <v>4167</v>
      </c>
      <c r="S53" s="21"/>
      <c r="T53" s="21"/>
      <c r="U53" s="21"/>
      <c r="V53" s="21"/>
      <c r="W53" s="21"/>
      <c r="X53" s="21"/>
    </row>
    <row r="54" spans="1:26" ht="63.75" x14ac:dyDescent="0.2">
      <c r="A54" s="11">
        <v>53</v>
      </c>
      <c r="B54" s="11" t="s">
        <v>910</v>
      </c>
      <c r="G54" s="11" t="s">
        <v>911</v>
      </c>
      <c r="R54" s="11" t="s">
        <v>145</v>
      </c>
      <c r="S54" s="21" t="s">
        <v>246</v>
      </c>
      <c r="T54" s="21"/>
      <c r="U54" s="21" t="s">
        <v>246</v>
      </c>
      <c r="V54" s="21"/>
      <c r="W54" s="21" t="s">
        <v>246</v>
      </c>
      <c r="X54" s="21"/>
    </row>
    <row r="55" spans="1:26" x14ac:dyDescent="0.2">
      <c r="A55" s="11">
        <v>54</v>
      </c>
      <c r="B55" s="11" t="s">
        <v>924</v>
      </c>
      <c r="S55" s="21"/>
      <c r="T55" s="21"/>
      <c r="U55" s="21"/>
      <c r="V55" s="21"/>
      <c r="W55" s="21"/>
      <c r="X55" s="21"/>
    </row>
    <row r="56" spans="1:26" ht="216.75" x14ac:dyDescent="0.2">
      <c r="A56" s="11">
        <v>55</v>
      </c>
      <c r="B56" s="11" t="s">
        <v>934</v>
      </c>
      <c r="G56" s="11" t="s">
        <v>935</v>
      </c>
      <c r="R56" s="7" t="s">
        <v>1148</v>
      </c>
      <c r="S56" s="21" t="s">
        <v>81</v>
      </c>
      <c r="T56" s="21"/>
      <c r="U56" s="21" t="s">
        <v>81</v>
      </c>
      <c r="V56" s="21"/>
      <c r="W56" s="21"/>
      <c r="X56" s="21"/>
      <c r="Y56" s="7"/>
      <c r="Z56" s="7"/>
    </row>
    <row r="57" spans="1:26" ht="89.25" x14ac:dyDescent="0.2">
      <c r="A57" s="11">
        <v>56</v>
      </c>
      <c r="B57" s="11" t="s">
        <v>209</v>
      </c>
      <c r="G57" s="11" t="s">
        <v>951</v>
      </c>
      <c r="R57" s="7" t="s">
        <v>4168</v>
      </c>
      <c r="S57" s="21" t="s">
        <v>81</v>
      </c>
      <c r="T57" s="21"/>
      <c r="U57" s="21" t="s">
        <v>81</v>
      </c>
      <c r="V57" s="21"/>
      <c r="W57" s="21"/>
      <c r="X57" s="21"/>
    </row>
    <row r="58" spans="1:26" x14ac:dyDescent="0.2">
      <c r="A58" s="11">
        <v>57</v>
      </c>
      <c r="B58" s="11" t="s">
        <v>709</v>
      </c>
      <c r="G58" s="11" t="s">
        <v>245</v>
      </c>
      <c r="R58" s="19" t="s">
        <v>245</v>
      </c>
      <c r="S58" s="21" t="s">
        <v>81</v>
      </c>
      <c r="T58" s="21"/>
      <c r="U58" s="21"/>
      <c r="V58" s="21"/>
      <c r="W58" s="21"/>
      <c r="X58" s="21"/>
    </row>
    <row r="59" spans="1:26" ht="63.75" x14ac:dyDescent="0.2">
      <c r="A59" s="11">
        <v>58</v>
      </c>
      <c r="B59" s="11" t="s">
        <v>1081</v>
      </c>
      <c r="G59" s="11" t="s">
        <v>1082</v>
      </c>
      <c r="R59" s="11" t="s">
        <v>1976</v>
      </c>
      <c r="S59" s="21" t="s">
        <v>81</v>
      </c>
      <c r="T59" s="21"/>
      <c r="U59" s="21"/>
      <c r="V59" s="21"/>
      <c r="W59" s="21"/>
      <c r="X59" s="21"/>
    </row>
    <row r="60" spans="1:26" ht="25.5" x14ac:dyDescent="0.2">
      <c r="A60" s="11">
        <v>59</v>
      </c>
      <c r="B60" s="11" t="s">
        <v>1097</v>
      </c>
      <c r="G60" s="11" t="s">
        <v>1098</v>
      </c>
      <c r="R60" s="11" t="s">
        <v>1977</v>
      </c>
      <c r="S60" s="21" t="s">
        <v>81</v>
      </c>
      <c r="T60" s="21"/>
      <c r="U60" s="21"/>
      <c r="V60" s="21"/>
      <c r="W60" s="21" t="s">
        <v>81</v>
      </c>
      <c r="X60" s="21"/>
    </row>
    <row r="61" spans="1:26" ht="38.25" x14ac:dyDescent="0.2">
      <c r="A61" s="11">
        <v>60</v>
      </c>
      <c r="B61" s="11" t="s">
        <v>1107</v>
      </c>
      <c r="G61" s="11" t="s">
        <v>1108</v>
      </c>
      <c r="R61" s="11" t="s">
        <v>1978</v>
      </c>
      <c r="S61" s="21" t="s">
        <v>81</v>
      </c>
      <c r="T61" s="21"/>
      <c r="U61" s="21"/>
      <c r="V61" s="21"/>
      <c r="W61" s="21"/>
      <c r="X61" s="21"/>
    </row>
    <row r="62" spans="1:26" x14ac:dyDescent="0.2">
      <c r="A62" s="11">
        <v>61</v>
      </c>
      <c r="B62" s="24"/>
      <c r="C62" s="11" t="s">
        <v>99</v>
      </c>
      <c r="G62" s="24"/>
      <c r="H62" s="11" t="s">
        <v>82</v>
      </c>
      <c r="J62" s="11" t="s">
        <v>84</v>
      </c>
      <c r="L62" s="11" t="s">
        <v>82</v>
      </c>
      <c r="N62" s="11" t="s">
        <v>82</v>
      </c>
      <c r="R62" s="24"/>
      <c r="S62" s="11" t="s">
        <v>84</v>
      </c>
      <c r="U62" s="11" t="s">
        <v>84</v>
      </c>
      <c r="W62" s="11" t="s">
        <v>82</v>
      </c>
    </row>
    <row r="63" spans="1:26" x14ac:dyDescent="0.2">
      <c r="A63" s="11">
        <v>62</v>
      </c>
      <c r="B63" s="24"/>
      <c r="C63" s="11" t="s">
        <v>97</v>
      </c>
      <c r="E63" s="11" t="s">
        <v>246</v>
      </c>
      <c r="G63" s="24"/>
      <c r="H63" s="11" t="s">
        <v>80</v>
      </c>
      <c r="J63" s="11" t="s">
        <v>80</v>
      </c>
      <c r="L63" s="11" t="s">
        <v>80</v>
      </c>
      <c r="N63" s="11" t="s">
        <v>80</v>
      </c>
      <c r="R63" s="24"/>
      <c r="S63" s="11" t="s">
        <v>84</v>
      </c>
      <c r="U63" s="11" t="s">
        <v>84</v>
      </c>
      <c r="W63" s="11" t="s">
        <v>82</v>
      </c>
    </row>
    <row r="64" spans="1:26" ht="76.5" x14ac:dyDescent="0.2">
      <c r="A64" s="11">
        <v>63</v>
      </c>
      <c r="B64" s="24"/>
      <c r="C64" s="11" t="s">
        <v>97</v>
      </c>
      <c r="E64" s="11" t="s">
        <v>246</v>
      </c>
      <c r="F64" s="11" t="s">
        <v>4169</v>
      </c>
      <c r="G64" s="24"/>
      <c r="H64" s="11" t="s">
        <v>80</v>
      </c>
      <c r="J64" s="11" t="s">
        <v>80</v>
      </c>
      <c r="L64" s="11" t="s">
        <v>80</v>
      </c>
      <c r="N64" s="11" t="s">
        <v>80</v>
      </c>
      <c r="R64" s="24"/>
      <c r="S64" s="11" t="s">
        <v>84</v>
      </c>
      <c r="T64" s="11" t="s">
        <v>1326</v>
      </c>
      <c r="U64" s="11" t="s">
        <v>82</v>
      </c>
      <c r="W64" s="11" t="s">
        <v>82</v>
      </c>
    </row>
    <row r="65" spans="1:26" x14ac:dyDescent="0.2">
      <c r="A65" s="11">
        <v>64</v>
      </c>
      <c r="B65" s="33"/>
      <c r="C65" s="33"/>
      <c r="D65" s="33"/>
      <c r="E65" s="33"/>
      <c r="F65" s="33"/>
      <c r="G65" s="33"/>
      <c r="H65" s="33" t="s">
        <v>80</v>
      </c>
      <c r="I65" s="33"/>
      <c r="J65" s="33" t="s">
        <v>80</v>
      </c>
      <c r="K65" s="33"/>
      <c r="L65" s="33" t="s">
        <v>80</v>
      </c>
      <c r="M65" s="33"/>
      <c r="N65" s="33" t="s">
        <v>80</v>
      </c>
      <c r="O65" s="33"/>
      <c r="P65" s="33"/>
      <c r="Q65" s="33"/>
      <c r="R65" s="33"/>
      <c r="S65" s="33" t="s">
        <v>80</v>
      </c>
      <c r="T65" s="33"/>
      <c r="U65" s="33" t="s">
        <v>80</v>
      </c>
      <c r="V65" s="33"/>
      <c r="W65" s="33" t="s">
        <v>80</v>
      </c>
      <c r="X65" s="33"/>
      <c r="Y65" s="33"/>
      <c r="Z65" s="33"/>
    </row>
    <row r="66" spans="1:26" ht="25.5" x14ac:dyDescent="0.2">
      <c r="A66" s="11">
        <v>65</v>
      </c>
      <c r="B66" s="24"/>
      <c r="C66" s="11" t="s">
        <v>99</v>
      </c>
      <c r="G66" s="24"/>
      <c r="H66" s="11" t="s">
        <v>82</v>
      </c>
      <c r="J66" s="11" t="s">
        <v>84</v>
      </c>
      <c r="K66" s="11" t="s">
        <v>1344</v>
      </c>
      <c r="L66" s="11" t="s">
        <v>82</v>
      </c>
      <c r="N66" s="11" t="s">
        <v>82</v>
      </c>
      <c r="R66" s="24"/>
      <c r="S66" s="11" t="s">
        <v>82</v>
      </c>
      <c r="U66" s="11" t="s">
        <v>82</v>
      </c>
      <c r="W66" s="11" t="s">
        <v>82</v>
      </c>
      <c r="Y66" s="11" t="s">
        <v>1345</v>
      </c>
      <c r="Z66" s="11" t="s">
        <v>1346</v>
      </c>
    </row>
    <row r="67" spans="1:26" x14ac:dyDescent="0.2">
      <c r="A67" s="11">
        <v>66</v>
      </c>
      <c r="B67" s="24"/>
      <c r="C67" s="11" t="s">
        <v>118</v>
      </c>
      <c r="G67" s="24"/>
      <c r="H67" s="11" t="s">
        <v>84</v>
      </c>
      <c r="J67" s="11" t="s">
        <v>82</v>
      </c>
      <c r="L67" s="11" t="s">
        <v>82</v>
      </c>
      <c r="N67" s="11" t="s">
        <v>82</v>
      </c>
      <c r="R67" s="24"/>
      <c r="S67" s="11" t="s">
        <v>82</v>
      </c>
      <c r="U67" s="11" t="s">
        <v>84</v>
      </c>
      <c r="W67" s="11" t="s">
        <v>82</v>
      </c>
    </row>
    <row r="68" spans="1:26" x14ac:dyDescent="0.2">
      <c r="A68" s="11">
        <v>67</v>
      </c>
      <c r="B68" s="24"/>
      <c r="C68" s="11" t="s">
        <v>99</v>
      </c>
      <c r="G68" s="24"/>
      <c r="H68" s="21" t="s">
        <v>82</v>
      </c>
      <c r="I68" s="11" t="s">
        <v>1362</v>
      </c>
      <c r="J68" s="11" t="s">
        <v>84</v>
      </c>
      <c r="K68" s="11" t="s">
        <v>1363</v>
      </c>
      <c r="L68" s="11" t="s">
        <v>82</v>
      </c>
      <c r="N68" s="11" t="s">
        <v>84</v>
      </c>
      <c r="O68" s="11" t="s">
        <v>1364</v>
      </c>
      <c r="R68" s="24"/>
      <c r="S68" s="11" t="s">
        <v>84</v>
      </c>
      <c r="U68" s="11" t="s">
        <v>84</v>
      </c>
      <c r="V68" s="11" t="s">
        <v>112</v>
      </c>
      <c r="W68" s="11" t="s">
        <v>82</v>
      </c>
    </row>
    <row r="69" spans="1:26" x14ac:dyDescent="0.2">
      <c r="A69" s="11">
        <v>68</v>
      </c>
      <c r="B69" s="24"/>
      <c r="C69" s="11" t="s">
        <v>99</v>
      </c>
      <c r="G69" s="24"/>
      <c r="H69" s="11" t="s">
        <v>82</v>
      </c>
      <c r="J69" s="11" t="s">
        <v>84</v>
      </c>
      <c r="L69" s="11" t="s">
        <v>82</v>
      </c>
      <c r="N69" s="11" t="s">
        <v>82</v>
      </c>
      <c r="R69" s="24"/>
      <c r="S69" s="11" t="s">
        <v>84</v>
      </c>
      <c r="U69" s="11" t="s">
        <v>82</v>
      </c>
      <c r="W69" s="11" t="s">
        <v>84</v>
      </c>
    </row>
    <row r="70" spans="1:26" x14ac:dyDescent="0.2">
      <c r="A70" s="11">
        <v>69</v>
      </c>
      <c r="B70" s="24"/>
      <c r="C70" s="11" t="s">
        <v>97</v>
      </c>
      <c r="E70" s="11" t="s">
        <v>246</v>
      </c>
      <c r="G70" s="24"/>
      <c r="H70" s="11" t="s">
        <v>80</v>
      </c>
      <c r="J70" s="11" t="s">
        <v>80</v>
      </c>
      <c r="L70" s="11" t="s">
        <v>80</v>
      </c>
      <c r="N70" s="11" t="s">
        <v>80</v>
      </c>
      <c r="R70" s="24"/>
      <c r="S70" s="11" t="s">
        <v>84</v>
      </c>
      <c r="U70" s="11" t="s">
        <v>84</v>
      </c>
      <c r="W70" s="11" t="s">
        <v>82</v>
      </c>
    </row>
    <row r="71" spans="1:26" x14ac:dyDescent="0.2">
      <c r="A71" s="11">
        <v>70</v>
      </c>
      <c r="B71" s="24"/>
      <c r="C71" s="11" t="s">
        <v>99</v>
      </c>
      <c r="G71" s="24"/>
      <c r="H71" s="11" t="s">
        <v>82</v>
      </c>
      <c r="J71" s="11" t="s">
        <v>84</v>
      </c>
      <c r="L71" s="11" t="s">
        <v>82</v>
      </c>
      <c r="N71" s="11" t="s">
        <v>82</v>
      </c>
      <c r="R71" s="24"/>
      <c r="S71" s="11" t="s">
        <v>84</v>
      </c>
      <c r="U71" s="11" t="s">
        <v>84</v>
      </c>
      <c r="W71" s="11" t="s">
        <v>82</v>
      </c>
    </row>
    <row r="72" spans="1:26" x14ac:dyDescent="0.2">
      <c r="A72" s="11">
        <v>71</v>
      </c>
      <c r="B72" s="24"/>
      <c r="C72" s="11" t="s">
        <v>97</v>
      </c>
      <c r="E72" s="11" t="s">
        <v>246</v>
      </c>
      <c r="G72" s="24"/>
      <c r="H72" s="11" t="s">
        <v>80</v>
      </c>
      <c r="J72" s="11" t="s">
        <v>80</v>
      </c>
      <c r="L72" s="11" t="s">
        <v>80</v>
      </c>
      <c r="N72" s="11" t="s">
        <v>80</v>
      </c>
      <c r="R72" s="24"/>
      <c r="S72" s="11" t="s">
        <v>84</v>
      </c>
      <c r="T72" s="11" t="s">
        <v>1384</v>
      </c>
      <c r="U72" s="11" t="s">
        <v>82</v>
      </c>
      <c r="W72" s="11" t="s">
        <v>84</v>
      </c>
      <c r="X72" s="11" t="s">
        <v>1385</v>
      </c>
    </row>
    <row r="73" spans="1:26" x14ac:dyDescent="0.2">
      <c r="A73" s="11">
        <v>72</v>
      </c>
      <c r="B73" s="24"/>
      <c r="C73" s="11" t="s">
        <v>118</v>
      </c>
      <c r="G73" s="24"/>
      <c r="H73" s="11" t="s">
        <v>84</v>
      </c>
      <c r="J73" s="11" t="s">
        <v>84</v>
      </c>
      <c r="L73" s="11" t="s">
        <v>84</v>
      </c>
      <c r="N73" s="11" t="s">
        <v>84</v>
      </c>
      <c r="R73" s="24"/>
      <c r="S73" s="11" t="s">
        <v>84</v>
      </c>
      <c r="U73" s="11" t="s">
        <v>82</v>
      </c>
      <c r="W73" s="11" t="s">
        <v>82</v>
      </c>
    </row>
    <row r="74" spans="1:26" x14ac:dyDescent="0.2">
      <c r="A74" s="11">
        <v>73</v>
      </c>
      <c r="B74" s="33"/>
      <c r="C74" s="33"/>
      <c r="D74" s="33"/>
      <c r="E74" s="33"/>
      <c r="F74" s="33"/>
      <c r="G74" s="33"/>
      <c r="H74" s="33" t="s">
        <v>80</v>
      </c>
      <c r="I74" s="33"/>
      <c r="J74" s="33" t="s">
        <v>80</v>
      </c>
      <c r="K74" s="33"/>
      <c r="L74" s="33" t="s">
        <v>80</v>
      </c>
      <c r="M74" s="33"/>
      <c r="N74" s="33" t="s">
        <v>80</v>
      </c>
      <c r="O74" s="33"/>
      <c r="P74" s="33"/>
      <c r="Q74" s="33"/>
      <c r="R74" s="33"/>
      <c r="S74" s="33" t="s">
        <v>80</v>
      </c>
      <c r="T74" s="33"/>
      <c r="U74" s="33" t="s">
        <v>80</v>
      </c>
      <c r="V74" s="33"/>
      <c r="W74" s="33" t="s">
        <v>80</v>
      </c>
      <c r="X74" s="33"/>
      <c r="Y74" s="33"/>
      <c r="Z74" s="33"/>
    </row>
    <row r="75" spans="1:26" ht="25.5" x14ac:dyDescent="0.2">
      <c r="A75" s="11">
        <v>74</v>
      </c>
      <c r="B75" s="24"/>
      <c r="C75" s="11" t="s">
        <v>97</v>
      </c>
      <c r="E75" s="11" t="s">
        <v>246</v>
      </c>
      <c r="G75" s="24"/>
      <c r="H75" s="11" t="s">
        <v>80</v>
      </c>
      <c r="J75" s="11" t="s">
        <v>80</v>
      </c>
      <c r="L75" s="11" t="s">
        <v>80</v>
      </c>
      <c r="N75" s="11" t="s">
        <v>80</v>
      </c>
      <c r="R75" s="24"/>
      <c r="S75" s="11" t="s">
        <v>82</v>
      </c>
      <c r="U75" s="11" t="s">
        <v>82</v>
      </c>
      <c r="W75" s="11" t="s">
        <v>82</v>
      </c>
      <c r="Y75" s="11" t="s">
        <v>1402</v>
      </c>
      <c r="Z75" s="11" t="s">
        <v>1403</v>
      </c>
    </row>
    <row r="76" spans="1:26" x14ac:dyDescent="0.2">
      <c r="A76" s="11">
        <v>75</v>
      </c>
      <c r="B76" s="33"/>
      <c r="C76" s="33"/>
      <c r="D76" s="33"/>
      <c r="E76" s="33"/>
      <c r="F76" s="33"/>
      <c r="G76" s="33"/>
      <c r="H76" s="33" t="s">
        <v>80</v>
      </c>
      <c r="I76" s="33"/>
      <c r="J76" s="33" t="s">
        <v>80</v>
      </c>
      <c r="K76" s="33"/>
      <c r="L76" s="33" t="s">
        <v>80</v>
      </c>
      <c r="M76" s="33"/>
      <c r="N76" s="33" t="s">
        <v>80</v>
      </c>
      <c r="O76" s="33"/>
      <c r="P76" s="33"/>
      <c r="Q76" s="33"/>
      <c r="R76" s="33"/>
      <c r="S76" s="33" t="s">
        <v>80</v>
      </c>
      <c r="T76" s="33"/>
      <c r="U76" s="33" t="s">
        <v>80</v>
      </c>
      <c r="V76" s="33"/>
      <c r="W76" s="33" t="s">
        <v>80</v>
      </c>
      <c r="X76" s="33"/>
      <c r="Y76" s="33"/>
      <c r="Z76" s="33"/>
    </row>
    <row r="77" spans="1:26" x14ac:dyDescent="0.2">
      <c r="A77" s="11">
        <v>76</v>
      </c>
      <c r="B77" s="24"/>
      <c r="C77" s="11" t="s">
        <v>118</v>
      </c>
      <c r="G77" s="24"/>
      <c r="H77" s="11" t="s">
        <v>82</v>
      </c>
      <c r="J77" s="11" t="s">
        <v>84</v>
      </c>
      <c r="K77" s="11" t="s">
        <v>1413</v>
      </c>
      <c r="L77" s="11" t="s">
        <v>82</v>
      </c>
      <c r="N77" s="11" t="s">
        <v>82</v>
      </c>
      <c r="R77" s="24"/>
      <c r="S77" s="11" t="s">
        <v>82</v>
      </c>
      <c r="U77" s="11" t="s">
        <v>82</v>
      </c>
      <c r="W77" s="11" t="s">
        <v>84</v>
      </c>
      <c r="X77" s="11" t="s">
        <v>1414</v>
      </c>
    </row>
    <row r="78" spans="1:26" x14ac:dyDescent="0.2">
      <c r="A78" s="11">
        <v>77</v>
      </c>
      <c r="B78" s="24"/>
      <c r="C78" s="11" t="s">
        <v>99</v>
      </c>
      <c r="G78" s="24"/>
      <c r="H78" s="11" t="s">
        <v>84</v>
      </c>
      <c r="J78" s="11" t="s">
        <v>84</v>
      </c>
      <c r="L78" s="11" t="s">
        <v>82</v>
      </c>
      <c r="N78" s="11" t="s">
        <v>82</v>
      </c>
      <c r="R78" s="24"/>
      <c r="S78" s="11" t="s">
        <v>84</v>
      </c>
      <c r="U78" s="11" t="s">
        <v>82</v>
      </c>
      <c r="W78" s="11" t="s">
        <v>82</v>
      </c>
    </row>
    <row r="79" spans="1:26" x14ac:dyDescent="0.2">
      <c r="A79" s="11">
        <v>78</v>
      </c>
      <c r="B79" s="24"/>
      <c r="C79" s="11" t="s">
        <v>97</v>
      </c>
      <c r="E79" s="11" t="s">
        <v>246</v>
      </c>
      <c r="G79" s="24"/>
      <c r="H79" s="11" t="s">
        <v>80</v>
      </c>
      <c r="J79" s="11" t="s">
        <v>80</v>
      </c>
      <c r="L79" s="11" t="s">
        <v>80</v>
      </c>
      <c r="N79" s="11" t="s">
        <v>80</v>
      </c>
      <c r="R79" s="24"/>
      <c r="S79" s="11" t="s">
        <v>84</v>
      </c>
      <c r="U79" s="11" t="s">
        <v>84</v>
      </c>
      <c r="W79" s="11" t="s">
        <v>84</v>
      </c>
    </row>
    <row r="80" spans="1:26" ht="25.5" x14ac:dyDescent="0.2">
      <c r="A80" s="11">
        <v>79</v>
      </c>
      <c r="B80" s="24"/>
      <c r="C80" s="11" t="s">
        <v>118</v>
      </c>
      <c r="G80" s="24"/>
      <c r="H80" s="11" t="s">
        <v>84</v>
      </c>
      <c r="I80" s="11" t="s">
        <v>1433</v>
      </c>
      <c r="J80" s="11" t="s">
        <v>82</v>
      </c>
      <c r="L80" s="11" t="s">
        <v>82</v>
      </c>
      <c r="N80" s="11" t="s">
        <v>82</v>
      </c>
      <c r="R80" s="24"/>
      <c r="S80" s="11" t="s">
        <v>84</v>
      </c>
      <c r="U80" s="11" t="s">
        <v>82</v>
      </c>
      <c r="W80" s="11" t="s">
        <v>82</v>
      </c>
    </row>
    <row r="81" spans="1:26" x14ac:dyDescent="0.2">
      <c r="A81" s="11">
        <v>80</v>
      </c>
      <c r="B81" s="24"/>
      <c r="C81" s="11" t="s">
        <v>118</v>
      </c>
      <c r="G81" s="24"/>
      <c r="H81" s="11" t="s">
        <v>84</v>
      </c>
      <c r="J81" s="11" t="s">
        <v>84</v>
      </c>
      <c r="L81" s="11" t="s">
        <v>82</v>
      </c>
      <c r="N81" s="11" t="s">
        <v>82</v>
      </c>
      <c r="R81" s="24"/>
      <c r="S81" s="11" t="s">
        <v>84</v>
      </c>
      <c r="U81" s="11" t="s">
        <v>82</v>
      </c>
      <c r="W81" s="11" t="s">
        <v>84</v>
      </c>
    </row>
    <row r="82" spans="1:26" ht="25.5" x14ac:dyDescent="0.2">
      <c r="A82" s="11">
        <v>81</v>
      </c>
      <c r="B82" s="24"/>
      <c r="C82" s="11" t="s">
        <v>118</v>
      </c>
      <c r="G82" s="24"/>
      <c r="H82" s="11" t="s">
        <v>82</v>
      </c>
      <c r="J82" s="11" t="s">
        <v>84</v>
      </c>
      <c r="L82" s="11" t="s">
        <v>82</v>
      </c>
      <c r="N82" s="11" t="s">
        <v>82</v>
      </c>
      <c r="Q82" s="11" t="s">
        <v>1457</v>
      </c>
      <c r="R82" s="24"/>
      <c r="S82" s="11" t="s">
        <v>82</v>
      </c>
      <c r="U82" s="11" t="s">
        <v>82</v>
      </c>
      <c r="W82" s="11" t="s">
        <v>82</v>
      </c>
      <c r="Y82" s="11" t="s">
        <v>1458</v>
      </c>
      <c r="Z82" s="11" t="s">
        <v>1459</v>
      </c>
    </row>
    <row r="83" spans="1:26" x14ac:dyDescent="0.2">
      <c r="A83" s="11">
        <v>82</v>
      </c>
      <c r="B83" s="24"/>
      <c r="C83" s="11" t="s">
        <v>97</v>
      </c>
      <c r="E83" s="11" t="s">
        <v>246</v>
      </c>
      <c r="G83" s="24"/>
      <c r="H83" s="11" t="s">
        <v>80</v>
      </c>
      <c r="J83" s="11" t="s">
        <v>80</v>
      </c>
      <c r="L83" s="11" t="s">
        <v>80</v>
      </c>
      <c r="N83" s="11" t="s">
        <v>80</v>
      </c>
      <c r="R83" s="24"/>
      <c r="S83" s="11" t="s">
        <v>84</v>
      </c>
      <c r="U83" s="11" t="s">
        <v>82</v>
      </c>
      <c r="W83" s="11" t="s">
        <v>82</v>
      </c>
    </row>
    <row r="84" spans="1:26" ht="25.5" x14ac:dyDescent="0.2">
      <c r="A84" s="11">
        <v>83</v>
      </c>
      <c r="B84" s="24"/>
      <c r="C84" s="11" t="s">
        <v>118</v>
      </c>
      <c r="G84" s="24"/>
      <c r="H84" s="11" t="s">
        <v>84</v>
      </c>
      <c r="J84" s="11" t="s">
        <v>82</v>
      </c>
      <c r="L84" s="11" t="s">
        <v>82</v>
      </c>
      <c r="N84" s="11" t="s">
        <v>82</v>
      </c>
      <c r="R84" s="24"/>
      <c r="S84" s="11" t="s">
        <v>82</v>
      </c>
      <c r="U84" s="11" t="s">
        <v>82</v>
      </c>
      <c r="W84" s="11" t="s">
        <v>84</v>
      </c>
      <c r="Y84" s="11" t="s">
        <v>1474</v>
      </c>
      <c r="Z84" s="11" t="s">
        <v>1475</v>
      </c>
    </row>
    <row r="85" spans="1:26" x14ac:dyDescent="0.2">
      <c r="A85" s="11">
        <v>84</v>
      </c>
      <c r="B85" s="24"/>
      <c r="C85" s="11" t="s">
        <v>118</v>
      </c>
      <c r="G85" s="24"/>
      <c r="H85" s="11" t="s">
        <v>84</v>
      </c>
      <c r="J85" s="11" t="s">
        <v>82</v>
      </c>
      <c r="L85" s="11" t="s">
        <v>82</v>
      </c>
      <c r="N85" s="11" t="s">
        <v>82</v>
      </c>
      <c r="R85" s="24"/>
      <c r="S85" s="11" t="s">
        <v>84</v>
      </c>
      <c r="U85" s="11" t="s">
        <v>84</v>
      </c>
      <c r="W85" s="11" t="s">
        <v>84</v>
      </c>
    </row>
    <row r="86" spans="1:26" ht="25.5" x14ac:dyDescent="0.2">
      <c r="A86" s="11">
        <v>85</v>
      </c>
      <c r="B86" s="24"/>
      <c r="C86" s="11" t="s">
        <v>99</v>
      </c>
      <c r="G86" s="24"/>
      <c r="H86" s="11" t="s">
        <v>82</v>
      </c>
      <c r="J86" s="11" t="s">
        <v>84</v>
      </c>
      <c r="K86" s="11" t="s">
        <v>1506</v>
      </c>
      <c r="L86" s="11" t="s">
        <v>82</v>
      </c>
      <c r="N86" s="11" t="s">
        <v>82</v>
      </c>
      <c r="R86" s="24"/>
      <c r="S86" s="11" t="s">
        <v>82</v>
      </c>
      <c r="U86" s="11" t="s">
        <v>84</v>
      </c>
      <c r="V86" s="11" t="s">
        <v>1507</v>
      </c>
      <c r="W86" s="11" t="s">
        <v>82</v>
      </c>
    </row>
    <row r="87" spans="1:26" x14ac:dyDescent="0.2">
      <c r="A87" s="11">
        <v>86</v>
      </c>
      <c r="B87" s="33"/>
      <c r="C87" s="33"/>
      <c r="D87" s="33"/>
      <c r="E87" s="33"/>
      <c r="F87" s="33"/>
      <c r="G87" s="33"/>
      <c r="H87" s="33" t="s">
        <v>80</v>
      </c>
      <c r="I87" s="33"/>
      <c r="J87" s="33" t="s">
        <v>80</v>
      </c>
      <c r="K87" s="33"/>
      <c r="L87" s="33" t="s">
        <v>80</v>
      </c>
      <c r="M87" s="33"/>
      <c r="N87" s="33" t="s">
        <v>80</v>
      </c>
      <c r="O87" s="33"/>
      <c r="P87" s="33"/>
      <c r="Q87" s="33"/>
      <c r="R87" s="33"/>
      <c r="S87" s="33" t="s">
        <v>80</v>
      </c>
      <c r="T87" s="33"/>
      <c r="U87" s="33" t="s">
        <v>80</v>
      </c>
      <c r="V87" s="33"/>
      <c r="W87" s="33" t="s">
        <v>80</v>
      </c>
      <c r="X87" s="33"/>
      <c r="Y87" s="33"/>
      <c r="Z87" s="33"/>
    </row>
    <row r="88" spans="1:26" x14ac:dyDescent="0.2">
      <c r="A88" s="11">
        <v>87</v>
      </c>
      <c r="B88" s="24"/>
      <c r="C88" s="11" t="s">
        <v>97</v>
      </c>
      <c r="E88" s="11" t="s">
        <v>246</v>
      </c>
      <c r="G88" s="24"/>
      <c r="H88" s="11" t="s">
        <v>80</v>
      </c>
      <c r="J88" s="11" t="s">
        <v>80</v>
      </c>
      <c r="L88" s="11" t="s">
        <v>80</v>
      </c>
      <c r="N88" s="11" t="s">
        <v>80</v>
      </c>
      <c r="R88" s="24"/>
      <c r="S88" s="11" t="s">
        <v>84</v>
      </c>
      <c r="U88" s="11" t="s">
        <v>82</v>
      </c>
      <c r="W88" s="11" t="s">
        <v>82</v>
      </c>
    </row>
    <row r="89" spans="1:26" x14ac:dyDescent="0.2">
      <c r="A89" s="11">
        <v>88</v>
      </c>
      <c r="B89" s="24"/>
      <c r="C89" s="11" t="s">
        <v>99</v>
      </c>
      <c r="G89" s="24"/>
      <c r="H89" s="11" t="s">
        <v>82</v>
      </c>
      <c r="J89" s="11" t="s">
        <v>84</v>
      </c>
      <c r="L89" s="11" t="s">
        <v>82</v>
      </c>
      <c r="N89" s="11" t="s">
        <v>82</v>
      </c>
      <c r="R89" s="24"/>
      <c r="S89" s="11" t="s">
        <v>84</v>
      </c>
      <c r="U89" s="11" t="s">
        <v>82</v>
      </c>
      <c r="W89" s="11" t="s">
        <v>82</v>
      </c>
    </row>
    <row r="90" spans="1:26" ht="127.5" x14ac:dyDescent="0.2">
      <c r="A90" s="11">
        <v>89</v>
      </c>
      <c r="B90" s="24"/>
      <c r="C90" s="11" t="s">
        <v>97</v>
      </c>
      <c r="E90" s="11" t="s">
        <v>246</v>
      </c>
      <c r="F90" s="19" t="s">
        <v>1536</v>
      </c>
      <c r="G90" s="24"/>
      <c r="H90" s="11" t="s">
        <v>80</v>
      </c>
      <c r="J90" s="11" t="s">
        <v>80</v>
      </c>
      <c r="L90" s="11" t="s">
        <v>80</v>
      </c>
      <c r="N90" s="11" t="s">
        <v>80</v>
      </c>
      <c r="R90" s="24"/>
      <c r="S90" s="11" t="s">
        <v>84</v>
      </c>
      <c r="U90" s="11" t="s">
        <v>84</v>
      </c>
      <c r="W90" s="11" t="s">
        <v>82</v>
      </c>
    </row>
    <row r="91" spans="1:26" ht="25.5" x14ac:dyDescent="0.2">
      <c r="A91" s="11">
        <v>90</v>
      </c>
      <c r="B91" s="24"/>
      <c r="C91" s="11" t="s">
        <v>97</v>
      </c>
      <c r="E91" s="11" t="s">
        <v>246</v>
      </c>
      <c r="G91" s="24"/>
      <c r="H91" s="11" t="s">
        <v>80</v>
      </c>
      <c r="J91" s="11" t="s">
        <v>80</v>
      </c>
      <c r="L91" s="11" t="s">
        <v>80</v>
      </c>
      <c r="N91" s="11" t="s">
        <v>80</v>
      </c>
      <c r="R91" s="24"/>
      <c r="S91" s="11" t="s">
        <v>84</v>
      </c>
      <c r="T91" s="11" t="s">
        <v>1545</v>
      </c>
      <c r="U91" s="11" t="s">
        <v>84</v>
      </c>
      <c r="V91" s="11" t="s">
        <v>1546</v>
      </c>
      <c r="W91" s="11" t="s">
        <v>84</v>
      </c>
      <c r="X91" s="11" t="s">
        <v>1547</v>
      </c>
    </row>
    <row r="92" spans="1:26" x14ac:dyDescent="0.2">
      <c r="A92" s="11">
        <v>91</v>
      </c>
      <c r="B92" s="33"/>
      <c r="C92" s="33"/>
      <c r="D92" s="33"/>
      <c r="E92" s="33"/>
      <c r="F92" s="33"/>
      <c r="G92" s="33"/>
      <c r="H92" s="33" t="s">
        <v>80</v>
      </c>
      <c r="I92" s="33"/>
      <c r="J92" s="33" t="s">
        <v>80</v>
      </c>
      <c r="K92" s="33"/>
      <c r="L92" s="33" t="s">
        <v>80</v>
      </c>
      <c r="M92" s="33"/>
      <c r="N92" s="33" t="s">
        <v>80</v>
      </c>
      <c r="O92" s="33"/>
      <c r="P92" s="33"/>
      <c r="Q92" s="33"/>
      <c r="R92" s="33"/>
      <c r="S92" s="33" t="s">
        <v>80</v>
      </c>
      <c r="T92" s="33"/>
      <c r="U92" s="33" t="s">
        <v>80</v>
      </c>
      <c r="V92" s="33"/>
      <c r="W92" s="33" t="s">
        <v>80</v>
      </c>
      <c r="X92" s="33"/>
      <c r="Y92" s="33"/>
      <c r="Z92" s="33"/>
    </row>
    <row r="93" spans="1:26" x14ac:dyDescent="0.2">
      <c r="A93" s="11">
        <v>92</v>
      </c>
      <c r="B93" s="24"/>
      <c r="C93" s="11" t="s">
        <v>97</v>
      </c>
      <c r="E93" s="11" t="s">
        <v>246</v>
      </c>
      <c r="G93" s="24"/>
      <c r="H93" s="11" t="s">
        <v>80</v>
      </c>
      <c r="J93" s="11" t="s">
        <v>80</v>
      </c>
      <c r="L93" s="11" t="s">
        <v>80</v>
      </c>
      <c r="N93" s="11" t="s">
        <v>80</v>
      </c>
      <c r="R93" s="24"/>
      <c r="S93" s="11" t="s">
        <v>84</v>
      </c>
      <c r="U93" s="11" t="s">
        <v>82</v>
      </c>
      <c r="W93" s="11" t="s">
        <v>82</v>
      </c>
    </row>
    <row r="94" spans="1:26" ht="25.5" x14ac:dyDescent="0.2">
      <c r="A94" s="11">
        <v>93</v>
      </c>
      <c r="B94" s="24"/>
      <c r="C94" s="11" t="s">
        <v>97</v>
      </c>
      <c r="E94" s="11" t="s">
        <v>246</v>
      </c>
      <c r="G94" s="24"/>
      <c r="H94" s="11" t="s">
        <v>80</v>
      </c>
      <c r="J94" s="11" t="s">
        <v>80</v>
      </c>
      <c r="L94" s="11" t="s">
        <v>80</v>
      </c>
      <c r="N94" s="11" t="s">
        <v>80</v>
      </c>
      <c r="R94" s="24"/>
      <c r="S94" s="11" t="s">
        <v>82</v>
      </c>
      <c r="U94" s="11" t="s">
        <v>82</v>
      </c>
      <c r="W94" s="11" t="s">
        <v>82</v>
      </c>
      <c r="Y94" s="11" t="s">
        <v>1554</v>
      </c>
      <c r="Z94" s="11" t="s">
        <v>1555</v>
      </c>
    </row>
    <row r="95" spans="1:26" x14ac:dyDescent="0.2">
      <c r="A95" s="11">
        <v>94</v>
      </c>
      <c r="B95" s="24"/>
      <c r="C95" s="11" t="s">
        <v>118</v>
      </c>
      <c r="G95" s="24"/>
      <c r="H95" s="11" t="s">
        <v>82</v>
      </c>
      <c r="J95" s="11" t="s">
        <v>84</v>
      </c>
      <c r="L95" s="11" t="s">
        <v>82</v>
      </c>
      <c r="N95" s="11" t="s">
        <v>82</v>
      </c>
      <c r="R95" s="24"/>
      <c r="S95" s="11" t="s">
        <v>84</v>
      </c>
      <c r="U95" s="11" t="s">
        <v>82</v>
      </c>
      <c r="W95" s="11" t="s">
        <v>82</v>
      </c>
    </row>
    <row r="96" spans="1:26" ht="165.75" x14ac:dyDescent="0.2">
      <c r="A96" s="11">
        <v>95</v>
      </c>
      <c r="B96" s="24"/>
      <c r="C96" s="11" t="s">
        <v>97</v>
      </c>
      <c r="E96" s="11" t="s">
        <v>246</v>
      </c>
      <c r="F96" s="19" t="s">
        <v>1573</v>
      </c>
      <c r="G96" s="24"/>
      <c r="H96" s="11" t="s">
        <v>80</v>
      </c>
      <c r="J96" s="11" t="s">
        <v>80</v>
      </c>
      <c r="L96" s="11" t="s">
        <v>80</v>
      </c>
      <c r="N96" s="11" t="s">
        <v>80</v>
      </c>
      <c r="R96" s="24"/>
      <c r="S96" s="11" t="s">
        <v>84</v>
      </c>
      <c r="T96" s="11" t="s">
        <v>1574</v>
      </c>
      <c r="U96" s="11" t="s">
        <v>82</v>
      </c>
      <c r="W96" s="11" t="s">
        <v>82</v>
      </c>
    </row>
    <row r="97" spans="1:26" ht="25.5" x14ac:dyDescent="0.2">
      <c r="A97" s="11">
        <v>96</v>
      </c>
      <c r="B97" s="24"/>
      <c r="C97" s="11" t="s">
        <v>119</v>
      </c>
      <c r="D97" s="11" t="s">
        <v>1588</v>
      </c>
      <c r="E97" s="11" t="s">
        <v>81</v>
      </c>
      <c r="G97" s="24"/>
      <c r="H97" s="11" t="s">
        <v>82</v>
      </c>
      <c r="J97" s="11" t="s">
        <v>84</v>
      </c>
      <c r="L97" s="11" t="s">
        <v>82</v>
      </c>
      <c r="N97" s="11" t="s">
        <v>82</v>
      </c>
      <c r="R97" s="24"/>
      <c r="S97" s="11" t="s">
        <v>84</v>
      </c>
      <c r="U97" s="11" t="s">
        <v>82</v>
      </c>
      <c r="W97" s="11" t="s">
        <v>82</v>
      </c>
    </row>
    <row r="98" spans="1:26" ht="63.75" x14ac:dyDescent="0.2">
      <c r="A98" s="11">
        <v>97</v>
      </c>
      <c r="B98" s="24"/>
      <c r="C98" s="11" t="s">
        <v>97</v>
      </c>
      <c r="E98" s="11" t="s">
        <v>246</v>
      </c>
      <c r="F98" s="11" t="s">
        <v>1600</v>
      </c>
      <c r="G98" s="24"/>
      <c r="H98" s="11" t="s">
        <v>80</v>
      </c>
      <c r="J98" s="11" t="s">
        <v>80</v>
      </c>
      <c r="L98" s="11" t="s">
        <v>80</v>
      </c>
      <c r="N98" s="11" t="s">
        <v>80</v>
      </c>
      <c r="R98" s="24"/>
      <c r="S98" s="11" t="s">
        <v>84</v>
      </c>
      <c r="U98" s="11" t="s">
        <v>82</v>
      </c>
      <c r="W98" s="11" t="s">
        <v>82</v>
      </c>
    </row>
    <row r="99" spans="1:26" x14ac:dyDescent="0.2">
      <c r="A99" s="11">
        <v>98</v>
      </c>
      <c r="B99" s="24"/>
      <c r="C99" s="11" t="s">
        <v>118</v>
      </c>
      <c r="G99" s="24"/>
      <c r="H99" s="11" t="s">
        <v>84</v>
      </c>
      <c r="J99" s="11" t="s">
        <v>84</v>
      </c>
      <c r="L99" s="11" t="s">
        <v>82</v>
      </c>
      <c r="N99" s="11" t="s">
        <v>84</v>
      </c>
      <c r="R99" s="24"/>
      <c r="S99" s="11" t="s">
        <v>84</v>
      </c>
      <c r="U99" s="11" t="s">
        <v>84</v>
      </c>
      <c r="W99" s="11" t="s">
        <v>84</v>
      </c>
    </row>
    <row r="100" spans="1:26" x14ac:dyDescent="0.2">
      <c r="A100" s="11">
        <v>99</v>
      </c>
      <c r="B100" s="24"/>
      <c r="C100" s="11" t="s">
        <v>119</v>
      </c>
      <c r="D100" s="11" t="s">
        <v>1620</v>
      </c>
      <c r="E100" s="11" t="s">
        <v>246</v>
      </c>
      <c r="G100" s="24"/>
      <c r="H100" s="11" t="s">
        <v>82</v>
      </c>
      <c r="J100" s="11" t="s">
        <v>84</v>
      </c>
      <c r="K100" s="11" t="s">
        <v>1621</v>
      </c>
      <c r="L100" s="11" t="s">
        <v>82</v>
      </c>
      <c r="N100" s="11" t="s">
        <v>82</v>
      </c>
      <c r="R100" s="24"/>
      <c r="S100" s="11" t="s">
        <v>84</v>
      </c>
      <c r="U100" s="11" t="s">
        <v>82</v>
      </c>
      <c r="W100" s="11" t="s">
        <v>82</v>
      </c>
    </row>
    <row r="101" spans="1:26" ht="38.25" x14ac:dyDescent="0.2">
      <c r="A101" s="11">
        <v>100</v>
      </c>
      <c r="B101" s="24"/>
      <c r="C101" s="11" t="s">
        <v>118</v>
      </c>
      <c r="G101" s="24"/>
      <c r="H101" s="39" t="s">
        <v>82</v>
      </c>
      <c r="I101" s="39"/>
      <c r="J101" s="39" t="s">
        <v>84</v>
      </c>
      <c r="K101" s="39" t="s">
        <v>1634</v>
      </c>
      <c r="L101" s="11" t="s">
        <v>82</v>
      </c>
      <c r="N101" s="11" t="s">
        <v>82</v>
      </c>
      <c r="R101" s="24"/>
      <c r="S101" s="11" t="s">
        <v>84</v>
      </c>
      <c r="T101" s="11" t="s">
        <v>1635</v>
      </c>
      <c r="U101" s="11" t="s">
        <v>84</v>
      </c>
      <c r="W101" s="11" t="s">
        <v>82</v>
      </c>
    </row>
    <row r="102" spans="1:26" ht="38.25" x14ac:dyDescent="0.2">
      <c r="A102" s="11">
        <v>101</v>
      </c>
      <c r="B102" s="24"/>
      <c r="C102" s="11" t="s">
        <v>99</v>
      </c>
      <c r="G102" s="24"/>
      <c r="H102" s="11" t="s">
        <v>82</v>
      </c>
      <c r="J102" s="11" t="s">
        <v>84</v>
      </c>
      <c r="K102" s="11" t="s">
        <v>1640</v>
      </c>
      <c r="L102" s="11" t="s">
        <v>82</v>
      </c>
      <c r="N102" s="11" t="s">
        <v>84</v>
      </c>
      <c r="O102" s="11" t="s">
        <v>1641</v>
      </c>
      <c r="R102" s="24"/>
      <c r="S102" s="11" t="s">
        <v>82</v>
      </c>
      <c r="U102" s="11" t="s">
        <v>82</v>
      </c>
      <c r="W102" s="11" t="s">
        <v>82</v>
      </c>
      <c r="Y102" s="11" t="s">
        <v>1642</v>
      </c>
      <c r="Z102" s="11" t="s">
        <v>1643</v>
      </c>
    </row>
    <row r="103" spans="1:26" ht="38.25" x14ac:dyDescent="0.2">
      <c r="A103" s="11">
        <v>102</v>
      </c>
      <c r="B103" s="24"/>
      <c r="C103" s="11" t="s">
        <v>118</v>
      </c>
      <c r="G103" s="24"/>
      <c r="H103" s="11" t="s">
        <v>84</v>
      </c>
      <c r="I103" s="11" t="s">
        <v>1651</v>
      </c>
      <c r="J103" s="11" t="s">
        <v>84</v>
      </c>
      <c r="K103" s="11" t="s">
        <v>1652</v>
      </c>
      <c r="L103" s="11" t="s">
        <v>82</v>
      </c>
      <c r="N103" s="11" t="s">
        <v>84</v>
      </c>
      <c r="O103" s="11" t="s">
        <v>1653</v>
      </c>
      <c r="R103" s="24"/>
      <c r="S103" s="11" t="s">
        <v>84</v>
      </c>
      <c r="U103" s="11" t="s">
        <v>84</v>
      </c>
      <c r="W103" s="11" t="s">
        <v>84</v>
      </c>
    </row>
    <row r="104" spans="1:26" x14ac:dyDescent="0.2">
      <c r="A104" s="11">
        <v>103</v>
      </c>
      <c r="B104" s="24"/>
      <c r="C104" s="11" t="s">
        <v>118</v>
      </c>
      <c r="G104" s="24"/>
      <c r="H104" s="11" t="s">
        <v>84</v>
      </c>
      <c r="J104" s="11" t="s">
        <v>82</v>
      </c>
      <c r="L104" s="11" t="s">
        <v>82</v>
      </c>
      <c r="N104" s="11" t="s">
        <v>82</v>
      </c>
      <c r="R104" s="24"/>
      <c r="S104" s="11" t="s">
        <v>82</v>
      </c>
      <c r="U104" s="11" t="s">
        <v>84</v>
      </c>
      <c r="W104" s="11" t="s">
        <v>82</v>
      </c>
    </row>
    <row r="105" spans="1:26" ht="25.5" x14ac:dyDescent="0.2">
      <c r="A105" s="11">
        <v>104</v>
      </c>
      <c r="B105" s="24"/>
      <c r="C105" s="11" t="s">
        <v>97</v>
      </c>
      <c r="E105" s="11" t="s">
        <v>246</v>
      </c>
      <c r="G105" s="24"/>
      <c r="H105" s="11" t="s">
        <v>80</v>
      </c>
      <c r="J105" s="11" t="s">
        <v>80</v>
      </c>
      <c r="L105" s="11" t="s">
        <v>80</v>
      </c>
      <c r="N105" s="11" t="s">
        <v>80</v>
      </c>
      <c r="R105" s="24"/>
      <c r="S105" s="11" t="s">
        <v>84</v>
      </c>
      <c r="T105" s="11" t="s">
        <v>4170</v>
      </c>
      <c r="U105" s="11" t="s">
        <v>82</v>
      </c>
      <c r="W105" s="11" t="s">
        <v>84</v>
      </c>
      <c r="X105" s="11" t="s">
        <v>1661</v>
      </c>
    </row>
    <row r="106" spans="1:26" x14ac:dyDescent="0.2">
      <c r="A106" s="11">
        <v>105</v>
      </c>
      <c r="B106" s="24"/>
      <c r="C106" s="11" t="s">
        <v>99</v>
      </c>
      <c r="G106" s="24"/>
      <c r="H106" s="11" t="s">
        <v>84</v>
      </c>
      <c r="J106" s="11" t="s">
        <v>84</v>
      </c>
      <c r="L106" s="11" t="s">
        <v>84</v>
      </c>
      <c r="N106" s="11" t="s">
        <v>82</v>
      </c>
      <c r="R106" s="24"/>
      <c r="S106" s="11" t="s">
        <v>84</v>
      </c>
      <c r="U106" s="11" t="s">
        <v>84</v>
      </c>
      <c r="W106" s="11" t="s">
        <v>84</v>
      </c>
    </row>
    <row r="107" spans="1:26" x14ac:dyDescent="0.2">
      <c r="A107" s="11">
        <v>106</v>
      </c>
      <c r="B107" s="24"/>
      <c r="C107" s="11" t="s">
        <v>118</v>
      </c>
      <c r="G107" s="24"/>
      <c r="H107" s="11" t="s">
        <v>82</v>
      </c>
      <c r="J107" s="11" t="s">
        <v>82</v>
      </c>
      <c r="L107" s="11" t="s">
        <v>84</v>
      </c>
      <c r="N107" s="11" t="s">
        <v>82</v>
      </c>
      <c r="R107" s="24"/>
      <c r="S107" s="11" t="s">
        <v>82</v>
      </c>
      <c r="U107" s="11" t="s">
        <v>82</v>
      </c>
      <c r="W107" s="11" t="s">
        <v>84</v>
      </c>
    </row>
    <row r="108" spans="1:26" x14ac:dyDescent="0.2">
      <c r="A108" s="11">
        <v>107</v>
      </c>
      <c r="B108" s="24"/>
      <c r="C108" s="11" t="s">
        <v>99</v>
      </c>
      <c r="G108" s="24"/>
      <c r="H108" s="11" t="s">
        <v>84</v>
      </c>
      <c r="J108" s="11" t="s">
        <v>82</v>
      </c>
      <c r="L108" s="11" t="s">
        <v>82</v>
      </c>
      <c r="N108" s="11" t="s">
        <v>82</v>
      </c>
      <c r="R108" s="24"/>
      <c r="S108" s="11" t="s">
        <v>82</v>
      </c>
      <c r="U108" s="11" t="s">
        <v>82</v>
      </c>
      <c r="W108" s="11" t="s">
        <v>84</v>
      </c>
    </row>
    <row r="109" spans="1:26" x14ac:dyDescent="0.2">
      <c r="A109" s="11">
        <v>108</v>
      </c>
      <c r="B109" s="24"/>
      <c r="C109" s="11" t="s">
        <v>118</v>
      </c>
      <c r="G109" s="24"/>
      <c r="H109" s="11" t="s">
        <v>82</v>
      </c>
      <c r="J109" s="11" t="s">
        <v>84</v>
      </c>
      <c r="K109" s="11" t="s">
        <v>1684</v>
      </c>
      <c r="L109" s="11" t="s">
        <v>82</v>
      </c>
      <c r="N109" s="11" t="s">
        <v>82</v>
      </c>
      <c r="R109" s="24"/>
      <c r="S109" s="11" t="s">
        <v>84</v>
      </c>
      <c r="T109" s="11" t="s">
        <v>1684</v>
      </c>
      <c r="U109" s="11" t="s">
        <v>82</v>
      </c>
      <c r="W109" s="11" t="s">
        <v>82</v>
      </c>
    </row>
    <row r="110" spans="1:26" x14ac:dyDescent="0.2">
      <c r="A110" s="11">
        <v>109</v>
      </c>
      <c r="B110" s="24"/>
      <c r="C110" s="11" t="s">
        <v>99</v>
      </c>
      <c r="G110" s="24"/>
      <c r="H110" s="11" t="s">
        <v>82</v>
      </c>
      <c r="J110" s="11" t="s">
        <v>84</v>
      </c>
      <c r="L110" s="11" t="s">
        <v>82</v>
      </c>
      <c r="N110" s="11" t="s">
        <v>82</v>
      </c>
      <c r="R110" s="24"/>
      <c r="S110" s="11" t="s">
        <v>84</v>
      </c>
      <c r="U110" s="11" t="s">
        <v>84</v>
      </c>
      <c r="W110" s="11" t="s">
        <v>82</v>
      </c>
    </row>
    <row r="111" spans="1:26" x14ac:dyDescent="0.2">
      <c r="A111" s="11">
        <v>110</v>
      </c>
      <c r="B111" s="24"/>
      <c r="C111" s="11" t="s">
        <v>97</v>
      </c>
      <c r="E111" s="11" t="s">
        <v>246</v>
      </c>
      <c r="G111" s="24"/>
      <c r="H111" s="11" t="s">
        <v>80</v>
      </c>
      <c r="J111" s="11" t="s">
        <v>80</v>
      </c>
      <c r="L111" s="11" t="s">
        <v>80</v>
      </c>
      <c r="N111" s="11" t="s">
        <v>80</v>
      </c>
      <c r="R111" s="24"/>
      <c r="S111" s="11" t="s">
        <v>84</v>
      </c>
      <c r="U111" s="11" t="s">
        <v>82</v>
      </c>
      <c r="W111" s="11" t="s">
        <v>82</v>
      </c>
    </row>
    <row r="112" spans="1:26" ht="25.5" x14ac:dyDescent="0.2">
      <c r="A112" s="11">
        <v>111</v>
      </c>
      <c r="B112" s="24"/>
      <c r="C112" s="11" t="s">
        <v>118</v>
      </c>
      <c r="G112" s="24"/>
      <c r="H112" s="11" t="s">
        <v>82</v>
      </c>
      <c r="J112" s="11" t="s">
        <v>84</v>
      </c>
      <c r="K112" s="11" t="s">
        <v>1707</v>
      </c>
      <c r="L112" s="11" t="s">
        <v>82</v>
      </c>
      <c r="N112" s="11" t="s">
        <v>84</v>
      </c>
      <c r="O112" s="11" t="s">
        <v>1708</v>
      </c>
      <c r="R112" s="24"/>
      <c r="S112" s="11" t="s">
        <v>84</v>
      </c>
      <c r="U112" s="11" t="s">
        <v>82</v>
      </c>
      <c r="W112" s="11" t="s">
        <v>82</v>
      </c>
    </row>
    <row r="113" spans="1:26" x14ac:dyDescent="0.2">
      <c r="A113" s="11">
        <v>112</v>
      </c>
      <c r="B113" s="24"/>
      <c r="C113" s="11" t="s">
        <v>99</v>
      </c>
      <c r="G113" s="24"/>
      <c r="H113" s="11" t="s">
        <v>82</v>
      </c>
      <c r="J113" s="11" t="s">
        <v>84</v>
      </c>
      <c r="L113" s="11" t="s">
        <v>82</v>
      </c>
      <c r="N113" s="11" t="s">
        <v>82</v>
      </c>
      <c r="R113" s="24"/>
      <c r="S113" s="11" t="s">
        <v>84</v>
      </c>
      <c r="U113" s="11" t="s">
        <v>82</v>
      </c>
      <c r="W113" s="11" t="s">
        <v>82</v>
      </c>
    </row>
    <row r="114" spans="1:26" x14ac:dyDescent="0.2">
      <c r="A114" s="11">
        <v>113</v>
      </c>
      <c r="B114" s="33"/>
      <c r="C114" s="33"/>
      <c r="D114" s="33"/>
      <c r="E114" s="33"/>
      <c r="F114" s="33"/>
      <c r="G114" s="33"/>
      <c r="H114" s="33" t="s">
        <v>80</v>
      </c>
      <c r="I114" s="33"/>
      <c r="J114" s="33" t="s">
        <v>80</v>
      </c>
      <c r="K114" s="33"/>
      <c r="L114" s="33" t="s">
        <v>80</v>
      </c>
      <c r="M114" s="33"/>
      <c r="N114" s="33" t="s">
        <v>80</v>
      </c>
      <c r="O114" s="33"/>
      <c r="P114" s="33"/>
      <c r="Q114" s="33"/>
      <c r="R114" s="33"/>
      <c r="S114" s="33" t="s">
        <v>80</v>
      </c>
      <c r="T114" s="33"/>
      <c r="U114" s="33" t="s">
        <v>80</v>
      </c>
      <c r="V114" s="33"/>
      <c r="W114" s="33" t="s">
        <v>80</v>
      </c>
      <c r="X114" s="33"/>
      <c r="Y114" s="33"/>
      <c r="Z114" s="33"/>
    </row>
    <row r="115" spans="1:26" x14ac:dyDescent="0.2">
      <c r="A115" s="11">
        <v>114</v>
      </c>
      <c r="B115" s="24"/>
      <c r="C115" s="11" t="s">
        <v>118</v>
      </c>
      <c r="G115" s="24"/>
      <c r="H115" s="11" t="s">
        <v>82</v>
      </c>
      <c r="J115" s="11" t="s">
        <v>84</v>
      </c>
      <c r="L115" s="11" t="s">
        <v>82</v>
      </c>
      <c r="N115" s="11" t="s">
        <v>82</v>
      </c>
      <c r="R115" s="24"/>
      <c r="S115" s="11" t="s">
        <v>84</v>
      </c>
      <c r="U115" s="11" t="s">
        <v>82</v>
      </c>
      <c r="W115" s="11" t="s">
        <v>82</v>
      </c>
    </row>
    <row r="116" spans="1:26" ht="51" x14ac:dyDescent="0.2">
      <c r="A116" s="11">
        <v>115</v>
      </c>
      <c r="B116" s="24"/>
      <c r="C116" s="11" t="s">
        <v>118</v>
      </c>
      <c r="G116" s="24"/>
      <c r="H116" s="11" t="s">
        <v>82</v>
      </c>
      <c r="J116" s="11" t="s">
        <v>82</v>
      </c>
      <c r="L116" s="11" t="s">
        <v>82</v>
      </c>
      <c r="N116" s="11" t="s">
        <v>82</v>
      </c>
      <c r="Q116" s="11" t="s">
        <v>1733</v>
      </c>
      <c r="R116" s="24"/>
      <c r="S116" s="11" t="s">
        <v>84</v>
      </c>
      <c r="U116" s="11" t="s">
        <v>82</v>
      </c>
      <c r="W116" s="11" t="s">
        <v>82</v>
      </c>
    </row>
    <row r="117" spans="1:26" x14ac:dyDescent="0.2">
      <c r="A117" s="11">
        <v>116</v>
      </c>
      <c r="B117" s="24"/>
      <c r="C117" s="11" t="s">
        <v>118</v>
      </c>
      <c r="G117" s="24"/>
      <c r="H117" s="11" t="s">
        <v>82</v>
      </c>
      <c r="J117" s="11" t="s">
        <v>84</v>
      </c>
      <c r="L117" s="11" t="s">
        <v>82</v>
      </c>
      <c r="N117" s="11" t="s">
        <v>82</v>
      </c>
      <c r="R117" s="24"/>
      <c r="S117" s="11" t="s">
        <v>84</v>
      </c>
      <c r="U117" s="11" t="s">
        <v>84</v>
      </c>
      <c r="W117" s="11" t="s">
        <v>82</v>
      </c>
    </row>
    <row r="118" spans="1:26" x14ac:dyDescent="0.2">
      <c r="A118" s="11">
        <v>117</v>
      </c>
      <c r="B118" s="24"/>
      <c r="C118" s="11" t="s">
        <v>97</v>
      </c>
      <c r="E118" s="11" t="s">
        <v>81</v>
      </c>
      <c r="G118" s="24"/>
      <c r="H118" s="11" t="s">
        <v>80</v>
      </c>
      <c r="J118" s="11" t="s">
        <v>80</v>
      </c>
      <c r="L118" s="11" t="s">
        <v>80</v>
      </c>
      <c r="N118" s="11" t="s">
        <v>80</v>
      </c>
      <c r="R118" s="24"/>
      <c r="S118" s="11" t="s">
        <v>84</v>
      </c>
      <c r="T118" s="11" t="s">
        <v>1752</v>
      </c>
      <c r="U118" s="11" t="s">
        <v>82</v>
      </c>
      <c r="W118" s="11" t="s">
        <v>82</v>
      </c>
    </row>
    <row r="119" spans="1:26" x14ac:dyDescent="0.2">
      <c r="A119" s="11">
        <v>118</v>
      </c>
      <c r="B119" s="24"/>
      <c r="C119" s="11" t="s">
        <v>118</v>
      </c>
      <c r="G119" s="24"/>
      <c r="H119" s="11" t="s">
        <v>84</v>
      </c>
      <c r="J119" s="11" t="s">
        <v>82</v>
      </c>
      <c r="L119" s="11" t="s">
        <v>82</v>
      </c>
      <c r="N119" s="11" t="s">
        <v>84</v>
      </c>
      <c r="R119" s="24"/>
      <c r="S119" s="11" t="s">
        <v>84</v>
      </c>
      <c r="U119" s="11" t="s">
        <v>82</v>
      </c>
      <c r="W119" s="11" t="s">
        <v>82</v>
      </c>
    </row>
    <row r="120" spans="1:26" ht="25.5" x14ac:dyDescent="0.2">
      <c r="A120" s="11">
        <v>119</v>
      </c>
      <c r="B120" s="24"/>
      <c r="C120" s="11" t="s">
        <v>99</v>
      </c>
      <c r="G120" s="24"/>
      <c r="H120" s="11" t="s">
        <v>82</v>
      </c>
      <c r="J120" s="11" t="s">
        <v>84</v>
      </c>
      <c r="K120" s="11" t="s">
        <v>1771</v>
      </c>
      <c r="L120" s="11" t="s">
        <v>82</v>
      </c>
      <c r="N120" s="11" t="s">
        <v>82</v>
      </c>
      <c r="R120" s="24"/>
      <c r="S120" s="11" t="s">
        <v>84</v>
      </c>
      <c r="U120" s="11" t="s">
        <v>82</v>
      </c>
      <c r="W120" s="11" t="s">
        <v>82</v>
      </c>
    </row>
    <row r="121" spans="1:26" x14ac:dyDescent="0.2">
      <c r="A121" s="11">
        <v>120</v>
      </c>
      <c r="B121" s="24"/>
      <c r="C121" s="11" t="s">
        <v>99</v>
      </c>
      <c r="G121" s="24"/>
      <c r="H121" s="11" t="s">
        <v>82</v>
      </c>
      <c r="J121" s="11" t="s">
        <v>84</v>
      </c>
      <c r="L121" s="11" t="s">
        <v>82</v>
      </c>
      <c r="N121" s="11" t="s">
        <v>82</v>
      </c>
      <c r="R121" s="24"/>
      <c r="S121" s="11" t="s">
        <v>84</v>
      </c>
      <c r="U121" s="11" t="s">
        <v>82</v>
      </c>
      <c r="W121" s="11" t="s">
        <v>82</v>
      </c>
    </row>
    <row r="122" spans="1:26" ht="76.5" x14ac:dyDescent="0.2">
      <c r="A122" s="11">
        <v>121</v>
      </c>
      <c r="B122" s="24"/>
      <c r="C122" s="11" t="s">
        <v>118</v>
      </c>
      <c r="G122" s="24"/>
      <c r="H122" s="11" t="s">
        <v>84</v>
      </c>
      <c r="I122" s="11" t="s">
        <v>1790</v>
      </c>
      <c r="J122" s="11" t="s">
        <v>84</v>
      </c>
      <c r="K122" s="11" t="s">
        <v>4171</v>
      </c>
      <c r="L122" s="11" t="s">
        <v>84</v>
      </c>
      <c r="M122" s="11" t="s">
        <v>1792</v>
      </c>
      <c r="N122" s="11" t="s">
        <v>82</v>
      </c>
      <c r="R122" s="24"/>
      <c r="S122" s="11" t="s">
        <v>84</v>
      </c>
      <c r="T122" s="11" t="s">
        <v>1793</v>
      </c>
      <c r="U122" s="11" t="s">
        <v>84</v>
      </c>
      <c r="W122" s="11" t="s">
        <v>84</v>
      </c>
    </row>
    <row r="123" spans="1:26" x14ac:dyDescent="0.2">
      <c r="A123" s="11">
        <v>122</v>
      </c>
      <c r="B123" s="24"/>
      <c r="C123" s="11" t="s">
        <v>99</v>
      </c>
      <c r="G123" s="24"/>
      <c r="H123" s="11" t="s">
        <v>82</v>
      </c>
      <c r="J123" s="11" t="s">
        <v>84</v>
      </c>
      <c r="L123" s="11" t="s">
        <v>82</v>
      </c>
      <c r="N123" s="11" t="s">
        <v>82</v>
      </c>
      <c r="R123" s="24"/>
      <c r="S123" s="11" t="s">
        <v>84</v>
      </c>
      <c r="U123" s="11" t="s">
        <v>82</v>
      </c>
      <c r="W123" s="11" t="s">
        <v>82</v>
      </c>
    </row>
    <row r="124" spans="1:26" x14ac:dyDescent="0.2">
      <c r="A124" s="11">
        <v>123</v>
      </c>
      <c r="B124" s="24"/>
      <c r="C124" s="11" t="s">
        <v>99</v>
      </c>
      <c r="G124" s="24"/>
      <c r="H124" s="11" t="s">
        <v>84</v>
      </c>
      <c r="J124" s="11" t="s">
        <v>84</v>
      </c>
      <c r="L124" s="11" t="s">
        <v>82</v>
      </c>
      <c r="N124" s="11" t="s">
        <v>82</v>
      </c>
      <c r="R124" s="24"/>
      <c r="S124" s="11" t="s">
        <v>84</v>
      </c>
      <c r="U124" s="11" t="s">
        <v>84</v>
      </c>
      <c r="W124" s="11" t="s">
        <v>84</v>
      </c>
    </row>
    <row r="125" spans="1:26" x14ac:dyDescent="0.2">
      <c r="A125" s="11">
        <v>124</v>
      </c>
      <c r="B125" s="24"/>
      <c r="C125" s="11" t="s">
        <v>118</v>
      </c>
      <c r="G125" s="24"/>
      <c r="H125" s="11" t="s">
        <v>82</v>
      </c>
      <c r="J125" s="11" t="s">
        <v>84</v>
      </c>
      <c r="K125" s="11" t="s">
        <v>423</v>
      </c>
      <c r="L125" s="11" t="s">
        <v>82</v>
      </c>
      <c r="N125" s="11" t="s">
        <v>82</v>
      </c>
      <c r="R125" s="24"/>
      <c r="S125" s="11" t="s">
        <v>84</v>
      </c>
      <c r="T125" s="11" t="s">
        <v>1820</v>
      </c>
      <c r="U125" s="11" t="s">
        <v>82</v>
      </c>
      <c r="W125" s="11" t="s">
        <v>82</v>
      </c>
    </row>
    <row r="126" spans="1:26" x14ac:dyDescent="0.2">
      <c r="A126" s="11">
        <v>125</v>
      </c>
      <c r="B126" s="24"/>
      <c r="C126" s="11" t="s">
        <v>99</v>
      </c>
      <c r="G126" s="24"/>
      <c r="H126" s="11" t="s">
        <v>82</v>
      </c>
      <c r="J126" s="11" t="s">
        <v>84</v>
      </c>
      <c r="L126" s="11" t="s">
        <v>82</v>
      </c>
      <c r="N126" s="11" t="s">
        <v>84</v>
      </c>
      <c r="R126" s="24"/>
      <c r="S126" s="11" t="s">
        <v>84</v>
      </c>
      <c r="U126" s="11" t="s">
        <v>82</v>
      </c>
      <c r="W126" s="11" t="s">
        <v>82</v>
      </c>
    </row>
    <row r="127" spans="1:26" ht="63.75" x14ac:dyDescent="0.2">
      <c r="A127" s="11">
        <v>126</v>
      </c>
      <c r="B127" s="24"/>
      <c r="C127" s="11" t="s">
        <v>118</v>
      </c>
      <c r="G127" s="24"/>
      <c r="H127" s="11" t="s">
        <v>82</v>
      </c>
      <c r="J127" s="11" t="s">
        <v>84</v>
      </c>
      <c r="K127" s="11" t="s">
        <v>1837</v>
      </c>
      <c r="L127" s="11" t="s">
        <v>82</v>
      </c>
      <c r="N127" s="11" t="s">
        <v>82</v>
      </c>
      <c r="R127" s="24"/>
      <c r="S127" s="11" t="s">
        <v>84</v>
      </c>
      <c r="T127" s="11" t="s">
        <v>1838</v>
      </c>
      <c r="U127" s="11" t="s">
        <v>82</v>
      </c>
      <c r="W127" s="11" t="s">
        <v>82</v>
      </c>
    </row>
    <row r="128" spans="1:26" x14ac:dyDescent="0.2">
      <c r="A128" s="11">
        <v>127</v>
      </c>
      <c r="B128" s="24"/>
      <c r="C128" s="11" t="s">
        <v>118</v>
      </c>
      <c r="G128" s="24"/>
      <c r="H128" s="11" t="s">
        <v>82</v>
      </c>
      <c r="J128" s="11" t="s">
        <v>84</v>
      </c>
      <c r="L128" s="11" t="s">
        <v>82</v>
      </c>
      <c r="N128" s="11" t="s">
        <v>82</v>
      </c>
      <c r="R128" s="24"/>
      <c r="S128" s="11" t="s">
        <v>84</v>
      </c>
      <c r="U128" s="11" t="s">
        <v>82</v>
      </c>
      <c r="W128" s="11" t="s">
        <v>82</v>
      </c>
    </row>
    <row r="129" spans="1:26" ht="38.25" x14ac:dyDescent="0.2">
      <c r="A129" s="11">
        <v>128</v>
      </c>
      <c r="B129" s="24"/>
      <c r="C129" s="11" t="s">
        <v>118</v>
      </c>
      <c r="G129" s="24"/>
      <c r="H129" s="11" t="s">
        <v>82</v>
      </c>
      <c r="J129" s="11" t="s">
        <v>84</v>
      </c>
      <c r="K129" s="11" t="s">
        <v>1855</v>
      </c>
      <c r="L129" s="11" t="s">
        <v>82</v>
      </c>
      <c r="N129" s="11" t="s">
        <v>82</v>
      </c>
      <c r="R129" s="24"/>
      <c r="S129" s="11" t="s">
        <v>84</v>
      </c>
      <c r="T129" s="11" t="s">
        <v>1855</v>
      </c>
      <c r="U129" s="11" t="s">
        <v>82</v>
      </c>
      <c r="W129" s="11" t="s">
        <v>82</v>
      </c>
    </row>
    <row r="130" spans="1:26" ht="38.25" x14ac:dyDescent="0.2">
      <c r="A130" s="11">
        <v>129</v>
      </c>
      <c r="B130" s="24"/>
      <c r="C130" s="11" t="s">
        <v>97</v>
      </c>
      <c r="E130" s="11" t="s">
        <v>246</v>
      </c>
      <c r="F130" s="11" t="s">
        <v>1870</v>
      </c>
      <c r="G130" s="24"/>
      <c r="H130" s="11" t="s">
        <v>80</v>
      </c>
      <c r="J130" s="11" t="s">
        <v>80</v>
      </c>
      <c r="L130" s="11" t="s">
        <v>80</v>
      </c>
      <c r="N130" s="11" t="s">
        <v>80</v>
      </c>
      <c r="R130" s="24"/>
      <c r="S130" s="11" t="s">
        <v>82</v>
      </c>
      <c r="U130" s="11" t="s">
        <v>84</v>
      </c>
      <c r="V130" s="11" t="s">
        <v>1871</v>
      </c>
      <c r="W130" s="11" t="s">
        <v>82</v>
      </c>
    </row>
    <row r="131" spans="1:26" ht="38.25" x14ac:dyDescent="0.2">
      <c r="A131" s="11">
        <v>130</v>
      </c>
      <c r="B131" s="24"/>
      <c r="C131" s="11" t="s">
        <v>99</v>
      </c>
      <c r="G131" s="24"/>
      <c r="H131" s="11" t="s">
        <v>82</v>
      </c>
      <c r="J131" s="11" t="s">
        <v>84</v>
      </c>
      <c r="K131" s="11" t="s">
        <v>116</v>
      </c>
      <c r="L131" s="11" t="s">
        <v>82</v>
      </c>
      <c r="N131" s="11" t="s">
        <v>82</v>
      </c>
      <c r="R131" s="24"/>
      <c r="S131" s="11" t="s">
        <v>84</v>
      </c>
      <c r="T131" s="11" t="s">
        <v>1881</v>
      </c>
      <c r="U131" s="11" t="s">
        <v>84</v>
      </c>
      <c r="V131" s="11" t="s">
        <v>1882</v>
      </c>
      <c r="W131" s="11" t="s">
        <v>82</v>
      </c>
    </row>
    <row r="132" spans="1:26" x14ac:dyDescent="0.2">
      <c r="A132" s="11">
        <v>131</v>
      </c>
      <c r="B132" s="24"/>
      <c r="C132" s="11" t="s">
        <v>97</v>
      </c>
      <c r="E132" s="11" t="s">
        <v>246</v>
      </c>
      <c r="G132" s="24"/>
      <c r="H132" s="11" t="s">
        <v>80</v>
      </c>
      <c r="J132" s="11" t="s">
        <v>80</v>
      </c>
      <c r="L132" s="11" t="s">
        <v>80</v>
      </c>
      <c r="N132" s="11" t="s">
        <v>80</v>
      </c>
      <c r="R132" s="24"/>
      <c r="S132" s="11" t="s">
        <v>82</v>
      </c>
      <c r="U132" s="11" t="s">
        <v>84</v>
      </c>
      <c r="V132" s="11" t="s">
        <v>1891</v>
      </c>
      <c r="W132" s="11" t="s">
        <v>82</v>
      </c>
    </row>
    <row r="133" spans="1:26" ht="38.25" x14ac:dyDescent="0.2">
      <c r="A133" s="11">
        <v>132</v>
      </c>
      <c r="B133" s="24"/>
      <c r="C133" s="11" t="s">
        <v>97</v>
      </c>
      <c r="E133" s="11" t="s">
        <v>246</v>
      </c>
      <c r="F133" s="11" t="s">
        <v>1896</v>
      </c>
      <c r="G133" s="24"/>
      <c r="H133" s="11" t="s">
        <v>80</v>
      </c>
      <c r="J133" s="11" t="s">
        <v>80</v>
      </c>
      <c r="L133" s="11" t="s">
        <v>80</v>
      </c>
      <c r="N133" s="11" t="s">
        <v>80</v>
      </c>
      <c r="R133" s="24"/>
      <c r="S133" s="11" t="s">
        <v>84</v>
      </c>
      <c r="T133" s="11" t="s">
        <v>1897</v>
      </c>
      <c r="U133" s="11" t="s">
        <v>84</v>
      </c>
      <c r="W133" s="11" t="s">
        <v>82</v>
      </c>
    </row>
    <row r="134" spans="1:26" x14ac:dyDescent="0.2">
      <c r="A134" s="11">
        <v>133</v>
      </c>
      <c r="B134" s="24"/>
      <c r="C134" s="11" t="s">
        <v>99</v>
      </c>
      <c r="G134" s="24"/>
      <c r="H134" s="11" t="s">
        <v>82</v>
      </c>
      <c r="J134" s="11" t="s">
        <v>84</v>
      </c>
      <c r="L134" s="11" t="s">
        <v>82</v>
      </c>
      <c r="N134" s="11" t="s">
        <v>82</v>
      </c>
      <c r="R134" s="24"/>
      <c r="S134" s="11" t="s">
        <v>84</v>
      </c>
      <c r="U134" s="11" t="s">
        <v>82</v>
      </c>
      <c r="W134" s="11" t="s">
        <v>82</v>
      </c>
    </row>
    <row r="135" spans="1:26" x14ac:dyDescent="0.2">
      <c r="A135" s="11">
        <v>134</v>
      </c>
      <c r="B135" s="24"/>
      <c r="C135" s="11" t="s">
        <v>99</v>
      </c>
      <c r="G135" s="24"/>
      <c r="H135" s="11" t="s">
        <v>82</v>
      </c>
      <c r="J135" s="11" t="s">
        <v>84</v>
      </c>
      <c r="L135" s="11" t="s">
        <v>82</v>
      </c>
      <c r="N135" s="11" t="s">
        <v>82</v>
      </c>
      <c r="R135" s="24"/>
      <c r="S135" s="11" t="s">
        <v>84</v>
      </c>
      <c r="U135" s="11" t="s">
        <v>82</v>
      </c>
      <c r="W135" s="11" t="s">
        <v>82</v>
      </c>
    </row>
    <row r="136" spans="1:26" x14ac:dyDescent="0.2">
      <c r="A136" s="11">
        <v>135</v>
      </c>
      <c r="B136" s="24"/>
      <c r="C136" s="11" t="s">
        <v>97</v>
      </c>
      <c r="E136" s="11" t="s">
        <v>246</v>
      </c>
      <c r="G136" s="24"/>
      <c r="H136" s="11" t="s">
        <v>80</v>
      </c>
      <c r="J136" s="11" t="s">
        <v>80</v>
      </c>
      <c r="L136" s="11" t="s">
        <v>80</v>
      </c>
      <c r="N136" s="11" t="s">
        <v>80</v>
      </c>
      <c r="R136" s="24"/>
      <c r="S136" s="11" t="s">
        <v>84</v>
      </c>
      <c r="U136" s="11" t="s">
        <v>82</v>
      </c>
      <c r="W136" s="11" t="s">
        <v>82</v>
      </c>
    </row>
    <row r="137" spans="1:26" ht="25.5" x14ac:dyDescent="0.2">
      <c r="A137" s="11">
        <v>136</v>
      </c>
      <c r="B137" s="24"/>
      <c r="C137" s="11" t="s">
        <v>118</v>
      </c>
      <c r="G137" s="24"/>
      <c r="H137" s="11" t="s">
        <v>84</v>
      </c>
      <c r="I137" s="11" t="s">
        <v>2172</v>
      </c>
      <c r="J137" s="11" t="s">
        <v>82</v>
      </c>
      <c r="L137" s="11" t="s">
        <v>82</v>
      </c>
      <c r="N137" s="11" t="s">
        <v>82</v>
      </c>
      <c r="R137" s="24"/>
      <c r="S137" s="11" t="s">
        <v>84</v>
      </c>
      <c r="U137" s="11" t="s">
        <v>84</v>
      </c>
      <c r="W137" s="11" t="s">
        <v>82</v>
      </c>
    </row>
    <row r="138" spans="1:26" x14ac:dyDescent="0.2">
      <c r="A138" s="11">
        <v>137</v>
      </c>
      <c r="B138" s="24"/>
      <c r="C138" s="11" t="s">
        <v>118</v>
      </c>
      <c r="G138" s="24"/>
      <c r="H138" s="11" t="s">
        <v>84</v>
      </c>
      <c r="J138" s="11" t="s">
        <v>82</v>
      </c>
      <c r="L138" s="11" t="s">
        <v>82</v>
      </c>
      <c r="N138" s="11" t="s">
        <v>82</v>
      </c>
      <c r="R138" s="24"/>
      <c r="S138" s="11" t="s">
        <v>84</v>
      </c>
      <c r="U138" s="11" t="s">
        <v>82</v>
      </c>
      <c r="W138" s="11" t="s">
        <v>82</v>
      </c>
    </row>
    <row r="139" spans="1:26" x14ac:dyDescent="0.2">
      <c r="A139" s="11">
        <v>138</v>
      </c>
      <c r="B139" s="33"/>
      <c r="C139" s="33"/>
      <c r="D139" s="33"/>
      <c r="E139" s="33"/>
      <c r="F139" s="33"/>
      <c r="G139" s="33"/>
      <c r="H139" s="33" t="s">
        <v>80</v>
      </c>
      <c r="I139" s="33"/>
      <c r="J139" s="33" t="s">
        <v>80</v>
      </c>
      <c r="K139" s="33"/>
      <c r="L139" s="33" t="s">
        <v>80</v>
      </c>
      <c r="M139" s="33"/>
      <c r="N139" s="33" t="s">
        <v>80</v>
      </c>
      <c r="O139" s="33"/>
      <c r="P139" s="33"/>
      <c r="Q139" s="33"/>
      <c r="R139" s="33"/>
      <c r="S139" s="33" t="s">
        <v>80</v>
      </c>
      <c r="T139" s="33"/>
      <c r="U139" s="33" t="s">
        <v>80</v>
      </c>
      <c r="V139" s="33"/>
      <c r="W139" s="33" t="s">
        <v>80</v>
      </c>
      <c r="X139" s="33"/>
      <c r="Y139" s="33"/>
      <c r="Z139" s="33"/>
    </row>
    <row r="140" spans="1:26" ht="51" x14ac:dyDescent="0.2">
      <c r="A140" s="11">
        <v>139</v>
      </c>
      <c r="B140" s="24"/>
      <c r="C140" s="11" t="s">
        <v>99</v>
      </c>
      <c r="G140" s="24"/>
      <c r="H140" s="11" t="s">
        <v>82</v>
      </c>
      <c r="J140" s="11" t="s">
        <v>82</v>
      </c>
      <c r="L140" s="11" t="s">
        <v>82</v>
      </c>
      <c r="N140" s="11" t="s">
        <v>82</v>
      </c>
      <c r="P140" s="11" t="s">
        <v>2173</v>
      </c>
      <c r="Q140" s="11" t="s">
        <v>2174</v>
      </c>
      <c r="R140" s="24"/>
      <c r="S140" s="11" t="s">
        <v>84</v>
      </c>
      <c r="U140" s="11" t="s">
        <v>82</v>
      </c>
      <c r="W140" s="11" t="s">
        <v>82</v>
      </c>
    </row>
    <row r="141" spans="1:26" x14ac:dyDescent="0.2">
      <c r="A141" s="11">
        <v>140</v>
      </c>
      <c r="B141" s="24"/>
      <c r="C141" s="11" t="s">
        <v>118</v>
      </c>
      <c r="G141" s="24"/>
      <c r="H141" s="11" t="s">
        <v>82</v>
      </c>
      <c r="J141" s="11" t="s">
        <v>84</v>
      </c>
      <c r="L141" s="11" t="s">
        <v>82</v>
      </c>
      <c r="N141" s="11" t="s">
        <v>82</v>
      </c>
      <c r="R141" s="24"/>
      <c r="S141" s="11" t="s">
        <v>84</v>
      </c>
      <c r="U141" s="11" t="s">
        <v>82</v>
      </c>
      <c r="W141" s="11" t="s">
        <v>82</v>
      </c>
    </row>
    <row r="142" spans="1:26" ht="51" x14ac:dyDescent="0.2">
      <c r="A142" s="11">
        <v>141</v>
      </c>
      <c r="B142" s="24"/>
      <c r="C142" s="11" t="s">
        <v>119</v>
      </c>
      <c r="D142" s="11" t="s">
        <v>2160</v>
      </c>
      <c r="E142" s="11" t="s">
        <v>246</v>
      </c>
      <c r="F142" s="11" t="s">
        <v>4172</v>
      </c>
      <c r="G142" s="24"/>
      <c r="H142" s="11" t="s">
        <v>82</v>
      </c>
      <c r="J142" s="11" t="s">
        <v>84</v>
      </c>
      <c r="K142" s="11" t="s">
        <v>2175</v>
      </c>
      <c r="L142" s="11" t="s">
        <v>82</v>
      </c>
      <c r="N142" s="11" t="s">
        <v>82</v>
      </c>
      <c r="R142" s="24"/>
      <c r="S142" s="11" t="s">
        <v>84</v>
      </c>
      <c r="U142" s="11" t="s">
        <v>82</v>
      </c>
      <c r="W142" s="11" t="s">
        <v>82</v>
      </c>
    </row>
    <row r="143" spans="1:26" x14ac:dyDescent="0.2">
      <c r="A143" s="11">
        <v>142</v>
      </c>
      <c r="B143" s="33"/>
      <c r="C143" s="33" t="s">
        <v>97</v>
      </c>
      <c r="D143" s="33"/>
      <c r="E143" s="33" t="s">
        <v>246</v>
      </c>
      <c r="F143" s="33"/>
      <c r="G143" s="33"/>
      <c r="H143" s="33" t="s">
        <v>80</v>
      </c>
      <c r="I143" s="33"/>
      <c r="J143" s="33" t="s">
        <v>80</v>
      </c>
      <c r="K143" s="33"/>
      <c r="L143" s="33" t="s">
        <v>80</v>
      </c>
      <c r="M143" s="33"/>
      <c r="N143" s="33" t="s">
        <v>80</v>
      </c>
      <c r="O143" s="33"/>
      <c r="P143" s="33"/>
      <c r="Q143" s="33"/>
      <c r="R143" s="33"/>
      <c r="S143" s="33" t="s">
        <v>84</v>
      </c>
      <c r="T143" s="33"/>
      <c r="U143" s="33" t="s">
        <v>82</v>
      </c>
      <c r="V143" s="33"/>
      <c r="W143" s="33" t="s">
        <v>82</v>
      </c>
      <c r="X143" s="33"/>
      <c r="Y143" s="33"/>
      <c r="Z143" s="33"/>
    </row>
    <row r="144" spans="1:26" x14ac:dyDescent="0.2">
      <c r="A144" s="11">
        <v>143</v>
      </c>
      <c r="B144" s="24"/>
      <c r="C144" s="11" t="s">
        <v>118</v>
      </c>
      <c r="G144" s="24"/>
      <c r="H144" s="11" t="s">
        <v>82</v>
      </c>
      <c r="J144" s="11" t="s">
        <v>84</v>
      </c>
      <c r="L144" s="11" t="s">
        <v>82</v>
      </c>
      <c r="N144" s="11" t="s">
        <v>82</v>
      </c>
      <c r="R144" s="24"/>
      <c r="S144" s="11" t="s">
        <v>84</v>
      </c>
      <c r="U144" s="11" t="s">
        <v>82</v>
      </c>
      <c r="W144" s="11" t="s">
        <v>82</v>
      </c>
    </row>
    <row r="145" spans="1:26" x14ac:dyDescent="0.2">
      <c r="A145" s="11">
        <v>144</v>
      </c>
      <c r="B145" s="24"/>
      <c r="C145" s="11" t="s">
        <v>118</v>
      </c>
      <c r="G145" s="24"/>
      <c r="H145" s="11" t="s">
        <v>84</v>
      </c>
      <c r="J145" s="11" t="s">
        <v>84</v>
      </c>
      <c r="L145" s="11" t="s">
        <v>82</v>
      </c>
      <c r="N145" s="11" t="s">
        <v>82</v>
      </c>
      <c r="R145" s="24"/>
      <c r="S145" s="11" t="s">
        <v>84</v>
      </c>
      <c r="U145" s="11" t="s">
        <v>84</v>
      </c>
      <c r="W145" s="11" t="s">
        <v>84</v>
      </c>
    </row>
    <row r="146" spans="1:26" x14ac:dyDescent="0.2">
      <c r="A146" s="11">
        <v>145</v>
      </c>
      <c r="B146" s="24"/>
      <c r="C146" s="11" t="s">
        <v>118</v>
      </c>
      <c r="G146" s="24"/>
      <c r="H146" s="11" t="s">
        <v>84</v>
      </c>
      <c r="J146" s="11" t="s">
        <v>84</v>
      </c>
      <c r="L146" s="11" t="s">
        <v>82</v>
      </c>
      <c r="N146" s="11" t="s">
        <v>82</v>
      </c>
      <c r="R146" s="24"/>
      <c r="S146" s="11" t="s">
        <v>84</v>
      </c>
      <c r="U146" s="11" t="s">
        <v>84</v>
      </c>
      <c r="W146" s="11" t="s">
        <v>84</v>
      </c>
    </row>
    <row r="147" spans="1:26" x14ac:dyDescent="0.2">
      <c r="A147" s="11">
        <v>146</v>
      </c>
      <c r="B147" s="24"/>
      <c r="C147" s="11" t="s">
        <v>118</v>
      </c>
      <c r="G147" s="24"/>
      <c r="H147" s="11" t="s">
        <v>84</v>
      </c>
      <c r="I147" s="11" t="s">
        <v>2176</v>
      </c>
      <c r="J147" s="11" t="s">
        <v>82</v>
      </c>
      <c r="L147" s="11" t="s">
        <v>82</v>
      </c>
      <c r="N147" s="11" t="s">
        <v>82</v>
      </c>
      <c r="R147" s="24"/>
      <c r="S147" s="11" t="s">
        <v>84</v>
      </c>
      <c r="U147" s="11" t="s">
        <v>82</v>
      </c>
      <c r="W147" s="11" t="s">
        <v>82</v>
      </c>
    </row>
    <row r="148" spans="1:26" x14ac:dyDescent="0.2">
      <c r="A148" s="11">
        <v>147</v>
      </c>
      <c r="B148" s="24"/>
      <c r="C148" s="11" t="s">
        <v>118</v>
      </c>
      <c r="G148" s="24"/>
      <c r="H148" s="11" t="s">
        <v>82</v>
      </c>
      <c r="J148" s="11" t="s">
        <v>84</v>
      </c>
      <c r="L148" s="11" t="s">
        <v>82</v>
      </c>
      <c r="N148" s="11" t="s">
        <v>82</v>
      </c>
      <c r="R148" s="24"/>
      <c r="S148" s="11" t="s">
        <v>84</v>
      </c>
      <c r="U148" s="11" t="s">
        <v>82</v>
      </c>
      <c r="W148" s="11" t="s">
        <v>82</v>
      </c>
    </row>
    <row r="149" spans="1:26" ht="38.25" x14ac:dyDescent="0.2">
      <c r="A149" s="11">
        <v>148</v>
      </c>
      <c r="B149" s="24"/>
      <c r="C149" s="11" t="s">
        <v>97</v>
      </c>
      <c r="E149" s="11" t="s">
        <v>246</v>
      </c>
      <c r="F149" s="11" t="s">
        <v>2162</v>
      </c>
      <c r="G149" s="24"/>
      <c r="H149" s="11" t="s">
        <v>80</v>
      </c>
      <c r="J149" s="11" t="s">
        <v>80</v>
      </c>
      <c r="L149" s="11" t="s">
        <v>80</v>
      </c>
      <c r="N149" s="11" t="s">
        <v>80</v>
      </c>
      <c r="R149" s="24"/>
      <c r="S149" s="11" t="s">
        <v>84</v>
      </c>
      <c r="T149" s="11" t="s">
        <v>2204</v>
      </c>
      <c r="U149" s="11" t="s">
        <v>82</v>
      </c>
      <c r="W149" s="11" t="s">
        <v>82</v>
      </c>
    </row>
    <row r="150" spans="1:26" ht="25.5" x14ac:dyDescent="0.2">
      <c r="A150" s="11">
        <v>149</v>
      </c>
      <c r="B150" s="24"/>
      <c r="C150" s="11" t="s">
        <v>119</v>
      </c>
      <c r="D150" s="11" t="s">
        <v>2163</v>
      </c>
      <c r="E150" s="11" t="s">
        <v>81</v>
      </c>
      <c r="F150" s="11" t="s">
        <v>2164</v>
      </c>
      <c r="G150" s="24"/>
      <c r="H150" s="11" t="s">
        <v>84</v>
      </c>
      <c r="J150" s="11" t="s">
        <v>84</v>
      </c>
      <c r="L150" s="11" t="s">
        <v>82</v>
      </c>
      <c r="N150" s="11" t="s">
        <v>82</v>
      </c>
      <c r="R150" s="24"/>
      <c r="S150" s="11" t="s">
        <v>84</v>
      </c>
      <c r="U150" s="11" t="s">
        <v>82</v>
      </c>
      <c r="W150" s="11" t="s">
        <v>82</v>
      </c>
    </row>
    <row r="151" spans="1:26" x14ac:dyDescent="0.2">
      <c r="A151" s="11">
        <v>150</v>
      </c>
      <c r="B151" s="24"/>
      <c r="C151" s="11" t="s">
        <v>118</v>
      </c>
      <c r="G151" s="24"/>
      <c r="H151" s="11" t="s">
        <v>84</v>
      </c>
      <c r="J151" s="11" t="s">
        <v>84</v>
      </c>
      <c r="L151" s="11" t="s">
        <v>82</v>
      </c>
      <c r="N151" s="11" t="s">
        <v>82</v>
      </c>
      <c r="R151" s="24"/>
      <c r="S151" s="11" t="s">
        <v>84</v>
      </c>
      <c r="U151" s="11" t="s">
        <v>84</v>
      </c>
      <c r="W151" s="11" t="s">
        <v>82</v>
      </c>
    </row>
    <row r="152" spans="1:26" x14ac:dyDescent="0.2">
      <c r="A152" s="11">
        <v>151</v>
      </c>
      <c r="B152" s="33"/>
      <c r="C152" s="33" t="s">
        <v>118</v>
      </c>
      <c r="D152" s="33"/>
      <c r="E152" s="33"/>
      <c r="F152" s="33"/>
      <c r="G152" s="33"/>
      <c r="H152" s="33" t="s">
        <v>84</v>
      </c>
      <c r="I152" s="33"/>
      <c r="J152" s="33" t="s">
        <v>84</v>
      </c>
      <c r="K152" s="33"/>
      <c r="L152" s="33" t="s">
        <v>82</v>
      </c>
      <c r="M152" s="33"/>
      <c r="N152" s="33" t="s">
        <v>82</v>
      </c>
      <c r="O152" s="33"/>
      <c r="P152" s="33"/>
      <c r="Q152" s="33"/>
      <c r="R152" s="33"/>
      <c r="S152" s="33" t="s">
        <v>84</v>
      </c>
      <c r="T152" s="33"/>
      <c r="U152" s="33" t="s">
        <v>82</v>
      </c>
      <c r="V152" s="33"/>
      <c r="W152" s="33" t="s">
        <v>82</v>
      </c>
      <c r="X152" s="33"/>
      <c r="Y152" s="33"/>
      <c r="Z152" s="33"/>
    </row>
    <row r="153" spans="1:26" x14ac:dyDescent="0.2">
      <c r="A153" s="11">
        <v>152</v>
      </c>
      <c r="B153" s="24"/>
      <c r="C153" s="11" t="s">
        <v>97</v>
      </c>
      <c r="E153" s="11" t="s">
        <v>81</v>
      </c>
      <c r="G153" s="24"/>
      <c r="H153" s="11" t="s">
        <v>80</v>
      </c>
      <c r="J153" s="11" t="s">
        <v>80</v>
      </c>
      <c r="L153" s="11" t="s">
        <v>80</v>
      </c>
      <c r="N153" s="11" t="s">
        <v>80</v>
      </c>
      <c r="R153" s="24"/>
      <c r="S153" s="11" t="s">
        <v>84</v>
      </c>
      <c r="U153" s="11" t="s">
        <v>82</v>
      </c>
      <c r="W153" s="11" t="s">
        <v>82</v>
      </c>
    </row>
    <row r="154" spans="1:26" x14ac:dyDescent="0.2">
      <c r="A154" s="11">
        <v>153</v>
      </c>
      <c r="B154" s="24"/>
      <c r="C154" s="11" t="s">
        <v>99</v>
      </c>
      <c r="G154" s="24"/>
      <c r="H154" s="11" t="s">
        <v>84</v>
      </c>
      <c r="I154" s="11" t="s">
        <v>2177</v>
      </c>
      <c r="J154" s="11" t="s">
        <v>82</v>
      </c>
      <c r="L154" s="11" t="s">
        <v>82</v>
      </c>
      <c r="N154" s="11" t="s">
        <v>82</v>
      </c>
      <c r="R154" s="24"/>
      <c r="S154" s="11" t="s">
        <v>82</v>
      </c>
      <c r="U154" s="11" t="s">
        <v>84</v>
      </c>
      <c r="V154" s="11" t="s">
        <v>2214</v>
      </c>
      <c r="W154" s="11" t="s">
        <v>82</v>
      </c>
    </row>
    <row r="155" spans="1:26" x14ac:dyDescent="0.2">
      <c r="A155" s="11">
        <v>154</v>
      </c>
      <c r="B155" s="24"/>
      <c r="C155" s="11" t="s">
        <v>118</v>
      </c>
      <c r="G155" s="24"/>
      <c r="H155" s="11" t="s">
        <v>84</v>
      </c>
      <c r="J155" s="11" t="s">
        <v>82</v>
      </c>
      <c r="L155" s="11" t="s">
        <v>84</v>
      </c>
      <c r="N155" s="11" t="s">
        <v>82</v>
      </c>
      <c r="R155" s="24"/>
      <c r="S155" s="11" t="s">
        <v>82</v>
      </c>
      <c r="U155" s="11" t="s">
        <v>84</v>
      </c>
      <c r="W155" s="11" t="s">
        <v>84</v>
      </c>
    </row>
    <row r="156" spans="1:26" x14ac:dyDescent="0.2">
      <c r="A156" s="11">
        <v>155</v>
      </c>
      <c r="B156" s="24"/>
      <c r="C156" s="11" t="s">
        <v>97</v>
      </c>
      <c r="E156" s="11" t="s">
        <v>246</v>
      </c>
      <c r="G156" s="24"/>
      <c r="H156" s="11" t="s">
        <v>80</v>
      </c>
      <c r="J156" s="11" t="s">
        <v>80</v>
      </c>
      <c r="L156" s="11" t="s">
        <v>80</v>
      </c>
      <c r="N156" s="11" t="s">
        <v>80</v>
      </c>
      <c r="R156" s="24"/>
      <c r="S156" s="11" t="s">
        <v>82</v>
      </c>
      <c r="U156" s="11" t="s">
        <v>84</v>
      </c>
      <c r="W156" s="11" t="s">
        <v>82</v>
      </c>
    </row>
    <row r="157" spans="1:26" ht="76.5" x14ac:dyDescent="0.2">
      <c r="A157" s="11">
        <v>156</v>
      </c>
      <c r="B157" s="24"/>
      <c r="C157" s="11" t="s">
        <v>97</v>
      </c>
      <c r="E157" s="11" t="s">
        <v>246</v>
      </c>
      <c r="F157" s="11" t="s">
        <v>2165</v>
      </c>
      <c r="G157" s="24"/>
      <c r="H157" s="11" t="s">
        <v>80</v>
      </c>
      <c r="J157" s="11" t="s">
        <v>80</v>
      </c>
      <c r="L157" s="11" t="s">
        <v>80</v>
      </c>
      <c r="N157" s="11" t="s">
        <v>80</v>
      </c>
      <c r="R157" s="24"/>
      <c r="S157" s="11" t="s">
        <v>82</v>
      </c>
      <c r="U157" s="11" t="s">
        <v>84</v>
      </c>
      <c r="V157" s="11" t="s">
        <v>2215</v>
      </c>
      <c r="W157" s="11" t="s">
        <v>84</v>
      </c>
    </row>
    <row r="158" spans="1:26" ht="25.5" x14ac:dyDescent="0.2">
      <c r="A158" s="11">
        <v>157</v>
      </c>
      <c r="B158" s="24"/>
      <c r="C158" s="11" t="s">
        <v>118</v>
      </c>
      <c r="G158" s="24"/>
      <c r="H158" s="11" t="s">
        <v>82</v>
      </c>
      <c r="J158" s="11" t="s">
        <v>84</v>
      </c>
      <c r="K158" s="11" t="s">
        <v>2178</v>
      </c>
      <c r="L158" s="11" t="s">
        <v>82</v>
      </c>
      <c r="N158" s="11" t="s">
        <v>82</v>
      </c>
      <c r="P158" s="11" t="s">
        <v>2179</v>
      </c>
      <c r="Q158" s="11" t="s">
        <v>2180</v>
      </c>
      <c r="R158" s="24"/>
      <c r="S158" s="11" t="s">
        <v>84</v>
      </c>
      <c r="U158" s="11" t="s">
        <v>82</v>
      </c>
      <c r="W158" s="11" t="s">
        <v>82</v>
      </c>
    </row>
    <row r="159" spans="1:26" ht="25.5" x14ac:dyDescent="0.2">
      <c r="A159" s="11">
        <v>158</v>
      </c>
      <c r="B159" s="24"/>
      <c r="C159" s="11" t="s">
        <v>97</v>
      </c>
      <c r="E159" s="11" t="s">
        <v>246</v>
      </c>
      <c r="F159" s="11" t="s">
        <v>2166</v>
      </c>
      <c r="G159" s="24"/>
      <c r="H159" s="11" t="s">
        <v>80</v>
      </c>
      <c r="J159" s="11" t="s">
        <v>80</v>
      </c>
      <c r="L159" s="11" t="s">
        <v>80</v>
      </c>
      <c r="N159" s="11" t="s">
        <v>80</v>
      </c>
      <c r="R159" s="24"/>
      <c r="S159" s="11" t="s">
        <v>82</v>
      </c>
      <c r="U159" s="11" t="s">
        <v>84</v>
      </c>
      <c r="V159" s="11" t="s">
        <v>2221</v>
      </c>
      <c r="W159" s="11" t="s">
        <v>82</v>
      </c>
    </row>
    <row r="160" spans="1:26" x14ac:dyDescent="0.2">
      <c r="A160" s="11">
        <v>159</v>
      </c>
      <c r="B160" s="24"/>
      <c r="C160" s="11" t="s">
        <v>97</v>
      </c>
      <c r="E160" s="11" t="s">
        <v>246</v>
      </c>
      <c r="G160" s="24"/>
      <c r="H160" s="11" t="s">
        <v>80</v>
      </c>
      <c r="J160" s="11" t="s">
        <v>80</v>
      </c>
      <c r="L160" s="11" t="s">
        <v>80</v>
      </c>
      <c r="N160" s="11" t="s">
        <v>80</v>
      </c>
      <c r="R160" s="24"/>
      <c r="S160" s="11" t="s">
        <v>84</v>
      </c>
      <c r="T160" s="11" t="s">
        <v>2224</v>
      </c>
      <c r="U160" s="11" t="s">
        <v>82</v>
      </c>
      <c r="W160" s="11" t="s">
        <v>82</v>
      </c>
    </row>
    <row r="161" spans="1:26" x14ac:dyDescent="0.2">
      <c r="A161" s="11">
        <v>160</v>
      </c>
      <c r="B161" s="24"/>
      <c r="C161" s="11" t="s">
        <v>118</v>
      </c>
      <c r="G161" s="24"/>
      <c r="H161" s="11" t="s">
        <v>84</v>
      </c>
      <c r="I161" s="11" t="s">
        <v>2181</v>
      </c>
      <c r="J161" s="11" t="s">
        <v>82</v>
      </c>
      <c r="L161" s="11" t="s">
        <v>82</v>
      </c>
      <c r="N161" s="11" t="s">
        <v>82</v>
      </c>
      <c r="R161" s="24"/>
      <c r="S161" s="11" t="s">
        <v>82</v>
      </c>
      <c r="U161" s="11" t="s">
        <v>84</v>
      </c>
      <c r="W161" s="11" t="s">
        <v>84</v>
      </c>
    </row>
    <row r="162" spans="1:26" ht="25.5" x14ac:dyDescent="0.2">
      <c r="A162" s="11">
        <v>161</v>
      </c>
      <c r="B162" s="24"/>
      <c r="C162" s="11" t="s">
        <v>97</v>
      </c>
      <c r="E162" s="11" t="s">
        <v>246</v>
      </c>
      <c r="F162" s="11" t="s">
        <v>2167</v>
      </c>
      <c r="G162" s="24"/>
      <c r="H162" s="11" t="s">
        <v>80</v>
      </c>
      <c r="J162" s="11" t="s">
        <v>80</v>
      </c>
      <c r="L162" s="11" t="s">
        <v>80</v>
      </c>
      <c r="N162" s="11" t="s">
        <v>80</v>
      </c>
      <c r="R162" s="24"/>
      <c r="S162" s="11" t="s">
        <v>84</v>
      </c>
      <c r="T162" s="11" t="s">
        <v>1456</v>
      </c>
      <c r="U162" s="11" t="s">
        <v>82</v>
      </c>
      <c r="W162" s="11" t="s">
        <v>82</v>
      </c>
    </row>
    <row r="163" spans="1:26" x14ac:dyDescent="0.2">
      <c r="A163" s="11">
        <v>162</v>
      </c>
      <c r="B163" s="24"/>
      <c r="C163" s="11" t="s">
        <v>118</v>
      </c>
      <c r="G163" s="24"/>
      <c r="H163" s="11" t="s">
        <v>82</v>
      </c>
      <c r="J163" s="11" t="s">
        <v>84</v>
      </c>
      <c r="L163" s="11" t="s">
        <v>82</v>
      </c>
      <c r="N163" s="11" t="s">
        <v>82</v>
      </c>
      <c r="R163" s="24"/>
      <c r="S163" s="11" t="s">
        <v>84</v>
      </c>
      <c r="U163" s="11" t="s">
        <v>82</v>
      </c>
      <c r="W163" s="11" t="s">
        <v>82</v>
      </c>
    </row>
    <row r="164" spans="1:26" x14ac:dyDescent="0.2">
      <c r="A164" s="11">
        <v>163</v>
      </c>
      <c r="B164" s="24"/>
      <c r="C164" s="11" t="s">
        <v>99</v>
      </c>
      <c r="G164" s="24"/>
      <c r="H164" s="11" t="s">
        <v>82</v>
      </c>
      <c r="J164" s="11" t="s">
        <v>84</v>
      </c>
      <c r="L164" s="11" t="s">
        <v>82</v>
      </c>
      <c r="N164" s="11" t="s">
        <v>82</v>
      </c>
      <c r="R164" s="24"/>
      <c r="S164" s="11" t="s">
        <v>84</v>
      </c>
      <c r="U164" s="11" t="s">
        <v>82</v>
      </c>
      <c r="W164" s="11" t="s">
        <v>82</v>
      </c>
    </row>
    <row r="165" spans="1:26" x14ac:dyDescent="0.2">
      <c r="A165" s="11">
        <v>164</v>
      </c>
      <c r="B165" s="24"/>
      <c r="C165" s="11" t="s">
        <v>118</v>
      </c>
      <c r="G165" s="24"/>
      <c r="H165" s="11" t="s">
        <v>84</v>
      </c>
      <c r="I165" s="11" t="s">
        <v>2176</v>
      </c>
      <c r="J165" s="11" t="s">
        <v>84</v>
      </c>
      <c r="K165" s="11" t="s">
        <v>2182</v>
      </c>
      <c r="L165" s="11" t="s">
        <v>82</v>
      </c>
      <c r="N165" s="11" t="s">
        <v>82</v>
      </c>
      <c r="R165" s="24"/>
      <c r="S165" s="11" t="s">
        <v>84</v>
      </c>
      <c r="T165" s="11" t="s">
        <v>2230</v>
      </c>
      <c r="U165" s="11" t="s">
        <v>84</v>
      </c>
      <c r="V165" s="11" t="s">
        <v>2231</v>
      </c>
      <c r="W165" s="11" t="s">
        <v>84</v>
      </c>
      <c r="X165" s="11" t="s">
        <v>112</v>
      </c>
    </row>
    <row r="166" spans="1:26" x14ac:dyDescent="0.2">
      <c r="A166" s="11">
        <v>165</v>
      </c>
      <c r="B166" s="24"/>
      <c r="C166" s="11" t="s">
        <v>118</v>
      </c>
      <c r="G166" s="24"/>
      <c r="H166" s="11" t="s">
        <v>84</v>
      </c>
      <c r="J166" s="11" t="s">
        <v>84</v>
      </c>
      <c r="L166" s="11" t="s">
        <v>82</v>
      </c>
      <c r="N166" s="11" t="s">
        <v>84</v>
      </c>
      <c r="O166" s="11" t="s">
        <v>2183</v>
      </c>
      <c r="R166" s="24"/>
      <c r="S166" s="11" t="s">
        <v>84</v>
      </c>
      <c r="U166" s="11" t="s">
        <v>82</v>
      </c>
      <c r="W166" s="11" t="s">
        <v>82</v>
      </c>
    </row>
    <row r="167" spans="1:26" x14ac:dyDescent="0.2">
      <c r="A167" s="11">
        <v>166</v>
      </c>
      <c r="B167" s="24"/>
      <c r="C167" s="11" t="s">
        <v>118</v>
      </c>
      <c r="G167" s="24"/>
      <c r="H167" s="11" t="s">
        <v>84</v>
      </c>
      <c r="J167" s="11" t="s">
        <v>84</v>
      </c>
      <c r="L167" s="11" t="s">
        <v>82</v>
      </c>
      <c r="N167" s="11" t="s">
        <v>82</v>
      </c>
      <c r="R167" s="24"/>
      <c r="S167" s="11" t="s">
        <v>84</v>
      </c>
      <c r="U167" s="11" t="s">
        <v>82</v>
      </c>
      <c r="W167" s="11" t="s">
        <v>82</v>
      </c>
    </row>
    <row r="168" spans="1:26" x14ac:dyDescent="0.2">
      <c r="A168" s="11">
        <v>167</v>
      </c>
      <c r="B168" s="24"/>
      <c r="C168" s="11" t="s">
        <v>97</v>
      </c>
      <c r="E168" s="11" t="s">
        <v>246</v>
      </c>
      <c r="G168" s="24"/>
      <c r="H168" s="11" t="s">
        <v>80</v>
      </c>
      <c r="J168" s="11" t="s">
        <v>80</v>
      </c>
      <c r="L168" s="11" t="s">
        <v>80</v>
      </c>
      <c r="N168" s="11" t="s">
        <v>80</v>
      </c>
      <c r="R168" s="24"/>
      <c r="S168" s="11" t="s">
        <v>84</v>
      </c>
      <c r="U168" s="11" t="s">
        <v>84</v>
      </c>
      <c r="W168" s="11" t="s">
        <v>82</v>
      </c>
    </row>
    <row r="169" spans="1:26" x14ac:dyDescent="0.2">
      <c r="A169" s="11">
        <v>168</v>
      </c>
      <c r="B169" s="24"/>
      <c r="C169" s="11" t="s">
        <v>97</v>
      </c>
      <c r="E169" s="11" t="s">
        <v>246</v>
      </c>
      <c r="G169" s="24"/>
      <c r="H169" s="11" t="s">
        <v>80</v>
      </c>
      <c r="J169" s="11" t="s">
        <v>80</v>
      </c>
      <c r="L169" s="11" t="s">
        <v>80</v>
      </c>
      <c r="N169" s="11" t="s">
        <v>80</v>
      </c>
      <c r="R169" s="24"/>
      <c r="S169" s="11" t="s">
        <v>84</v>
      </c>
      <c r="U169" s="11" t="s">
        <v>82</v>
      </c>
      <c r="W169" s="11" t="s">
        <v>82</v>
      </c>
    </row>
    <row r="170" spans="1:26" x14ac:dyDescent="0.2">
      <c r="A170" s="11">
        <v>169</v>
      </c>
      <c r="B170" s="24"/>
      <c r="C170" s="11" t="s">
        <v>97</v>
      </c>
      <c r="E170" s="11" t="s">
        <v>246</v>
      </c>
      <c r="G170" s="24"/>
      <c r="H170" s="11" t="s">
        <v>80</v>
      </c>
      <c r="J170" s="11" t="s">
        <v>80</v>
      </c>
      <c r="L170" s="11" t="s">
        <v>80</v>
      </c>
      <c r="N170" s="11" t="s">
        <v>80</v>
      </c>
      <c r="R170" s="24"/>
      <c r="S170" s="11" t="s">
        <v>84</v>
      </c>
      <c r="U170" s="11" t="s">
        <v>84</v>
      </c>
      <c r="W170" s="11" t="s">
        <v>82</v>
      </c>
    </row>
    <row r="171" spans="1:26" ht="38.25" x14ac:dyDescent="0.2">
      <c r="A171" s="11">
        <v>170</v>
      </c>
      <c r="B171" s="24"/>
      <c r="C171" s="11" t="s">
        <v>97</v>
      </c>
      <c r="E171" s="11" t="s">
        <v>246</v>
      </c>
      <c r="F171" s="11" t="s">
        <v>2168</v>
      </c>
      <c r="G171" s="24"/>
      <c r="H171" s="11" t="s">
        <v>80</v>
      </c>
      <c r="J171" s="11" t="s">
        <v>80</v>
      </c>
      <c r="L171" s="11" t="s">
        <v>80</v>
      </c>
      <c r="N171" s="11" t="s">
        <v>80</v>
      </c>
      <c r="R171" s="24"/>
      <c r="S171" s="11" t="s">
        <v>84</v>
      </c>
      <c r="U171" s="11" t="s">
        <v>82</v>
      </c>
      <c r="W171" s="11" t="s">
        <v>82</v>
      </c>
    </row>
    <row r="172" spans="1:26" x14ac:dyDescent="0.2">
      <c r="A172" s="11">
        <v>171</v>
      </c>
      <c r="B172" s="24"/>
      <c r="C172" s="11" t="s">
        <v>99</v>
      </c>
      <c r="G172" s="24"/>
      <c r="H172" s="11" t="s">
        <v>82</v>
      </c>
      <c r="J172" s="11" t="s">
        <v>84</v>
      </c>
      <c r="L172" s="11" t="s">
        <v>82</v>
      </c>
      <c r="N172" s="11" t="s">
        <v>82</v>
      </c>
      <c r="R172" s="24"/>
      <c r="S172" s="11" t="s">
        <v>84</v>
      </c>
      <c r="U172" s="11" t="s">
        <v>82</v>
      </c>
      <c r="W172" s="11" t="s">
        <v>82</v>
      </c>
    </row>
    <row r="173" spans="1:26" x14ac:dyDescent="0.2">
      <c r="A173" s="11">
        <v>172</v>
      </c>
      <c r="B173" s="24"/>
      <c r="C173" s="11" t="s">
        <v>99</v>
      </c>
      <c r="G173" s="24"/>
      <c r="H173" s="11" t="s">
        <v>82</v>
      </c>
      <c r="J173" s="11" t="s">
        <v>84</v>
      </c>
      <c r="L173" s="11" t="s">
        <v>82</v>
      </c>
      <c r="N173" s="11" t="s">
        <v>82</v>
      </c>
      <c r="R173" s="24"/>
      <c r="S173" s="11" t="s">
        <v>84</v>
      </c>
      <c r="U173" s="11" t="s">
        <v>84</v>
      </c>
      <c r="W173" s="11" t="s">
        <v>82</v>
      </c>
      <c r="Y173" s="11" t="s">
        <v>2242</v>
      </c>
      <c r="Z173" s="11" t="s">
        <v>2243</v>
      </c>
    </row>
    <row r="174" spans="1:26" ht="89.25" x14ac:dyDescent="0.2">
      <c r="A174" s="11">
        <v>173</v>
      </c>
      <c r="B174" s="24"/>
      <c r="C174" s="11" t="s">
        <v>97</v>
      </c>
      <c r="E174" s="11" t="s">
        <v>246</v>
      </c>
      <c r="F174" s="11" t="s">
        <v>2169</v>
      </c>
      <c r="G174" s="24"/>
      <c r="H174" s="11" t="s">
        <v>80</v>
      </c>
      <c r="J174" s="11" t="s">
        <v>80</v>
      </c>
      <c r="L174" s="11" t="s">
        <v>80</v>
      </c>
      <c r="N174" s="11" t="s">
        <v>80</v>
      </c>
      <c r="R174" s="24"/>
      <c r="S174" s="11" t="s">
        <v>84</v>
      </c>
      <c r="U174" s="11" t="s">
        <v>82</v>
      </c>
      <c r="W174" s="11" t="s">
        <v>82</v>
      </c>
    </row>
    <row r="175" spans="1:26" x14ac:dyDescent="0.2">
      <c r="A175" s="11">
        <v>174</v>
      </c>
      <c r="B175" s="24"/>
      <c r="C175" s="11" t="s">
        <v>97</v>
      </c>
      <c r="E175" s="11" t="s">
        <v>246</v>
      </c>
      <c r="G175" s="24"/>
      <c r="H175" s="11" t="s">
        <v>80</v>
      </c>
      <c r="J175" s="11" t="s">
        <v>80</v>
      </c>
      <c r="L175" s="11" t="s">
        <v>80</v>
      </c>
      <c r="N175" s="11" t="s">
        <v>80</v>
      </c>
      <c r="R175" s="24"/>
      <c r="S175" s="11" t="s">
        <v>84</v>
      </c>
      <c r="U175" s="11" t="s">
        <v>84</v>
      </c>
      <c r="W175" s="11" t="s">
        <v>84</v>
      </c>
    </row>
    <row r="176" spans="1:26" ht="25.5" x14ac:dyDescent="0.2">
      <c r="A176" s="11">
        <v>175</v>
      </c>
      <c r="B176" s="24"/>
      <c r="C176" s="11" t="s">
        <v>118</v>
      </c>
      <c r="G176" s="24"/>
      <c r="H176" s="11" t="s">
        <v>84</v>
      </c>
      <c r="I176" s="11" t="s">
        <v>2184</v>
      </c>
      <c r="J176" s="11" t="s">
        <v>82</v>
      </c>
      <c r="L176" s="11" t="s">
        <v>84</v>
      </c>
      <c r="M176" s="11" t="s">
        <v>2185</v>
      </c>
      <c r="N176" s="11" t="s">
        <v>82</v>
      </c>
      <c r="R176" s="24"/>
      <c r="S176" s="11" t="s">
        <v>84</v>
      </c>
      <c r="U176" s="11" t="s">
        <v>84</v>
      </c>
      <c r="W176" s="11" t="s">
        <v>82</v>
      </c>
    </row>
    <row r="177" spans="1:26" x14ac:dyDescent="0.2">
      <c r="A177" s="11">
        <v>176</v>
      </c>
      <c r="B177" s="24"/>
      <c r="C177" s="11" t="s">
        <v>118</v>
      </c>
      <c r="G177" s="24"/>
      <c r="H177" s="11" t="s">
        <v>82</v>
      </c>
      <c r="J177" s="11" t="s">
        <v>84</v>
      </c>
      <c r="L177" s="11" t="s">
        <v>82</v>
      </c>
      <c r="N177" s="11" t="s">
        <v>82</v>
      </c>
      <c r="R177" s="24"/>
      <c r="S177" s="11" t="s">
        <v>84</v>
      </c>
      <c r="U177" s="11" t="s">
        <v>82</v>
      </c>
      <c r="W177" s="11" t="s">
        <v>82</v>
      </c>
    </row>
    <row r="178" spans="1:26" x14ac:dyDescent="0.2">
      <c r="A178" s="11">
        <v>177</v>
      </c>
      <c r="B178" s="24"/>
      <c r="C178" s="11" t="s">
        <v>97</v>
      </c>
      <c r="E178" s="11" t="s">
        <v>81</v>
      </c>
      <c r="G178" s="24"/>
      <c r="H178" s="11" t="s">
        <v>80</v>
      </c>
      <c r="J178" s="11" t="s">
        <v>80</v>
      </c>
      <c r="L178" s="11" t="s">
        <v>80</v>
      </c>
      <c r="N178" s="11" t="s">
        <v>80</v>
      </c>
      <c r="R178" s="24"/>
      <c r="S178" s="11" t="s">
        <v>84</v>
      </c>
      <c r="U178" s="11" t="s">
        <v>84</v>
      </c>
      <c r="W178" s="11" t="s">
        <v>82</v>
      </c>
    </row>
    <row r="179" spans="1:26" ht="25.5" x14ac:dyDescent="0.2">
      <c r="A179" s="11">
        <v>178</v>
      </c>
      <c r="B179" s="24"/>
      <c r="C179" s="11" t="s">
        <v>118</v>
      </c>
      <c r="G179" s="24"/>
      <c r="H179" s="11" t="s">
        <v>84</v>
      </c>
      <c r="I179" s="11" t="s">
        <v>2177</v>
      </c>
      <c r="J179" s="11" t="s">
        <v>84</v>
      </c>
      <c r="K179" s="11" t="s">
        <v>2186</v>
      </c>
      <c r="L179" s="11" t="s">
        <v>82</v>
      </c>
      <c r="N179" s="11" t="s">
        <v>82</v>
      </c>
      <c r="P179" s="11" t="s">
        <v>2187</v>
      </c>
      <c r="Q179" s="11" t="s">
        <v>2188</v>
      </c>
      <c r="R179" s="24"/>
      <c r="S179" s="11" t="s">
        <v>82</v>
      </c>
      <c r="U179" s="11" t="s">
        <v>84</v>
      </c>
      <c r="V179" s="11" t="s">
        <v>2252</v>
      </c>
      <c r="W179" s="11" t="s">
        <v>82</v>
      </c>
    </row>
    <row r="180" spans="1:26" x14ac:dyDescent="0.2">
      <c r="A180" s="11">
        <v>179</v>
      </c>
      <c r="B180" s="24"/>
      <c r="C180" s="11" t="s">
        <v>99</v>
      </c>
      <c r="G180" s="24"/>
      <c r="H180" s="11" t="s">
        <v>84</v>
      </c>
      <c r="J180" s="11" t="s">
        <v>84</v>
      </c>
      <c r="L180" s="11" t="s">
        <v>82</v>
      </c>
      <c r="N180" s="11" t="s">
        <v>82</v>
      </c>
      <c r="R180" s="24"/>
      <c r="S180" s="11" t="s">
        <v>82</v>
      </c>
      <c r="U180" s="11" t="s">
        <v>82</v>
      </c>
      <c r="W180" s="11" t="s">
        <v>82</v>
      </c>
      <c r="Y180" s="11" t="s">
        <v>2255</v>
      </c>
      <c r="Z180" s="11" t="s">
        <v>2256</v>
      </c>
    </row>
    <row r="181" spans="1:26" ht="63.75" x14ac:dyDescent="0.2">
      <c r="A181" s="11">
        <v>180</v>
      </c>
      <c r="B181" s="24"/>
      <c r="C181" s="11" t="s">
        <v>119</v>
      </c>
      <c r="D181" s="11" t="s">
        <v>2170</v>
      </c>
      <c r="E181" s="11" t="s">
        <v>246</v>
      </c>
      <c r="G181" s="24"/>
      <c r="H181" s="11" t="s">
        <v>82</v>
      </c>
      <c r="J181" s="11" t="s">
        <v>84</v>
      </c>
      <c r="K181" s="11" t="s">
        <v>423</v>
      </c>
      <c r="L181" s="11" t="s">
        <v>82</v>
      </c>
      <c r="N181" s="11" t="s">
        <v>82</v>
      </c>
      <c r="R181" s="24"/>
      <c r="S181" s="11" t="s">
        <v>84</v>
      </c>
      <c r="T181" s="11" t="s">
        <v>2259</v>
      </c>
      <c r="U181" s="11" t="s">
        <v>82</v>
      </c>
      <c r="W181" s="11" t="s">
        <v>82</v>
      </c>
    </row>
    <row r="182" spans="1:26" x14ac:dyDescent="0.2">
      <c r="A182" s="11">
        <v>181</v>
      </c>
      <c r="B182" s="24"/>
      <c r="C182" s="11" t="s">
        <v>99</v>
      </c>
      <c r="G182" s="24"/>
      <c r="H182" s="11" t="s">
        <v>82</v>
      </c>
      <c r="J182" s="11" t="s">
        <v>84</v>
      </c>
      <c r="L182" s="11" t="s">
        <v>82</v>
      </c>
      <c r="N182" s="11" t="s">
        <v>82</v>
      </c>
      <c r="R182" s="24"/>
      <c r="S182" s="11" t="s">
        <v>82</v>
      </c>
      <c r="U182" s="11" t="s">
        <v>82</v>
      </c>
      <c r="W182" s="11" t="s">
        <v>84</v>
      </c>
    </row>
    <row r="183" spans="1:26" ht="25.5" x14ac:dyDescent="0.2">
      <c r="A183" s="11">
        <v>182</v>
      </c>
      <c r="B183" s="24"/>
      <c r="C183" s="11" t="s">
        <v>97</v>
      </c>
      <c r="E183" s="11" t="s">
        <v>246</v>
      </c>
      <c r="F183" s="11" t="s">
        <v>2171</v>
      </c>
      <c r="G183" s="24"/>
      <c r="H183" s="11" t="s">
        <v>80</v>
      </c>
      <c r="J183" s="11" t="s">
        <v>80</v>
      </c>
      <c r="L183" s="11" t="s">
        <v>80</v>
      </c>
      <c r="N183" s="11" t="s">
        <v>80</v>
      </c>
      <c r="R183" s="24"/>
      <c r="S183" s="11" t="s">
        <v>84</v>
      </c>
      <c r="T183" s="11" t="s">
        <v>2261</v>
      </c>
      <c r="U183" s="11" t="s">
        <v>82</v>
      </c>
      <c r="W183" s="11" t="s">
        <v>82</v>
      </c>
    </row>
    <row r="184" spans="1:26" x14ac:dyDescent="0.2">
      <c r="A184" s="11">
        <v>183</v>
      </c>
      <c r="B184" s="24"/>
      <c r="C184" s="11" t="s">
        <v>97</v>
      </c>
      <c r="E184" s="11" t="s">
        <v>246</v>
      </c>
      <c r="G184" s="24"/>
      <c r="H184" s="11" t="s">
        <v>80</v>
      </c>
      <c r="J184" s="11" t="s">
        <v>80</v>
      </c>
      <c r="L184" s="11" t="s">
        <v>80</v>
      </c>
      <c r="N184" s="11" t="s">
        <v>80</v>
      </c>
      <c r="R184" s="24"/>
      <c r="S184" s="11" t="s">
        <v>84</v>
      </c>
      <c r="U184" s="11" t="s">
        <v>82</v>
      </c>
      <c r="W184" s="11" t="s">
        <v>84</v>
      </c>
    </row>
    <row r="185" spans="1:26" x14ac:dyDescent="0.2">
      <c r="A185" s="11">
        <v>184</v>
      </c>
      <c r="B185" s="24"/>
      <c r="C185" s="11" t="s">
        <v>118</v>
      </c>
      <c r="G185" s="24"/>
      <c r="H185" s="11" t="s">
        <v>84</v>
      </c>
      <c r="I185" s="11" t="s">
        <v>2189</v>
      </c>
      <c r="J185" s="11" t="s">
        <v>82</v>
      </c>
      <c r="L185" s="11" t="s">
        <v>82</v>
      </c>
      <c r="N185" s="11" t="s">
        <v>82</v>
      </c>
      <c r="R185" s="24"/>
      <c r="S185" s="11" t="s">
        <v>82</v>
      </c>
      <c r="U185" s="11" t="s">
        <v>84</v>
      </c>
      <c r="V185" s="11" t="s">
        <v>2265</v>
      </c>
      <c r="W185" s="11" t="s">
        <v>82</v>
      </c>
    </row>
    <row r="186" spans="1:26" x14ac:dyDescent="0.2">
      <c r="A186" s="11">
        <v>185</v>
      </c>
      <c r="B186" s="24"/>
      <c r="C186" s="11" t="s">
        <v>99</v>
      </c>
      <c r="G186" s="24"/>
      <c r="H186" s="11" t="s">
        <v>84</v>
      </c>
      <c r="J186" s="11" t="s">
        <v>82</v>
      </c>
      <c r="L186" s="11" t="s">
        <v>82</v>
      </c>
      <c r="N186" s="11" t="s">
        <v>82</v>
      </c>
      <c r="R186" s="24"/>
      <c r="S186" s="11" t="s">
        <v>84</v>
      </c>
      <c r="U186" s="11" t="s">
        <v>82</v>
      </c>
      <c r="W186" s="11" t="s">
        <v>82</v>
      </c>
    </row>
    <row r="187" spans="1:26" x14ac:dyDescent="0.2">
      <c r="A187" s="11">
        <v>186</v>
      </c>
      <c r="B187" s="24"/>
      <c r="C187" s="11" t="s">
        <v>118</v>
      </c>
      <c r="G187" s="24"/>
      <c r="H187" s="11" t="s">
        <v>84</v>
      </c>
      <c r="J187" s="11" t="s">
        <v>84</v>
      </c>
      <c r="L187" s="11" t="s">
        <v>82</v>
      </c>
      <c r="N187" s="11" t="s">
        <v>82</v>
      </c>
      <c r="R187" s="24"/>
      <c r="S187" s="11" t="s">
        <v>82</v>
      </c>
      <c r="U187" s="11" t="s">
        <v>82</v>
      </c>
      <c r="W187" s="11" t="s">
        <v>84</v>
      </c>
    </row>
    <row r="188" spans="1:26" x14ac:dyDescent="0.2">
      <c r="A188" s="11">
        <v>187</v>
      </c>
      <c r="B188" s="24"/>
      <c r="C188" s="11" t="s">
        <v>97</v>
      </c>
      <c r="E188" s="11" t="s">
        <v>246</v>
      </c>
      <c r="G188" s="24"/>
      <c r="H188" s="11" t="s">
        <v>80</v>
      </c>
      <c r="J188" s="11" t="s">
        <v>80</v>
      </c>
      <c r="L188" s="11" t="s">
        <v>80</v>
      </c>
      <c r="N188" s="11" t="s">
        <v>80</v>
      </c>
      <c r="R188" s="24"/>
      <c r="S188" s="11" t="s">
        <v>84</v>
      </c>
      <c r="U188" s="11" t="s">
        <v>84</v>
      </c>
      <c r="W188" s="11" t="s">
        <v>82</v>
      </c>
    </row>
    <row r="189" spans="1:26" x14ac:dyDescent="0.2">
      <c r="A189" s="11">
        <v>188</v>
      </c>
      <c r="B189" s="24"/>
      <c r="C189" s="11" t="s">
        <v>97</v>
      </c>
      <c r="E189" s="11" t="s">
        <v>246</v>
      </c>
      <c r="G189" s="24"/>
      <c r="H189" s="11" t="s">
        <v>80</v>
      </c>
      <c r="J189" s="11" t="s">
        <v>80</v>
      </c>
      <c r="L189" s="11" t="s">
        <v>80</v>
      </c>
      <c r="N189" s="11" t="s">
        <v>80</v>
      </c>
      <c r="R189" s="24"/>
      <c r="S189" s="11" t="s">
        <v>82</v>
      </c>
      <c r="U189" s="11" t="s">
        <v>82</v>
      </c>
      <c r="W189" s="11" t="s">
        <v>84</v>
      </c>
    </row>
    <row r="190" spans="1:26" x14ac:dyDescent="0.2">
      <c r="A190" s="11">
        <v>189</v>
      </c>
      <c r="B190" s="24"/>
      <c r="C190" s="11" t="s">
        <v>99</v>
      </c>
      <c r="G190" s="24"/>
      <c r="H190" s="11" t="s">
        <v>82</v>
      </c>
      <c r="J190" s="11" t="s">
        <v>84</v>
      </c>
      <c r="L190" s="11" t="s">
        <v>82</v>
      </c>
      <c r="N190" s="11" t="s">
        <v>82</v>
      </c>
      <c r="R190" s="24"/>
      <c r="S190" s="11" t="s">
        <v>84</v>
      </c>
      <c r="U190" s="11" t="s">
        <v>82</v>
      </c>
      <c r="W190" s="11" t="s">
        <v>82</v>
      </c>
    </row>
    <row r="191" spans="1:26" x14ac:dyDescent="0.2">
      <c r="A191" s="11">
        <v>190</v>
      </c>
      <c r="B191" s="24"/>
      <c r="C191" s="11" t="s">
        <v>99</v>
      </c>
      <c r="G191" s="24"/>
      <c r="H191" s="11" t="s">
        <v>82</v>
      </c>
      <c r="J191" s="11" t="s">
        <v>84</v>
      </c>
      <c r="K191" s="11" t="s">
        <v>2190</v>
      </c>
      <c r="L191" s="11" t="s">
        <v>82</v>
      </c>
      <c r="N191" s="11" t="s">
        <v>82</v>
      </c>
      <c r="R191" s="24"/>
      <c r="S191" s="11" t="s">
        <v>84</v>
      </c>
      <c r="T191" s="11" t="s">
        <v>4173</v>
      </c>
      <c r="U191" s="11" t="s">
        <v>82</v>
      </c>
      <c r="W191" s="11" t="s">
        <v>82</v>
      </c>
    </row>
    <row r="192" spans="1:26" x14ac:dyDescent="0.2">
      <c r="A192" s="11">
        <v>191</v>
      </c>
      <c r="B192" s="24"/>
      <c r="C192" s="11" t="s">
        <v>99</v>
      </c>
      <c r="G192" s="24"/>
      <c r="H192" s="11" t="s">
        <v>84</v>
      </c>
      <c r="J192" s="11" t="s">
        <v>84</v>
      </c>
      <c r="L192" s="11" t="s">
        <v>84</v>
      </c>
      <c r="N192" s="11" t="s">
        <v>82</v>
      </c>
      <c r="R192" s="24"/>
      <c r="S192" s="11" t="s">
        <v>82</v>
      </c>
      <c r="U192" s="11" t="s">
        <v>84</v>
      </c>
      <c r="W192" s="11" t="s">
        <v>82</v>
      </c>
    </row>
    <row r="193" spans="1:26" x14ac:dyDescent="0.2">
      <c r="A193" s="11">
        <v>192</v>
      </c>
      <c r="B193" s="24"/>
      <c r="C193" s="11" t="s">
        <v>118</v>
      </c>
      <c r="G193" s="24"/>
      <c r="H193" s="11" t="s">
        <v>84</v>
      </c>
      <c r="I193" s="11" t="s">
        <v>2177</v>
      </c>
      <c r="J193" s="11" t="s">
        <v>84</v>
      </c>
      <c r="K193" s="11" t="s">
        <v>2191</v>
      </c>
      <c r="L193" s="11" t="s">
        <v>82</v>
      </c>
      <c r="N193" s="11" t="s">
        <v>82</v>
      </c>
      <c r="R193" s="24"/>
      <c r="S193" s="11" t="s">
        <v>84</v>
      </c>
      <c r="T193" s="11" t="s">
        <v>1456</v>
      </c>
      <c r="U193" s="11" t="s">
        <v>82</v>
      </c>
      <c r="W193" s="11" t="s">
        <v>82</v>
      </c>
    </row>
    <row r="194" spans="1:26" x14ac:dyDescent="0.2">
      <c r="A194" s="11">
        <v>193</v>
      </c>
      <c r="B194" s="24"/>
      <c r="C194" s="11" t="s">
        <v>99</v>
      </c>
      <c r="G194" s="24"/>
      <c r="H194" s="11" t="s">
        <v>82</v>
      </c>
      <c r="J194" s="11" t="s">
        <v>84</v>
      </c>
      <c r="L194" s="11" t="s">
        <v>82</v>
      </c>
      <c r="N194" s="11" t="s">
        <v>82</v>
      </c>
      <c r="R194" s="24"/>
      <c r="S194" s="11" t="s">
        <v>84</v>
      </c>
      <c r="U194" s="11" t="s">
        <v>82</v>
      </c>
      <c r="W194" s="11" t="s">
        <v>82</v>
      </c>
    </row>
    <row r="195" spans="1:26" x14ac:dyDescent="0.2">
      <c r="A195" s="11">
        <v>194</v>
      </c>
      <c r="B195" s="24"/>
      <c r="C195" s="11" t="s">
        <v>118</v>
      </c>
      <c r="G195" s="24"/>
      <c r="H195" s="11" t="s">
        <v>82</v>
      </c>
      <c r="J195" s="11" t="s">
        <v>84</v>
      </c>
      <c r="K195" s="11" t="s">
        <v>4174</v>
      </c>
      <c r="L195" s="11" t="s">
        <v>82</v>
      </c>
      <c r="N195" s="11" t="s">
        <v>82</v>
      </c>
      <c r="R195" s="24"/>
      <c r="S195" s="11" t="s">
        <v>84</v>
      </c>
      <c r="T195" s="11" t="s">
        <v>860</v>
      </c>
      <c r="U195" s="11" t="s">
        <v>82</v>
      </c>
      <c r="W195" s="11" t="s">
        <v>82</v>
      </c>
    </row>
    <row r="196" spans="1:26" ht="25.5" x14ac:dyDescent="0.2">
      <c r="A196" s="11">
        <v>195</v>
      </c>
      <c r="B196" s="24"/>
      <c r="C196" s="11" t="s">
        <v>119</v>
      </c>
      <c r="D196" s="11" t="s">
        <v>2494</v>
      </c>
      <c r="E196" s="11" t="s">
        <v>246</v>
      </c>
      <c r="F196" s="11" t="s">
        <v>2495</v>
      </c>
      <c r="G196" s="24"/>
      <c r="H196" s="11" t="s">
        <v>82</v>
      </c>
      <c r="J196" s="11" t="s">
        <v>84</v>
      </c>
      <c r="K196" s="11" t="s">
        <v>2496</v>
      </c>
      <c r="L196" s="11" t="s">
        <v>82</v>
      </c>
      <c r="N196" s="11" t="s">
        <v>82</v>
      </c>
      <c r="R196" s="24"/>
      <c r="S196" s="11" t="s">
        <v>84</v>
      </c>
      <c r="U196" s="11" t="s">
        <v>82</v>
      </c>
      <c r="W196" s="11" t="s">
        <v>82</v>
      </c>
    </row>
    <row r="197" spans="1:26" x14ac:dyDescent="0.2">
      <c r="A197" s="11">
        <v>196</v>
      </c>
      <c r="B197" s="24"/>
      <c r="C197" s="11" t="s">
        <v>99</v>
      </c>
      <c r="G197" s="24"/>
      <c r="H197" s="11" t="s">
        <v>82</v>
      </c>
      <c r="J197" s="11" t="s">
        <v>84</v>
      </c>
      <c r="L197" s="11" t="s">
        <v>84</v>
      </c>
      <c r="N197" s="11" t="s">
        <v>82</v>
      </c>
      <c r="R197" s="24"/>
      <c r="S197" s="11" t="s">
        <v>84</v>
      </c>
      <c r="T197" s="11" t="s">
        <v>2507</v>
      </c>
      <c r="U197" s="11" t="s">
        <v>82</v>
      </c>
      <c r="W197" s="11" t="s">
        <v>82</v>
      </c>
    </row>
    <row r="198" spans="1:26" x14ac:dyDescent="0.2">
      <c r="A198" s="11">
        <v>197</v>
      </c>
      <c r="B198" s="33"/>
      <c r="C198" s="33" t="s">
        <v>118</v>
      </c>
      <c r="D198" s="33"/>
      <c r="E198" s="33"/>
      <c r="F198" s="33"/>
      <c r="G198" s="33"/>
      <c r="H198" s="33" t="s">
        <v>82</v>
      </c>
      <c r="I198" s="33"/>
      <c r="J198" s="33" t="s">
        <v>84</v>
      </c>
      <c r="K198" s="33"/>
      <c r="L198" s="33" t="s">
        <v>82</v>
      </c>
      <c r="M198" s="33"/>
      <c r="N198" s="33" t="s">
        <v>82</v>
      </c>
      <c r="O198" s="33"/>
      <c r="P198" s="33"/>
      <c r="Q198" s="33"/>
      <c r="R198" s="33"/>
      <c r="S198" s="33" t="s">
        <v>84</v>
      </c>
      <c r="T198" s="33"/>
      <c r="U198" s="33" t="s">
        <v>84</v>
      </c>
      <c r="V198" s="33"/>
      <c r="W198" s="33" t="s">
        <v>84</v>
      </c>
      <c r="X198" s="33"/>
      <c r="Y198" s="33"/>
      <c r="Z198" s="33"/>
    </row>
    <row r="199" spans="1:26" x14ac:dyDescent="0.2">
      <c r="A199" s="11">
        <v>198</v>
      </c>
      <c r="B199" s="33"/>
      <c r="C199" s="33"/>
      <c r="D199" s="33"/>
      <c r="E199" s="33"/>
      <c r="F199" s="33"/>
      <c r="G199" s="33"/>
      <c r="H199" s="33" t="s">
        <v>80</v>
      </c>
      <c r="I199" s="33"/>
      <c r="J199" s="33" t="s">
        <v>80</v>
      </c>
      <c r="K199" s="33"/>
      <c r="L199" s="33" t="s">
        <v>80</v>
      </c>
      <c r="M199" s="33"/>
      <c r="N199" s="33" t="s">
        <v>80</v>
      </c>
      <c r="O199" s="33"/>
      <c r="P199" s="33"/>
      <c r="Q199" s="33"/>
      <c r="R199" s="33"/>
      <c r="S199" s="33" t="s">
        <v>80</v>
      </c>
      <c r="T199" s="33"/>
      <c r="U199" s="33" t="s">
        <v>80</v>
      </c>
      <c r="V199" s="33"/>
      <c r="W199" s="33" t="s">
        <v>80</v>
      </c>
      <c r="X199" s="33"/>
      <c r="Y199" s="33"/>
      <c r="Z199" s="33"/>
    </row>
    <row r="200" spans="1:26" x14ac:dyDescent="0.2">
      <c r="A200" s="11">
        <v>199</v>
      </c>
      <c r="B200" s="24"/>
      <c r="C200" s="11" t="s">
        <v>99</v>
      </c>
      <c r="G200" s="24"/>
      <c r="H200" s="11" t="s">
        <v>82</v>
      </c>
      <c r="J200" s="11" t="s">
        <v>82</v>
      </c>
      <c r="L200" s="11" t="s">
        <v>84</v>
      </c>
      <c r="N200" s="11" t="s">
        <v>84</v>
      </c>
      <c r="R200" s="24"/>
      <c r="S200" s="11" t="s">
        <v>84</v>
      </c>
      <c r="U200" s="11" t="s">
        <v>84</v>
      </c>
      <c r="W200" s="11" t="s">
        <v>82</v>
      </c>
    </row>
    <row r="201" spans="1:26" x14ac:dyDescent="0.2">
      <c r="A201" s="11">
        <v>200</v>
      </c>
      <c r="B201" s="24"/>
      <c r="C201" s="11" t="s">
        <v>118</v>
      </c>
      <c r="G201" s="24"/>
      <c r="H201" s="11" t="s">
        <v>84</v>
      </c>
      <c r="J201" s="11" t="s">
        <v>84</v>
      </c>
      <c r="L201" s="11" t="s">
        <v>82</v>
      </c>
      <c r="N201" s="11" t="s">
        <v>84</v>
      </c>
      <c r="O201" s="11" t="s">
        <v>2530</v>
      </c>
      <c r="R201" s="24"/>
      <c r="S201" s="11" t="s">
        <v>84</v>
      </c>
      <c r="T201" s="11" t="s">
        <v>2531</v>
      </c>
      <c r="U201" s="11" t="s">
        <v>82</v>
      </c>
      <c r="W201" s="11" t="s">
        <v>82</v>
      </c>
    </row>
    <row r="202" spans="1:26" x14ac:dyDescent="0.2">
      <c r="A202" s="11">
        <v>201</v>
      </c>
      <c r="B202" s="24"/>
      <c r="C202" s="11" t="s">
        <v>118</v>
      </c>
      <c r="G202" s="24"/>
      <c r="H202" s="11" t="s">
        <v>84</v>
      </c>
      <c r="J202" s="11" t="s">
        <v>84</v>
      </c>
      <c r="L202" s="11" t="s">
        <v>82</v>
      </c>
      <c r="N202" s="11" t="s">
        <v>82</v>
      </c>
      <c r="R202" s="24"/>
      <c r="S202" s="11" t="s">
        <v>82</v>
      </c>
      <c r="U202" s="11" t="s">
        <v>84</v>
      </c>
      <c r="W202" s="11" t="s">
        <v>82</v>
      </c>
    </row>
    <row r="203" spans="1:26" x14ac:dyDescent="0.2">
      <c r="A203" s="11">
        <v>202</v>
      </c>
      <c r="B203" s="24"/>
      <c r="C203" s="11" t="s">
        <v>99</v>
      </c>
      <c r="G203" s="24"/>
      <c r="H203" s="11" t="s">
        <v>82</v>
      </c>
      <c r="J203" s="11" t="s">
        <v>84</v>
      </c>
      <c r="L203" s="11" t="s">
        <v>82</v>
      </c>
      <c r="N203" s="11" t="s">
        <v>82</v>
      </c>
      <c r="R203" s="24"/>
      <c r="S203" s="11" t="s">
        <v>84</v>
      </c>
      <c r="U203" s="11" t="s">
        <v>84</v>
      </c>
      <c r="W203" s="11" t="s">
        <v>82</v>
      </c>
    </row>
    <row r="204" spans="1:26" x14ac:dyDescent="0.2">
      <c r="A204" s="11">
        <v>203</v>
      </c>
      <c r="B204" s="24"/>
      <c r="C204" s="11" t="s">
        <v>97</v>
      </c>
      <c r="E204" s="11" t="s">
        <v>246</v>
      </c>
      <c r="G204" s="24"/>
      <c r="H204" s="11" t="s">
        <v>80</v>
      </c>
      <c r="J204" s="11" t="s">
        <v>80</v>
      </c>
      <c r="L204" s="11" t="s">
        <v>80</v>
      </c>
      <c r="N204" s="11" t="s">
        <v>80</v>
      </c>
      <c r="R204" s="24"/>
      <c r="S204" s="11" t="s">
        <v>84</v>
      </c>
      <c r="U204" s="11" t="s">
        <v>84</v>
      </c>
      <c r="W204" s="11" t="s">
        <v>82</v>
      </c>
    </row>
    <row r="205" spans="1:26" x14ac:dyDescent="0.2">
      <c r="A205" s="11">
        <v>204</v>
      </c>
      <c r="B205" s="24"/>
      <c r="C205" s="11" t="s">
        <v>97</v>
      </c>
      <c r="E205" s="11" t="s">
        <v>246</v>
      </c>
      <c r="G205" s="24"/>
      <c r="H205" s="11" t="s">
        <v>80</v>
      </c>
      <c r="J205" s="11" t="s">
        <v>80</v>
      </c>
      <c r="L205" s="11" t="s">
        <v>80</v>
      </c>
      <c r="N205" s="11" t="s">
        <v>80</v>
      </c>
      <c r="R205" s="24"/>
      <c r="S205" s="11" t="s">
        <v>84</v>
      </c>
      <c r="U205" s="11" t="s">
        <v>82</v>
      </c>
      <c r="W205" s="11" t="s">
        <v>82</v>
      </c>
    </row>
    <row r="206" spans="1:26" x14ac:dyDescent="0.2">
      <c r="A206" s="11">
        <v>205</v>
      </c>
      <c r="B206" s="24"/>
      <c r="C206" s="11" t="s">
        <v>99</v>
      </c>
      <c r="G206" s="24"/>
      <c r="H206" s="11" t="s">
        <v>82</v>
      </c>
      <c r="J206" s="11" t="s">
        <v>84</v>
      </c>
      <c r="L206" s="11" t="s">
        <v>82</v>
      </c>
      <c r="N206" s="11" t="s">
        <v>82</v>
      </c>
      <c r="R206" s="24"/>
      <c r="S206" s="11" t="s">
        <v>84</v>
      </c>
      <c r="U206" s="11" t="s">
        <v>82</v>
      </c>
      <c r="W206" s="11" t="s">
        <v>84</v>
      </c>
    </row>
    <row r="207" spans="1:26" x14ac:dyDescent="0.2">
      <c r="A207" s="11">
        <v>206</v>
      </c>
      <c r="B207" s="33"/>
      <c r="C207" s="33" t="s">
        <v>99</v>
      </c>
      <c r="D207" s="33"/>
      <c r="E207" s="33"/>
      <c r="F207" s="33"/>
      <c r="G207" s="33"/>
      <c r="H207" s="33" t="s">
        <v>82</v>
      </c>
      <c r="I207" s="33"/>
      <c r="J207" s="33" t="s">
        <v>84</v>
      </c>
      <c r="K207" s="33" t="s">
        <v>2563</v>
      </c>
      <c r="L207" s="33" t="s">
        <v>82</v>
      </c>
      <c r="M207" s="33"/>
      <c r="N207" s="33" t="s">
        <v>82</v>
      </c>
      <c r="O207" s="33"/>
      <c r="P207" s="33"/>
      <c r="Q207" s="33"/>
      <c r="R207" s="33"/>
      <c r="S207" s="33" t="s">
        <v>82</v>
      </c>
      <c r="T207" s="33"/>
      <c r="U207" s="33" t="s">
        <v>82</v>
      </c>
      <c r="V207" s="33"/>
      <c r="W207" s="33" t="s">
        <v>84</v>
      </c>
      <c r="X207" s="33"/>
      <c r="Y207" s="33"/>
      <c r="Z207" s="33"/>
    </row>
    <row r="208" spans="1:26" x14ac:dyDescent="0.2">
      <c r="A208" s="11">
        <v>207</v>
      </c>
      <c r="B208" s="24"/>
      <c r="C208" s="11" t="s">
        <v>99</v>
      </c>
      <c r="G208" s="24"/>
      <c r="H208" s="11" t="s">
        <v>82</v>
      </c>
      <c r="J208" s="11" t="s">
        <v>84</v>
      </c>
      <c r="L208" s="11" t="s">
        <v>82</v>
      </c>
      <c r="N208" s="11" t="s">
        <v>84</v>
      </c>
      <c r="R208" s="24"/>
      <c r="S208" s="11" t="s">
        <v>82</v>
      </c>
      <c r="U208" s="11" t="s">
        <v>84</v>
      </c>
      <c r="W208" s="11" t="s">
        <v>82</v>
      </c>
    </row>
    <row r="209" spans="1:26" x14ac:dyDescent="0.2">
      <c r="A209" s="11">
        <v>208</v>
      </c>
      <c r="B209" s="24"/>
      <c r="C209" s="11" t="s">
        <v>99</v>
      </c>
      <c r="G209" s="24"/>
      <c r="H209" s="11" t="s">
        <v>82</v>
      </c>
      <c r="J209" s="11" t="s">
        <v>84</v>
      </c>
      <c r="L209" s="11" t="s">
        <v>82</v>
      </c>
      <c r="N209" s="11" t="s">
        <v>82</v>
      </c>
      <c r="R209" s="24"/>
      <c r="S209" s="11" t="s">
        <v>84</v>
      </c>
      <c r="U209" s="11" t="s">
        <v>82</v>
      </c>
      <c r="W209" s="11" t="s">
        <v>84</v>
      </c>
    </row>
    <row r="210" spans="1:26" ht="76.5" x14ac:dyDescent="0.2">
      <c r="A210" s="11">
        <v>209</v>
      </c>
      <c r="B210" s="24"/>
      <c r="C210" s="11" t="s">
        <v>99</v>
      </c>
      <c r="G210" s="24"/>
      <c r="H210" s="11" t="s">
        <v>84</v>
      </c>
      <c r="I210" s="11" t="s">
        <v>2575</v>
      </c>
      <c r="J210" s="11" t="s">
        <v>82</v>
      </c>
      <c r="L210" s="11" t="s">
        <v>82</v>
      </c>
      <c r="N210" s="11" t="s">
        <v>82</v>
      </c>
      <c r="R210" s="24"/>
      <c r="S210" s="11" t="s">
        <v>82</v>
      </c>
      <c r="U210" s="11" t="s">
        <v>84</v>
      </c>
      <c r="V210" s="11" t="s">
        <v>2576</v>
      </c>
      <c r="W210" s="11" t="s">
        <v>82</v>
      </c>
      <c r="Y210" s="11" t="s">
        <v>2577</v>
      </c>
      <c r="Z210" s="11" t="s">
        <v>2578</v>
      </c>
    </row>
    <row r="211" spans="1:26" x14ac:dyDescent="0.2">
      <c r="A211" s="11">
        <v>210</v>
      </c>
      <c r="B211" s="24"/>
      <c r="C211" s="11" t="s">
        <v>118</v>
      </c>
      <c r="G211" s="24"/>
      <c r="H211" s="11" t="s">
        <v>82</v>
      </c>
      <c r="J211" s="11" t="s">
        <v>84</v>
      </c>
      <c r="L211" s="11" t="s">
        <v>82</v>
      </c>
      <c r="N211" s="11" t="s">
        <v>82</v>
      </c>
      <c r="R211" s="24"/>
      <c r="S211" s="11" t="s">
        <v>84</v>
      </c>
      <c r="U211" s="11" t="s">
        <v>82</v>
      </c>
      <c r="W211" s="11" t="s">
        <v>82</v>
      </c>
    </row>
    <row r="212" spans="1:26" ht="76.5" x14ac:dyDescent="0.2">
      <c r="A212" s="11">
        <v>211</v>
      </c>
      <c r="B212" s="24"/>
      <c r="C212" s="11" t="s">
        <v>119</v>
      </c>
      <c r="D212" s="11" t="s">
        <v>2598</v>
      </c>
      <c r="E212" s="11" t="s">
        <v>246</v>
      </c>
      <c r="F212" s="11" t="s">
        <v>2599</v>
      </c>
      <c r="G212" s="24"/>
      <c r="H212" s="11" t="s">
        <v>82</v>
      </c>
      <c r="J212" s="11" t="s">
        <v>84</v>
      </c>
      <c r="K212" s="11" t="s">
        <v>2600</v>
      </c>
      <c r="L212" s="11" t="s">
        <v>84</v>
      </c>
      <c r="M212" s="11" t="s">
        <v>2601</v>
      </c>
      <c r="N212" s="11" t="s">
        <v>84</v>
      </c>
      <c r="O212" s="11" t="s">
        <v>2602</v>
      </c>
      <c r="R212" s="24"/>
      <c r="S212" s="11" t="s">
        <v>84</v>
      </c>
      <c r="T212" s="11" t="s">
        <v>2603</v>
      </c>
      <c r="U212" s="11" t="s">
        <v>82</v>
      </c>
      <c r="W212" s="11" t="s">
        <v>82</v>
      </c>
    </row>
    <row r="213" spans="1:26" ht="25.5" x14ac:dyDescent="0.2">
      <c r="A213" s="11">
        <v>212</v>
      </c>
      <c r="B213" s="24"/>
      <c r="C213" s="11" t="s">
        <v>97</v>
      </c>
      <c r="E213" s="11" t="s">
        <v>81</v>
      </c>
      <c r="F213" s="11" t="s">
        <v>2618</v>
      </c>
      <c r="G213" s="24"/>
      <c r="H213" s="11" t="s">
        <v>80</v>
      </c>
      <c r="J213" s="11" t="s">
        <v>80</v>
      </c>
      <c r="L213" s="11" t="s">
        <v>80</v>
      </c>
      <c r="N213" s="11" t="s">
        <v>80</v>
      </c>
      <c r="R213" s="24"/>
      <c r="S213" s="11" t="s">
        <v>84</v>
      </c>
      <c r="T213" s="11" t="s">
        <v>2619</v>
      </c>
      <c r="U213" s="11" t="s">
        <v>84</v>
      </c>
      <c r="W213" s="11" t="s">
        <v>82</v>
      </c>
    </row>
    <row r="214" spans="1:26" x14ac:dyDescent="0.2">
      <c r="A214" s="11">
        <v>213</v>
      </c>
      <c r="B214" s="24"/>
      <c r="C214" s="11" t="s">
        <v>118</v>
      </c>
      <c r="G214" s="24"/>
      <c r="H214" s="11" t="s">
        <v>84</v>
      </c>
      <c r="I214" s="11" t="s">
        <v>2189</v>
      </c>
      <c r="J214" s="11" t="s">
        <v>82</v>
      </c>
      <c r="L214" s="11" t="s">
        <v>82</v>
      </c>
      <c r="N214" s="11" t="s">
        <v>82</v>
      </c>
      <c r="R214" s="24"/>
      <c r="S214" s="11" t="s">
        <v>82</v>
      </c>
      <c r="U214" s="11" t="s">
        <v>84</v>
      </c>
      <c r="V214" s="11" t="s">
        <v>2631</v>
      </c>
      <c r="W214" s="11" t="s">
        <v>82</v>
      </c>
    </row>
    <row r="215" spans="1:26" x14ac:dyDescent="0.2">
      <c r="A215" s="11">
        <v>214</v>
      </c>
      <c r="B215" s="24"/>
      <c r="C215" s="11" t="s">
        <v>97</v>
      </c>
      <c r="E215" s="11" t="s">
        <v>246</v>
      </c>
      <c r="G215" s="24"/>
      <c r="H215" s="11" t="s">
        <v>80</v>
      </c>
      <c r="J215" s="11" t="s">
        <v>80</v>
      </c>
      <c r="L215" s="11" t="s">
        <v>80</v>
      </c>
      <c r="N215" s="11" t="s">
        <v>80</v>
      </c>
      <c r="R215" s="24"/>
      <c r="S215" s="11" t="s">
        <v>82</v>
      </c>
      <c r="U215" s="11" t="s">
        <v>84</v>
      </c>
      <c r="W215" s="11" t="s">
        <v>82</v>
      </c>
    </row>
    <row r="216" spans="1:26" x14ac:dyDescent="0.2">
      <c r="A216" s="11">
        <v>215</v>
      </c>
      <c r="B216" s="33"/>
      <c r="C216" s="33"/>
      <c r="D216" s="33"/>
      <c r="E216" s="33"/>
      <c r="F216" s="33"/>
      <c r="G216" s="33"/>
      <c r="H216" s="33" t="s">
        <v>80</v>
      </c>
      <c r="I216" s="33"/>
      <c r="J216" s="33" t="s">
        <v>80</v>
      </c>
      <c r="K216" s="33"/>
      <c r="L216" s="33" t="s">
        <v>80</v>
      </c>
      <c r="M216" s="33"/>
      <c r="N216" s="33" t="s">
        <v>80</v>
      </c>
      <c r="O216" s="33"/>
      <c r="P216" s="33"/>
      <c r="Q216" s="33"/>
      <c r="R216" s="33"/>
      <c r="S216" s="33" t="s">
        <v>80</v>
      </c>
      <c r="T216" s="33"/>
      <c r="U216" s="33" t="s">
        <v>80</v>
      </c>
      <c r="V216" s="33"/>
      <c r="W216" s="33" t="s">
        <v>80</v>
      </c>
      <c r="X216" s="33"/>
      <c r="Y216" s="33"/>
      <c r="Z216" s="33"/>
    </row>
    <row r="217" spans="1:26" x14ac:dyDescent="0.2">
      <c r="A217" s="11">
        <v>216</v>
      </c>
      <c r="B217" s="24"/>
      <c r="C217" s="11" t="s">
        <v>118</v>
      </c>
      <c r="G217" s="24"/>
      <c r="H217" s="11" t="s">
        <v>82</v>
      </c>
      <c r="J217" s="11" t="s">
        <v>84</v>
      </c>
      <c r="L217" s="11" t="s">
        <v>82</v>
      </c>
      <c r="N217" s="11" t="s">
        <v>82</v>
      </c>
      <c r="R217" s="24"/>
      <c r="S217" s="11" t="s">
        <v>84</v>
      </c>
      <c r="U217" s="11" t="s">
        <v>82</v>
      </c>
      <c r="W217" s="11" t="s">
        <v>82</v>
      </c>
    </row>
    <row r="218" spans="1:26" x14ac:dyDescent="0.2">
      <c r="A218" s="11">
        <v>217</v>
      </c>
      <c r="B218" s="24"/>
      <c r="C218" s="11" t="s">
        <v>118</v>
      </c>
      <c r="G218" s="24"/>
      <c r="H218" s="11" t="s">
        <v>84</v>
      </c>
      <c r="J218" s="11" t="s">
        <v>82</v>
      </c>
      <c r="L218" s="11" t="s">
        <v>82</v>
      </c>
      <c r="N218" s="11" t="s">
        <v>82</v>
      </c>
      <c r="R218" s="24"/>
      <c r="S218" s="11" t="s">
        <v>84</v>
      </c>
      <c r="U218" s="11" t="s">
        <v>84</v>
      </c>
      <c r="W218" s="11" t="s">
        <v>82</v>
      </c>
    </row>
    <row r="219" spans="1:26" x14ac:dyDescent="0.2">
      <c r="A219" s="11">
        <v>218</v>
      </c>
      <c r="B219" s="24"/>
      <c r="C219" s="11" t="s">
        <v>97</v>
      </c>
      <c r="E219" s="11" t="s">
        <v>246</v>
      </c>
      <c r="G219" s="24"/>
      <c r="H219" s="11" t="s">
        <v>80</v>
      </c>
      <c r="J219" s="11" t="s">
        <v>80</v>
      </c>
      <c r="L219" s="11" t="s">
        <v>80</v>
      </c>
      <c r="N219" s="11" t="s">
        <v>80</v>
      </c>
      <c r="R219" s="24"/>
      <c r="S219" s="11" t="s">
        <v>82</v>
      </c>
      <c r="U219" s="11" t="s">
        <v>84</v>
      </c>
      <c r="W219" s="11" t="s">
        <v>84</v>
      </c>
    </row>
    <row r="220" spans="1:26" x14ac:dyDescent="0.2">
      <c r="A220" s="11">
        <v>219</v>
      </c>
      <c r="B220" s="24"/>
      <c r="C220" s="11" t="s">
        <v>99</v>
      </c>
      <c r="G220" s="24"/>
      <c r="H220" s="11" t="s">
        <v>82</v>
      </c>
      <c r="J220" s="11" t="s">
        <v>84</v>
      </c>
      <c r="L220" s="11" t="s">
        <v>82</v>
      </c>
      <c r="N220" s="11" t="s">
        <v>82</v>
      </c>
      <c r="R220" s="24"/>
      <c r="S220" s="11" t="s">
        <v>82</v>
      </c>
      <c r="U220" s="11" t="s">
        <v>82</v>
      </c>
      <c r="W220" s="11" t="s">
        <v>84</v>
      </c>
    </row>
    <row r="221" spans="1:26" ht="51" x14ac:dyDescent="0.2">
      <c r="A221" s="11">
        <v>220</v>
      </c>
      <c r="B221" s="24"/>
      <c r="C221" s="11" t="s">
        <v>99</v>
      </c>
      <c r="G221" s="24"/>
      <c r="H221" s="11" t="s">
        <v>84</v>
      </c>
      <c r="I221" s="11" t="s">
        <v>4175</v>
      </c>
      <c r="J221" s="11" t="s">
        <v>82</v>
      </c>
      <c r="L221" s="11" t="s">
        <v>82</v>
      </c>
      <c r="N221" s="11" t="s">
        <v>82</v>
      </c>
      <c r="R221" s="24"/>
      <c r="S221" s="11" t="s">
        <v>82</v>
      </c>
      <c r="U221" s="11" t="s">
        <v>84</v>
      </c>
      <c r="W221" s="11" t="s">
        <v>82</v>
      </c>
    </row>
    <row r="222" spans="1:26" x14ac:dyDescent="0.2">
      <c r="A222" s="11">
        <v>221</v>
      </c>
      <c r="B222" s="24"/>
      <c r="C222" s="11" t="s">
        <v>118</v>
      </c>
      <c r="G222" s="24"/>
      <c r="H222" s="11" t="s">
        <v>84</v>
      </c>
      <c r="J222" s="11" t="s">
        <v>84</v>
      </c>
      <c r="L222" s="11" t="s">
        <v>84</v>
      </c>
      <c r="N222" s="11" t="s">
        <v>82</v>
      </c>
      <c r="R222" s="24"/>
      <c r="S222" s="11" t="s">
        <v>84</v>
      </c>
      <c r="U222" s="11" t="s">
        <v>82</v>
      </c>
      <c r="W222" s="11" t="s">
        <v>82</v>
      </c>
    </row>
    <row r="223" spans="1:26" ht="51" x14ac:dyDescent="0.2">
      <c r="A223" s="11">
        <v>222</v>
      </c>
      <c r="B223" s="24"/>
      <c r="C223" s="11" t="s">
        <v>97</v>
      </c>
      <c r="E223" s="11" t="s">
        <v>246</v>
      </c>
      <c r="G223" s="24"/>
      <c r="H223" s="11" t="s">
        <v>80</v>
      </c>
      <c r="J223" s="11" t="s">
        <v>80</v>
      </c>
      <c r="L223" s="11" t="s">
        <v>80</v>
      </c>
      <c r="N223" s="11" t="s">
        <v>80</v>
      </c>
      <c r="R223" s="24"/>
      <c r="S223" s="11" t="s">
        <v>84</v>
      </c>
      <c r="T223" s="11" t="s">
        <v>2684</v>
      </c>
      <c r="U223" s="11" t="s">
        <v>84</v>
      </c>
      <c r="V223" s="11" t="s">
        <v>2685</v>
      </c>
      <c r="W223" s="11" t="s">
        <v>82</v>
      </c>
    </row>
    <row r="224" spans="1:26" x14ac:dyDescent="0.2">
      <c r="A224" s="11">
        <v>223</v>
      </c>
      <c r="B224" s="33"/>
      <c r="C224" s="33" t="s">
        <v>118</v>
      </c>
      <c r="D224" s="33"/>
      <c r="E224" s="33"/>
      <c r="F224" s="33"/>
      <c r="G224" s="33"/>
      <c r="H224" s="33" t="s">
        <v>84</v>
      </c>
      <c r="I224" s="33"/>
      <c r="J224" s="33" t="s">
        <v>84</v>
      </c>
      <c r="K224" s="33"/>
      <c r="L224" s="33" t="s">
        <v>82</v>
      </c>
      <c r="M224" s="33"/>
      <c r="N224" s="33" t="s">
        <v>84</v>
      </c>
      <c r="O224" s="33"/>
      <c r="P224" s="33"/>
      <c r="Q224" s="33"/>
      <c r="R224" s="33"/>
      <c r="S224" s="33" t="s">
        <v>84</v>
      </c>
      <c r="T224" s="33"/>
      <c r="U224" s="33" t="s">
        <v>84</v>
      </c>
      <c r="V224" s="33"/>
      <c r="W224" s="33" t="s">
        <v>84</v>
      </c>
      <c r="X224" s="33"/>
      <c r="Y224" s="33"/>
      <c r="Z224" s="33"/>
    </row>
    <row r="225" spans="1:24" x14ac:dyDescent="0.2">
      <c r="A225" s="11">
        <v>224</v>
      </c>
      <c r="B225" s="24"/>
      <c r="C225" s="11" t="s">
        <v>97</v>
      </c>
      <c r="E225" s="11" t="s">
        <v>246</v>
      </c>
      <c r="G225" s="24"/>
      <c r="H225" s="11" t="s">
        <v>80</v>
      </c>
      <c r="J225" s="11" t="s">
        <v>80</v>
      </c>
      <c r="L225" s="11" t="s">
        <v>80</v>
      </c>
      <c r="N225" s="11" t="s">
        <v>80</v>
      </c>
      <c r="R225" s="24"/>
      <c r="S225" s="11" t="s">
        <v>84</v>
      </c>
      <c r="T225" s="11" t="s">
        <v>4176</v>
      </c>
      <c r="U225" s="11" t="s">
        <v>82</v>
      </c>
      <c r="W225" s="11" t="s">
        <v>82</v>
      </c>
    </row>
    <row r="226" spans="1:24" ht="51" x14ac:dyDescent="0.2">
      <c r="A226" s="11">
        <v>225</v>
      </c>
      <c r="B226" s="24"/>
      <c r="C226" s="11" t="s">
        <v>119</v>
      </c>
      <c r="D226" s="11" t="s">
        <v>2707</v>
      </c>
      <c r="E226" s="11" t="s">
        <v>81</v>
      </c>
      <c r="F226" s="11" t="s">
        <v>2708</v>
      </c>
      <c r="G226" s="24"/>
      <c r="H226" s="11" t="s">
        <v>84</v>
      </c>
      <c r="I226" s="11" t="s">
        <v>2709</v>
      </c>
      <c r="J226" s="11" t="s">
        <v>84</v>
      </c>
      <c r="K226" s="11" t="s">
        <v>2710</v>
      </c>
      <c r="L226" s="11" t="s">
        <v>82</v>
      </c>
      <c r="N226" s="11" t="s">
        <v>82</v>
      </c>
      <c r="R226" s="24"/>
      <c r="S226" s="11" t="s">
        <v>84</v>
      </c>
      <c r="T226" s="11" t="s">
        <v>2711</v>
      </c>
      <c r="U226" s="11" t="s">
        <v>82</v>
      </c>
      <c r="W226" s="11" t="s">
        <v>82</v>
      </c>
    </row>
    <row r="227" spans="1:24" x14ac:dyDescent="0.2">
      <c r="A227" s="11">
        <v>226</v>
      </c>
      <c r="B227" s="24"/>
      <c r="C227" s="11" t="s">
        <v>118</v>
      </c>
      <c r="G227" s="24"/>
      <c r="H227" s="11" t="s">
        <v>84</v>
      </c>
      <c r="J227" s="11" t="s">
        <v>82</v>
      </c>
      <c r="L227" s="11" t="s">
        <v>82</v>
      </c>
      <c r="N227" s="11" t="s">
        <v>82</v>
      </c>
      <c r="R227" s="24"/>
      <c r="S227" s="11" t="s">
        <v>84</v>
      </c>
      <c r="U227" s="11" t="s">
        <v>82</v>
      </c>
      <c r="W227" s="11" t="s">
        <v>82</v>
      </c>
    </row>
    <row r="228" spans="1:24" x14ac:dyDescent="0.2">
      <c r="A228" s="11">
        <v>227</v>
      </c>
      <c r="B228" s="24"/>
      <c r="C228" s="11" t="s">
        <v>118</v>
      </c>
      <c r="G228" s="24"/>
      <c r="H228" s="11" t="s">
        <v>84</v>
      </c>
      <c r="J228" s="11" t="s">
        <v>84</v>
      </c>
      <c r="L228" s="11" t="s">
        <v>82</v>
      </c>
      <c r="N228" s="11" t="s">
        <v>82</v>
      </c>
      <c r="R228" s="24"/>
      <c r="S228" s="11" t="s">
        <v>84</v>
      </c>
      <c r="U228" s="11" t="s">
        <v>84</v>
      </c>
      <c r="W228" s="11" t="s">
        <v>84</v>
      </c>
    </row>
    <row r="229" spans="1:24" x14ac:dyDescent="0.2">
      <c r="A229" s="11">
        <v>228</v>
      </c>
      <c r="B229" s="24"/>
      <c r="C229" s="11" t="s">
        <v>118</v>
      </c>
      <c r="G229" s="24"/>
      <c r="H229" s="11" t="s">
        <v>84</v>
      </c>
      <c r="J229" s="11" t="s">
        <v>84</v>
      </c>
      <c r="L229" s="11" t="s">
        <v>82</v>
      </c>
      <c r="N229" s="11" t="s">
        <v>82</v>
      </c>
      <c r="R229" s="24"/>
      <c r="S229" s="11" t="s">
        <v>84</v>
      </c>
      <c r="U229" s="11" t="s">
        <v>84</v>
      </c>
      <c r="W229" s="11" t="s">
        <v>84</v>
      </c>
    </row>
    <row r="230" spans="1:24" ht="25.5" x14ac:dyDescent="0.2">
      <c r="A230" s="11">
        <v>229</v>
      </c>
      <c r="B230" s="24"/>
      <c r="C230" s="11" t="s">
        <v>97</v>
      </c>
      <c r="E230" s="11" t="s">
        <v>246</v>
      </c>
      <c r="G230" s="24"/>
      <c r="H230" s="11" t="s">
        <v>80</v>
      </c>
      <c r="J230" s="11" t="s">
        <v>80</v>
      </c>
      <c r="L230" s="11" t="s">
        <v>80</v>
      </c>
      <c r="N230" s="11" t="s">
        <v>80</v>
      </c>
      <c r="R230" s="24"/>
      <c r="S230" s="11" t="s">
        <v>84</v>
      </c>
      <c r="T230" s="11" t="s">
        <v>4177</v>
      </c>
      <c r="U230" s="11" t="s">
        <v>84</v>
      </c>
      <c r="V230" s="11" t="s">
        <v>2740</v>
      </c>
      <c r="W230" s="11" t="s">
        <v>82</v>
      </c>
    </row>
    <row r="231" spans="1:24" x14ac:dyDescent="0.2">
      <c r="A231" s="11">
        <v>230</v>
      </c>
      <c r="B231" s="24"/>
      <c r="C231" s="11" t="s">
        <v>118</v>
      </c>
      <c r="G231" s="24"/>
      <c r="H231" s="11" t="s">
        <v>84</v>
      </c>
      <c r="J231" s="11" t="s">
        <v>84</v>
      </c>
      <c r="L231" s="11" t="s">
        <v>82</v>
      </c>
      <c r="N231" s="11" t="s">
        <v>82</v>
      </c>
      <c r="R231" s="24"/>
      <c r="S231" s="11" t="s">
        <v>84</v>
      </c>
      <c r="U231" s="11" t="s">
        <v>82</v>
      </c>
      <c r="W231" s="11" t="s">
        <v>82</v>
      </c>
    </row>
    <row r="232" spans="1:24" ht="102" x14ac:dyDescent="0.2">
      <c r="A232" s="11">
        <v>231</v>
      </c>
      <c r="B232" s="24"/>
      <c r="C232" s="11" t="s">
        <v>99</v>
      </c>
      <c r="G232" s="24"/>
      <c r="H232" s="11" t="s">
        <v>84</v>
      </c>
      <c r="I232" s="11" t="s">
        <v>2752</v>
      </c>
      <c r="J232" s="11" t="s">
        <v>84</v>
      </c>
      <c r="K232" s="11" t="s">
        <v>2753</v>
      </c>
      <c r="L232" s="11" t="s">
        <v>84</v>
      </c>
      <c r="M232" s="11" t="s">
        <v>2754</v>
      </c>
      <c r="N232" s="11" t="s">
        <v>82</v>
      </c>
      <c r="R232" s="24"/>
      <c r="S232" s="11" t="s">
        <v>84</v>
      </c>
      <c r="T232" s="11" t="s">
        <v>2755</v>
      </c>
      <c r="U232" s="11" t="s">
        <v>82</v>
      </c>
      <c r="W232" s="11" t="s">
        <v>82</v>
      </c>
    </row>
    <row r="233" spans="1:24" x14ac:dyDescent="0.2">
      <c r="A233" s="11">
        <v>232</v>
      </c>
      <c r="B233" s="24"/>
      <c r="C233" s="11" t="s">
        <v>118</v>
      </c>
      <c r="G233" s="24"/>
      <c r="H233" s="11" t="s">
        <v>82</v>
      </c>
      <c r="J233" s="11" t="s">
        <v>84</v>
      </c>
      <c r="L233" s="11" t="s">
        <v>82</v>
      </c>
      <c r="N233" s="11" t="s">
        <v>84</v>
      </c>
      <c r="R233" s="24"/>
      <c r="S233" s="11" t="s">
        <v>84</v>
      </c>
      <c r="U233" s="11" t="s">
        <v>82</v>
      </c>
      <c r="W233" s="11" t="s">
        <v>82</v>
      </c>
    </row>
    <row r="234" spans="1:24" x14ac:dyDescent="0.2">
      <c r="A234" s="11">
        <v>233</v>
      </c>
      <c r="B234" s="24"/>
      <c r="C234" s="11" t="s">
        <v>99</v>
      </c>
      <c r="G234" s="24"/>
      <c r="H234" s="11" t="s">
        <v>82</v>
      </c>
      <c r="J234" s="11" t="s">
        <v>84</v>
      </c>
      <c r="K234" s="11" t="s">
        <v>2772</v>
      </c>
      <c r="L234" s="11" t="s">
        <v>82</v>
      </c>
      <c r="N234" s="11" t="s">
        <v>82</v>
      </c>
      <c r="R234" s="24"/>
      <c r="S234" s="11" t="s">
        <v>84</v>
      </c>
      <c r="T234" s="11" t="s">
        <v>2773</v>
      </c>
      <c r="U234" s="11" t="s">
        <v>82</v>
      </c>
      <c r="W234" s="11" t="s">
        <v>82</v>
      </c>
    </row>
    <row r="235" spans="1:24" x14ac:dyDescent="0.2">
      <c r="A235" s="11">
        <v>234</v>
      </c>
      <c r="B235" s="24"/>
      <c r="C235" s="11" t="s">
        <v>99</v>
      </c>
      <c r="G235" s="24"/>
      <c r="H235" s="11" t="s">
        <v>84</v>
      </c>
      <c r="I235" s="11" t="s">
        <v>2778</v>
      </c>
      <c r="J235" s="11" t="s">
        <v>82</v>
      </c>
      <c r="L235" s="11" t="s">
        <v>84</v>
      </c>
      <c r="N235" s="11" t="s">
        <v>82</v>
      </c>
      <c r="R235" s="24"/>
      <c r="S235" s="11" t="s">
        <v>84</v>
      </c>
      <c r="U235" s="11" t="s">
        <v>82</v>
      </c>
      <c r="W235" s="11" t="s">
        <v>82</v>
      </c>
    </row>
    <row r="236" spans="1:24" ht="38.25" x14ac:dyDescent="0.2">
      <c r="A236" s="11">
        <v>235</v>
      </c>
      <c r="B236" s="24"/>
      <c r="C236" s="11" t="s">
        <v>99</v>
      </c>
      <c r="G236" s="24"/>
      <c r="H236" s="11" t="s">
        <v>82</v>
      </c>
      <c r="J236" s="11" t="s">
        <v>84</v>
      </c>
      <c r="K236" s="11" t="s">
        <v>2784</v>
      </c>
      <c r="L236" s="11" t="s">
        <v>82</v>
      </c>
      <c r="N236" s="11" t="s">
        <v>84</v>
      </c>
      <c r="O236" s="11" t="s">
        <v>2785</v>
      </c>
      <c r="R236" s="24"/>
      <c r="S236" s="11" t="s">
        <v>84</v>
      </c>
      <c r="T236" s="11" t="s">
        <v>2786</v>
      </c>
      <c r="U236" s="11" t="s">
        <v>82</v>
      </c>
      <c r="W236" s="11" t="s">
        <v>82</v>
      </c>
    </row>
    <row r="237" spans="1:24" x14ac:dyDescent="0.2">
      <c r="A237" s="11">
        <v>236</v>
      </c>
      <c r="B237" s="24"/>
      <c r="C237" s="11" t="s">
        <v>97</v>
      </c>
      <c r="E237" s="11" t="s">
        <v>246</v>
      </c>
      <c r="G237" s="24"/>
      <c r="H237" s="11" t="s">
        <v>80</v>
      </c>
      <c r="J237" s="11" t="s">
        <v>80</v>
      </c>
      <c r="L237" s="11" t="s">
        <v>80</v>
      </c>
      <c r="N237" s="11" t="s">
        <v>80</v>
      </c>
      <c r="R237" s="24"/>
      <c r="S237" s="11" t="s">
        <v>84</v>
      </c>
      <c r="U237" s="11" t="s">
        <v>84</v>
      </c>
      <c r="W237" s="11" t="s">
        <v>84</v>
      </c>
    </row>
    <row r="238" spans="1:24" x14ac:dyDescent="0.2">
      <c r="A238" s="11">
        <v>237</v>
      </c>
      <c r="B238" s="24"/>
      <c r="C238" s="11" t="s">
        <v>99</v>
      </c>
      <c r="G238" s="24"/>
      <c r="H238" s="11" t="s">
        <v>82</v>
      </c>
      <c r="J238" s="11" t="s">
        <v>84</v>
      </c>
      <c r="K238" s="11" t="s">
        <v>2813</v>
      </c>
      <c r="L238" s="11" t="s">
        <v>82</v>
      </c>
      <c r="N238" s="11" t="s">
        <v>82</v>
      </c>
      <c r="R238" s="24"/>
      <c r="S238" s="11" t="s">
        <v>84</v>
      </c>
      <c r="T238" s="11" t="s">
        <v>2814</v>
      </c>
      <c r="U238" s="11" t="s">
        <v>82</v>
      </c>
      <c r="W238" s="11" t="s">
        <v>84</v>
      </c>
      <c r="X238" s="11" t="s">
        <v>4178</v>
      </c>
    </row>
    <row r="239" spans="1:24" ht="38.25" x14ac:dyDescent="0.2">
      <c r="A239" s="11">
        <v>238</v>
      </c>
      <c r="B239" s="24"/>
      <c r="C239" s="11" t="s">
        <v>97</v>
      </c>
      <c r="E239" s="11" t="s">
        <v>81</v>
      </c>
      <c r="F239" s="11" t="s">
        <v>2825</v>
      </c>
      <c r="G239" s="24"/>
      <c r="H239" s="11" t="s">
        <v>80</v>
      </c>
      <c r="J239" s="11" t="s">
        <v>80</v>
      </c>
      <c r="L239" s="11" t="s">
        <v>80</v>
      </c>
      <c r="N239" s="11" t="s">
        <v>80</v>
      </c>
      <c r="R239" s="24"/>
      <c r="S239" s="11" t="s">
        <v>84</v>
      </c>
      <c r="T239" s="11" t="s">
        <v>2826</v>
      </c>
      <c r="U239" s="11" t="s">
        <v>84</v>
      </c>
      <c r="V239" s="11" t="s">
        <v>2827</v>
      </c>
      <c r="W239" s="11" t="s">
        <v>82</v>
      </c>
    </row>
    <row r="240" spans="1:24" x14ac:dyDescent="0.2">
      <c r="A240" s="11">
        <v>239</v>
      </c>
      <c r="B240" s="24"/>
      <c r="C240" s="11" t="s">
        <v>119</v>
      </c>
      <c r="D240" s="11" t="s">
        <v>2835</v>
      </c>
      <c r="E240" s="11" t="s">
        <v>81</v>
      </c>
      <c r="F240" s="11" t="s">
        <v>2836</v>
      </c>
      <c r="G240" s="24"/>
      <c r="H240" s="11" t="s">
        <v>84</v>
      </c>
      <c r="I240" s="11" t="s">
        <v>2177</v>
      </c>
      <c r="J240" s="11" t="s">
        <v>82</v>
      </c>
      <c r="L240" s="11" t="s">
        <v>82</v>
      </c>
      <c r="N240" s="11" t="s">
        <v>82</v>
      </c>
      <c r="R240" s="24"/>
      <c r="S240" s="11" t="s">
        <v>82</v>
      </c>
      <c r="U240" s="11" t="s">
        <v>84</v>
      </c>
      <c r="W240" s="11" t="s">
        <v>84</v>
      </c>
    </row>
    <row r="241" spans="1:26" x14ac:dyDescent="0.2">
      <c r="A241" s="11">
        <v>240</v>
      </c>
      <c r="B241" s="24"/>
      <c r="C241" s="33"/>
      <c r="D241" s="33"/>
      <c r="E241" s="33"/>
      <c r="F241" s="33"/>
      <c r="G241" s="24"/>
      <c r="H241" s="33" t="s">
        <v>80</v>
      </c>
      <c r="I241" s="33"/>
      <c r="J241" s="33" t="s">
        <v>80</v>
      </c>
      <c r="K241" s="33"/>
      <c r="L241" s="33" t="s">
        <v>80</v>
      </c>
      <c r="M241" s="33"/>
      <c r="N241" s="33" t="s">
        <v>80</v>
      </c>
      <c r="O241" s="33"/>
      <c r="P241" s="33"/>
      <c r="Q241" s="33"/>
      <c r="R241" s="24"/>
      <c r="S241" s="33" t="s">
        <v>80</v>
      </c>
      <c r="T241" s="33"/>
      <c r="U241" s="33" t="s">
        <v>80</v>
      </c>
      <c r="V241" s="33"/>
      <c r="W241" s="33" t="s">
        <v>80</v>
      </c>
      <c r="X241" s="33"/>
      <c r="Y241" s="33"/>
      <c r="Z241" s="33"/>
    </row>
    <row r="242" spans="1:26" ht="25.5" x14ac:dyDescent="0.2">
      <c r="A242" s="11">
        <v>241</v>
      </c>
      <c r="B242" s="24"/>
      <c r="C242" s="11" t="s">
        <v>99</v>
      </c>
      <c r="G242" s="24"/>
      <c r="H242" s="11" t="s">
        <v>82</v>
      </c>
      <c r="J242" s="11" t="s">
        <v>84</v>
      </c>
      <c r="K242" s="11" t="s">
        <v>2861</v>
      </c>
      <c r="L242" s="11" t="s">
        <v>82</v>
      </c>
      <c r="N242" s="11" t="s">
        <v>84</v>
      </c>
      <c r="O242" s="11" t="s">
        <v>2862</v>
      </c>
      <c r="R242" s="24"/>
      <c r="S242" s="11" t="s">
        <v>84</v>
      </c>
      <c r="U242" s="11" t="s">
        <v>84</v>
      </c>
      <c r="V242" s="11" t="s">
        <v>2863</v>
      </c>
      <c r="W242" s="11" t="s">
        <v>82</v>
      </c>
    </row>
    <row r="243" spans="1:26" ht="63.75" x14ac:dyDescent="0.2">
      <c r="A243" s="11">
        <v>242</v>
      </c>
      <c r="B243" s="24"/>
      <c r="C243" s="11" t="s">
        <v>99</v>
      </c>
      <c r="G243" s="24"/>
      <c r="H243" s="11" t="s">
        <v>82</v>
      </c>
      <c r="J243" s="11" t="s">
        <v>84</v>
      </c>
      <c r="K243" s="11" t="s">
        <v>2878</v>
      </c>
      <c r="L243" s="11" t="s">
        <v>82</v>
      </c>
      <c r="N243" s="11" t="s">
        <v>84</v>
      </c>
      <c r="O243" s="11" t="s">
        <v>2879</v>
      </c>
      <c r="R243" s="24"/>
      <c r="S243" s="11" t="s">
        <v>82</v>
      </c>
      <c r="U243" s="11" t="s">
        <v>82</v>
      </c>
      <c r="W243" s="11" t="s">
        <v>82</v>
      </c>
      <c r="Y243" s="11" t="s">
        <v>2880</v>
      </c>
      <c r="Z243" s="11" t="s">
        <v>4179</v>
      </c>
    </row>
    <row r="244" spans="1:26" x14ac:dyDescent="0.2">
      <c r="A244" s="11">
        <v>243</v>
      </c>
      <c r="B244" s="24"/>
      <c r="C244" s="11" t="s">
        <v>118</v>
      </c>
      <c r="G244" s="24"/>
      <c r="H244" s="11" t="s">
        <v>82</v>
      </c>
      <c r="J244" s="11" t="s">
        <v>82</v>
      </c>
      <c r="L244" s="11" t="s">
        <v>84</v>
      </c>
      <c r="N244" s="11" t="s">
        <v>82</v>
      </c>
      <c r="R244" s="24"/>
      <c r="S244" s="11" t="s">
        <v>84</v>
      </c>
      <c r="U244" s="11" t="s">
        <v>82</v>
      </c>
      <c r="W244" s="11" t="s">
        <v>82</v>
      </c>
    </row>
    <row r="245" spans="1:26" ht="89.25" x14ac:dyDescent="0.2">
      <c r="A245" s="11">
        <v>244</v>
      </c>
      <c r="B245" s="24"/>
      <c r="C245" s="11" t="s">
        <v>99</v>
      </c>
      <c r="G245" s="24"/>
      <c r="H245" s="11" t="s">
        <v>82</v>
      </c>
      <c r="J245" s="11" t="s">
        <v>84</v>
      </c>
      <c r="K245" s="11" t="s">
        <v>2898</v>
      </c>
      <c r="L245" s="11" t="s">
        <v>82</v>
      </c>
      <c r="N245" s="11" t="s">
        <v>84</v>
      </c>
      <c r="O245" s="11" t="s">
        <v>2899</v>
      </c>
      <c r="R245" s="24"/>
      <c r="S245" s="11" t="s">
        <v>82</v>
      </c>
      <c r="U245" s="11" t="s">
        <v>84</v>
      </c>
      <c r="W245" s="11" t="s">
        <v>82</v>
      </c>
      <c r="Y245" s="11" t="s">
        <v>2900</v>
      </c>
      <c r="Z245" s="11" t="s">
        <v>2901</v>
      </c>
    </row>
    <row r="246" spans="1:26" x14ac:dyDescent="0.2">
      <c r="A246" s="11">
        <v>245</v>
      </c>
      <c r="B246" s="24"/>
      <c r="C246" s="11" t="s">
        <v>118</v>
      </c>
      <c r="G246" s="24"/>
      <c r="H246" s="11" t="s">
        <v>84</v>
      </c>
      <c r="J246" s="11" t="s">
        <v>84</v>
      </c>
      <c r="L246" s="11" t="s">
        <v>82</v>
      </c>
      <c r="N246" s="11" t="s">
        <v>82</v>
      </c>
      <c r="R246" s="24"/>
      <c r="S246" s="11" t="s">
        <v>84</v>
      </c>
      <c r="U246" s="11" t="s">
        <v>84</v>
      </c>
      <c r="W246" s="11" t="s">
        <v>84</v>
      </c>
    </row>
    <row r="247" spans="1:26" ht="25.5" x14ac:dyDescent="0.2">
      <c r="A247" s="11">
        <v>246</v>
      </c>
      <c r="B247" s="24"/>
      <c r="C247" s="11" t="s">
        <v>118</v>
      </c>
      <c r="G247" s="24"/>
      <c r="H247" s="11" t="s">
        <v>84</v>
      </c>
      <c r="I247" s="11" t="s">
        <v>2924</v>
      </c>
      <c r="J247" s="11" t="s">
        <v>84</v>
      </c>
      <c r="K247" s="11" t="s">
        <v>2925</v>
      </c>
      <c r="L247" s="11" t="s">
        <v>82</v>
      </c>
      <c r="N247" s="11" t="s">
        <v>84</v>
      </c>
      <c r="O247" s="11" t="s">
        <v>2926</v>
      </c>
      <c r="R247" s="24"/>
      <c r="S247" s="11" t="s">
        <v>84</v>
      </c>
      <c r="T247" s="11" t="s">
        <v>2927</v>
      </c>
      <c r="U247" s="11" t="s">
        <v>82</v>
      </c>
      <c r="W247" s="11" t="s">
        <v>84</v>
      </c>
      <c r="X247" s="11" t="s">
        <v>4180</v>
      </c>
    </row>
    <row r="248" spans="1:26" ht="102" x14ac:dyDescent="0.2">
      <c r="A248" s="11">
        <v>247</v>
      </c>
      <c r="B248" s="24"/>
      <c r="C248" s="11" t="s">
        <v>97</v>
      </c>
      <c r="E248" s="11" t="s">
        <v>246</v>
      </c>
      <c r="F248" s="11" t="s">
        <v>4181</v>
      </c>
      <c r="G248" s="24"/>
      <c r="H248" s="11" t="s">
        <v>80</v>
      </c>
      <c r="J248" s="11" t="s">
        <v>80</v>
      </c>
      <c r="L248" s="11" t="s">
        <v>80</v>
      </c>
      <c r="N248" s="11" t="s">
        <v>80</v>
      </c>
      <c r="R248" s="24"/>
      <c r="S248" s="11" t="s">
        <v>84</v>
      </c>
      <c r="U248" s="11" t="s">
        <v>84</v>
      </c>
      <c r="W248" s="11" t="s">
        <v>82</v>
      </c>
    </row>
    <row r="249" spans="1:26" x14ac:dyDescent="0.2">
      <c r="A249" s="11">
        <v>248</v>
      </c>
      <c r="B249" s="24"/>
      <c r="C249" s="11" t="s">
        <v>97</v>
      </c>
      <c r="E249" s="11" t="s">
        <v>246</v>
      </c>
      <c r="G249" s="24"/>
      <c r="H249" s="11" t="s">
        <v>80</v>
      </c>
      <c r="J249" s="11" t="s">
        <v>80</v>
      </c>
      <c r="L249" s="11" t="s">
        <v>80</v>
      </c>
      <c r="N249" s="11" t="s">
        <v>80</v>
      </c>
      <c r="R249" s="24"/>
      <c r="S249" s="11" t="s">
        <v>84</v>
      </c>
      <c r="U249" s="11" t="s">
        <v>82</v>
      </c>
      <c r="W249" s="11" t="s">
        <v>82</v>
      </c>
    </row>
    <row r="250" spans="1:26" x14ac:dyDescent="0.2">
      <c r="A250" s="11">
        <v>249</v>
      </c>
      <c r="B250" s="24"/>
      <c r="C250" s="11" t="s">
        <v>97</v>
      </c>
      <c r="E250" s="11" t="s">
        <v>246</v>
      </c>
      <c r="G250" s="24"/>
      <c r="H250" s="11" t="s">
        <v>80</v>
      </c>
      <c r="J250" s="11" t="s">
        <v>80</v>
      </c>
      <c r="L250" s="11" t="s">
        <v>80</v>
      </c>
      <c r="N250" s="11" t="s">
        <v>80</v>
      </c>
      <c r="R250" s="24"/>
      <c r="S250" s="11" t="s">
        <v>84</v>
      </c>
      <c r="U250" s="11" t="s">
        <v>82</v>
      </c>
      <c r="W250" s="11" t="s">
        <v>82</v>
      </c>
    </row>
    <row r="251" spans="1:26" x14ac:dyDescent="0.2">
      <c r="A251" s="11">
        <v>250</v>
      </c>
      <c r="B251" s="24"/>
      <c r="C251" s="11" t="s">
        <v>97</v>
      </c>
      <c r="E251" s="11" t="s">
        <v>246</v>
      </c>
      <c r="G251" s="24"/>
      <c r="H251" s="11" t="s">
        <v>80</v>
      </c>
      <c r="J251" s="11" t="s">
        <v>80</v>
      </c>
      <c r="L251" s="11" t="s">
        <v>80</v>
      </c>
      <c r="N251" s="11" t="s">
        <v>80</v>
      </c>
      <c r="R251" s="24"/>
      <c r="S251" s="11" t="s">
        <v>84</v>
      </c>
      <c r="U251" s="11" t="s">
        <v>84</v>
      </c>
      <c r="W251" s="11" t="s">
        <v>82</v>
      </c>
    </row>
    <row r="252" spans="1:26" ht="51" x14ac:dyDescent="0.2">
      <c r="A252" s="11">
        <v>251</v>
      </c>
      <c r="B252" s="24"/>
      <c r="C252" s="11" t="s">
        <v>97</v>
      </c>
      <c r="E252" s="11" t="s">
        <v>246</v>
      </c>
      <c r="F252" s="11" t="s">
        <v>4182</v>
      </c>
      <c r="G252" s="24"/>
      <c r="H252" s="11" t="s">
        <v>80</v>
      </c>
      <c r="J252" s="11" t="s">
        <v>80</v>
      </c>
      <c r="L252" s="11" t="s">
        <v>80</v>
      </c>
      <c r="N252" s="11" t="s">
        <v>80</v>
      </c>
      <c r="R252" s="24"/>
      <c r="S252" s="11" t="s">
        <v>84</v>
      </c>
      <c r="U252" s="11" t="s">
        <v>82</v>
      </c>
      <c r="W252" s="11" t="s">
        <v>82</v>
      </c>
    </row>
    <row r="253" spans="1:26" ht="38.25" x14ac:dyDescent="0.2">
      <c r="A253" s="11">
        <v>252</v>
      </c>
      <c r="B253" s="24"/>
      <c r="C253" s="11" t="s">
        <v>119</v>
      </c>
      <c r="D253" s="11" t="s">
        <v>2950</v>
      </c>
      <c r="E253" s="11" t="s">
        <v>246</v>
      </c>
      <c r="F253" s="11" t="s">
        <v>2951</v>
      </c>
      <c r="G253" s="24"/>
      <c r="H253" s="11" t="s">
        <v>82</v>
      </c>
      <c r="J253" s="11" t="s">
        <v>84</v>
      </c>
      <c r="K253" s="11" t="s">
        <v>2952</v>
      </c>
      <c r="L253" s="11" t="s">
        <v>82</v>
      </c>
      <c r="N253" s="11" t="s">
        <v>82</v>
      </c>
      <c r="R253" s="24"/>
      <c r="S253" s="11" t="s">
        <v>84</v>
      </c>
      <c r="T253" s="11" t="s">
        <v>4183</v>
      </c>
      <c r="U253" s="11" t="s">
        <v>82</v>
      </c>
      <c r="W253" s="11" t="s">
        <v>82</v>
      </c>
    </row>
    <row r="254" spans="1:26" x14ac:dyDescent="0.2">
      <c r="A254" s="11">
        <v>253</v>
      </c>
      <c r="B254" s="24"/>
      <c r="C254" s="11" t="s">
        <v>97</v>
      </c>
      <c r="E254" s="11" t="s">
        <v>246</v>
      </c>
      <c r="G254" s="24"/>
      <c r="H254" s="11" t="s">
        <v>80</v>
      </c>
      <c r="J254" s="11" t="s">
        <v>80</v>
      </c>
      <c r="L254" s="11" t="s">
        <v>80</v>
      </c>
      <c r="N254" s="11" t="s">
        <v>80</v>
      </c>
      <c r="R254" s="24"/>
      <c r="S254" s="11" t="s">
        <v>84</v>
      </c>
      <c r="U254" s="11" t="s">
        <v>84</v>
      </c>
      <c r="W254" s="11" t="s">
        <v>82</v>
      </c>
    </row>
    <row r="255" spans="1:26" x14ac:dyDescent="0.2">
      <c r="A255" s="11">
        <v>254</v>
      </c>
      <c r="B255" s="24"/>
      <c r="C255" s="11" t="s">
        <v>118</v>
      </c>
      <c r="G255" s="24"/>
      <c r="H255" s="11" t="s">
        <v>84</v>
      </c>
      <c r="J255" s="11" t="s">
        <v>82</v>
      </c>
      <c r="L255" s="11" t="s">
        <v>82</v>
      </c>
      <c r="N255" s="11" t="s">
        <v>82</v>
      </c>
      <c r="R255" s="24"/>
      <c r="S255" s="11" t="s">
        <v>82</v>
      </c>
      <c r="U255" s="11" t="s">
        <v>82</v>
      </c>
      <c r="W255" s="11" t="s">
        <v>84</v>
      </c>
      <c r="X255" s="11" t="s">
        <v>2972</v>
      </c>
    </row>
    <row r="256" spans="1:26" x14ac:dyDescent="0.2">
      <c r="A256" s="11">
        <v>255</v>
      </c>
      <c r="B256" s="24"/>
      <c r="C256" s="33"/>
      <c r="D256" s="33"/>
      <c r="E256" s="33"/>
      <c r="F256" s="33"/>
      <c r="G256" s="24"/>
      <c r="H256" s="33" t="s">
        <v>80</v>
      </c>
      <c r="I256" s="33"/>
      <c r="J256" s="33" t="s">
        <v>80</v>
      </c>
      <c r="K256" s="33"/>
      <c r="L256" s="33" t="s">
        <v>80</v>
      </c>
      <c r="M256" s="33"/>
      <c r="N256" s="33" t="s">
        <v>80</v>
      </c>
      <c r="O256" s="33"/>
      <c r="P256" s="33"/>
      <c r="Q256" s="33"/>
      <c r="R256" s="24"/>
      <c r="S256" s="33" t="s">
        <v>80</v>
      </c>
      <c r="T256" s="33"/>
      <c r="U256" s="33" t="s">
        <v>80</v>
      </c>
      <c r="V256" s="33"/>
      <c r="W256" s="33" t="s">
        <v>80</v>
      </c>
      <c r="X256" s="33"/>
      <c r="Y256" s="33"/>
      <c r="Z256" s="33"/>
    </row>
    <row r="257" spans="1:26" x14ac:dyDescent="0.2">
      <c r="A257" s="11">
        <v>256</v>
      </c>
      <c r="B257" s="24"/>
      <c r="C257" s="33" t="s">
        <v>118</v>
      </c>
      <c r="D257" s="33"/>
      <c r="E257" s="33"/>
      <c r="F257" s="33"/>
      <c r="G257" s="24"/>
      <c r="H257" s="33" t="s">
        <v>84</v>
      </c>
      <c r="I257" s="33"/>
      <c r="J257" s="33" t="s">
        <v>82</v>
      </c>
      <c r="K257" s="33"/>
      <c r="L257" s="33" t="s">
        <v>84</v>
      </c>
      <c r="M257" s="33"/>
      <c r="N257" s="33" t="s">
        <v>82</v>
      </c>
      <c r="O257" s="33"/>
      <c r="P257" s="33"/>
      <c r="Q257" s="33"/>
      <c r="R257" s="24"/>
      <c r="S257" s="33" t="s">
        <v>82</v>
      </c>
      <c r="T257" s="33"/>
      <c r="U257" s="33" t="s">
        <v>82</v>
      </c>
      <c r="V257" s="33"/>
      <c r="W257" s="33" t="s">
        <v>82</v>
      </c>
      <c r="X257" s="33"/>
      <c r="Y257" s="33"/>
      <c r="Z257" s="33"/>
    </row>
    <row r="258" spans="1:26" x14ac:dyDescent="0.2">
      <c r="A258" s="11">
        <v>257</v>
      </c>
      <c r="B258" s="24"/>
      <c r="C258" s="11" t="s">
        <v>99</v>
      </c>
      <c r="G258" s="24"/>
      <c r="H258" s="11" t="s">
        <v>84</v>
      </c>
      <c r="I258" s="11" t="s">
        <v>2987</v>
      </c>
      <c r="J258" s="11" t="s">
        <v>84</v>
      </c>
      <c r="K258" s="11" t="s">
        <v>423</v>
      </c>
      <c r="L258" s="11" t="s">
        <v>82</v>
      </c>
      <c r="N258" s="11" t="s">
        <v>82</v>
      </c>
      <c r="R258" s="24"/>
      <c r="S258" s="11" t="s">
        <v>82</v>
      </c>
      <c r="U258" s="11" t="s">
        <v>84</v>
      </c>
      <c r="W258" s="11" t="s">
        <v>84</v>
      </c>
    </row>
    <row r="259" spans="1:26" ht="38.25" x14ac:dyDescent="0.2">
      <c r="A259" s="11">
        <v>258</v>
      </c>
      <c r="B259" s="24"/>
      <c r="C259" s="11" t="s">
        <v>118</v>
      </c>
      <c r="G259" s="24"/>
      <c r="H259" s="11" t="s">
        <v>84</v>
      </c>
      <c r="I259" s="11" t="s">
        <v>2994</v>
      </c>
      <c r="J259" s="11" t="s">
        <v>84</v>
      </c>
      <c r="K259" s="11" t="s">
        <v>2995</v>
      </c>
      <c r="L259" s="11" t="s">
        <v>82</v>
      </c>
      <c r="N259" s="11" t="s">
        <v>82</v>
      </c>
      <c r="R259" s="24"/>
      <c r="S259" s="11" t="s">
        <v>84</v>
      </c>
      <c r="T259" s="11" t="s">
        <v>2996</v>
      </c>
      <c r="U259" s="11" t="s">
        <v>84</v>
      </c>
      <c r="V259" s="11" t="s">
        <v>2997</v>
      </c>
      <c r="W259" s="11" t="s">
        <v>82</v>
      </c>
    </row>
    <row r="260" spans="1:26" x14ac:dyDescent="0.2">
      <c r="A260" s="11">
        <v>259</v>
      </c>
      <c r="B260" s="24"/>
      <c r="C260" s="11" t="s">
        <v>97</v>
      </c>
      <c r="E260" s="11" t="s">
        <v>246</v>
      </c>
      <c r="G260" s="24"/>
      <c r="H260" s="11" t="s">
        <v>80</v>
      </c>
      <c r="J260" s="11" t="s">
        <v>80</v>
      </c>
      <c r="L260" s="11" t="s">
        <v>80</v>
      </c>
      <c r="N260" s="11" t="s">
        <v>80</v>
      </c>
      <c r="R260" s="24"/>
      <c r="S260" s="11" t="s">
        <v>84</v>
      </c>
      <c r="T260" s="11" t="s">
        <v>3055</v>
      </c>
      <c r="U260" s="11" t="s">
        <v>82</v>
      </c>
      <c r="W260" s="11" t="s">
        <v>82</v>
      </c>
    </row>
    <row r="261" spans="1:26" ht="38.25" x14ac:dyDescent="0.2">
      <c r="A261" s="11">
        <v>260</v>
      </c>
      <c r="B261" s="24"/>
      <c r="C261" s="11" t="s">
        <v>118</v>
      </c>
      <c r="G261" s="24"/>
      <c r="H261" s="11" t="s">
        <v>84</v>
      </c>
      <c r="I261" s="11" t="s">
        <v>3067</v>
      </c>
      <c r="J261" s="11" t="s">
        <v>84</v>
      </c>
      <c r="K261" s="11" t="s">
        <v>3068</v>
      </c>
      <c r="L261" s="11" t="s">
        <v>82</v>
      </c>
      <c r="N261" s="11" t="s">
        <v>82</v>
      </c>
      <c r="R261" s="24"/>
      <c r="S261" s="11" t="s">
        <v>84</v>
      </c>
      <c r="T261" s="11" t="s">
        <v>3069</v>
      </c>
      <c r="U261" s="11" t="s">
        <v>84</v>
      </c>
      <c r="V261" s="11" t="s">
        <v>3070</v>
      </c>
      <c r="W261" s="11" t="s">
        <v>82</v>
      </c>
    </row>
    <row r="262" spans="1:26" ht="38.25" x14ac:dyDescent="0.2">
      <c r="A262" s="11">
        <v>261</v>
      </c>
      <c r="B262" s="24"/>
      <c r="C262" s="11" t="s">
        <v>99</v>
      </c>
      <c r="G262" s="24"/>
      <c r="H262" s="11" t="s">
        <v>82</v>
      </c>
      <c r="J262" s="11" t="s">
        <v>84</v>
      </c>
      <c r="K262" s="11" t="s">
        <v>3080</v>
      </c>
      <c r="L262" s="11" t="s">
        <v>82</v>
      </c>
      <c r="N262" s="11" t="s">
        <v>82</v>
      </c>
      <c r="R262" s="24"/>
      <c r="S262" s="11" t="s">
        <v>84</v>
      </c>
      <c r="U262" s="11" t="s">
        <v>82</v>
      </c>
      <c r="W262" s="11" t="s">
        <v>82</v>
      </c>
    </row>
    <row r="263" spans="1:26" x14ac:dyDescent="0.2">
      <c r="A263" s="11">
        <v>262</v>
      </c>
      <c r="B263" s="24"/>
      <c r="C263" s="11" t="s">
        <v>97</v>
      </c>
      <c r="E263" s="11" t="s">
        <v>246</v>
      </c>
      <c r="G263" s="24"/>
      <c r="H263" s="11" t="s">
        <v>80</v>
      </c>
      <c r="J263" s="11" t="s">
        <v>80</v>
      </c>
      <c r="L263" s="11" t="s">
        <v>80</v>
      </c>
      <c r="N263" s="11" t="s">
        <v>80</v>
      </c>
      <c r="R263" s="24"/>
      <c r="S263" s="11" t="s">
        <v>84</v>
      </c>
      <c r="T263" s="11" t="s">
        <v>1820</v>
      </c>
      <c r="U263" s="11" t="s">
        <v>84</v>
      </c>
      <c r="V263" s="11" t="s">
        <v>3096</v>
      </c>
      <c r="W263" s="11" t="s">
        <v>82</v>
      </c>
    </row>
    <row r="264" spans="1:26" x14ac:dyDescent="0.2">
      <c r="A264" s="11">
        <v>263</v>
      </c>
      <c r="B264" s="24"/>
      <c r="C264" s="11" t="s">
        <v>97</v>
      </c>
      <c r="E264" s="11" t="s">
        <v>246</v>
      </c>
      <c r="G264" s="24"/>
      <c r="H264" s="11" t="s">
        <v>80</v>
      </c>
      <c r="J264" s="11" t="s">
        <v>80</v>
      </c>
      <c r="L264" s="11" t="s">
        <v>80</v>
      </c>
      <c r="N264" s="11" t="s">
        <v>80</v>
      </c>
      <c r="R264" s="24"/>
      <c r="S264" s="11" t="s">
        <v>84</v>
      </c>
      <c r="U264" s="11" t="s">
        <v>84</v>
      </c>
      <c r="W264" s="11" t="s">
        <v>82</v>
      </c>
    </row>
    <row r="265" spans="1:26" x14ac:dyDescent="0.2">
      <c r="A265" s="11">
        <v>264</v>
      </c>
      <c r="B265" s="24"/>
      <c r="C265" s="11" t="s">
        <v>97</v>
      </c>
      <c r="E265" s="11" t="s">
        <v>246</v>
      </c>
      <c r="G265" s="24"/>
      <c r="H265" s="11" t="s">
        <v>80</v>
      </c>
      <c r="J265" s="11" t="s">
        <v>80</v>
      </c>
      <c r="L265" s="11" t="s">
        <v>80</v>
      </c>
      <c r="N265" s="11" t="s">
        <v>80</v>
      </c>
      <c r="R265" s="24"/>
      <c r="S265" s="11" t="s">
        <v>84</v>
      </c>
      <c r="U265" s="11" t="s">
        <v>82</v>
      </c>
      <c r="W265" s="11" t="s">
        <v>82</v>
      </c>
    </row>
    <row r="266" spans="1:26" x14ac:dyDescent="0.2">
      <c r="A266" s="11">
        <v>265</v>
      </c>
      <c r="B266" s="24"/>
      <c r="C266" s="11" t="s">
        <v>97</v>
      </c>
      <c r="E266" s="11" t="s">
        <v>246</v>
      </c>
      <c r="G266" s="24"/>
      <c r="H266" s="11" t="s">
        <v>80</v>
      </c>
      <c r="J266" s="11" t="s">
        <v>80</v>
      </c>
      <c r="L266" s="11" t="s">
        <v>80</v>
      </c>
      <c r="N266" s="11" t="s">
        <v>80</v>
      </c>
      <c r="R266" s="24"/>
      <c r="S266" s="11" t="s">
        <v>84</v>
      </c>
      <c r="T266" s="11" t="s">
        <v>1456</v>
      </c>
      <c r="U266" s="11" t="s">
        <v>82</v>
      </c>
      <c r="W266" s="11" t="s">
        <v>82</v>
      </c>
    </row>
    <row r="267" spans="1:26" x14ac:dyDescent="0.2">
      <c r="A267" s="11">
        <v>266</v>
      </c>
      <c r="B267" s="24"/>
      <c r="C267" s="11" t="s">
        <v>99</v>
      </c>
      <c r="G267" s="24"/>
      <c r="H267" s="11" t="s">
        <v>84</v>
      </c>
      <c r="J267" s="11" t="s">
        <v>82</v>
      </c>
      <c r="L267" s="11" t="s">
        <v>82</v>
      </c>
      <c r="N267" s="11" t="s">
        <v>82</v>
      </c>
      <c r="R267" s="24"/>
      <c r="S267" s="11" t="s">
        <v>82</v>
      </c>
      <c r="U267" s="11" t="s">
        <v>84</v>
      </c>
      <c r="W267" s="11" t="s">
        <v>82</v>
      </c>
    </row>
    <row r="268" spans="1:26" ht="38.25" x14ac:dyDescent="0.2">
      <c r="A268" s="11">
        <v>267</v>
      </c>
      <c r="B268" s="24"/>
      <c r="C268" s="11" t="s">
        <v>99</v>
      </c>
      <c r="G268" s="24"/>
      <c r="H268" s="11" t="s">
        <v>84</v>
      </c>
      <c r="I268" s="11" t="s">
        <v>3123</v>
      </c>
      <c r="J268" s="11" t="s">
        <v>82</v>
      </c>
      <c r="L268" s="11" t="s">
        <v>82</v>
      </c>
      <c r="N268" s="11" t="s">
        <v>82</v>
      </c>
      <c r="R268" s="24"/>
      <c r="S268" s="11" t="s">
        <v>82</v>
      </c>
      <c r="U268" s="11" t="s">
        <v>82</v>
      </c>
      <c r="W268" s="11" t="s">
        <v>82</v>
      </c>
      <c r="Y268" s="11" t="s">
        <v>3124</v>
      </c>
      <c r="Z268" s="11" t="s">
        <v>3125</v>
      </c>
    </row>
    <row r="269" spans="1:26" x14ac:dyDescent="0.2">
      <c r="A269" s="11">
        <v>268</v>
      </c>
      <c r="B269" s="24"/>
      <c r="C269" s="11" t="s">
        <v>99</v>
      </c>
      <c r="G269" s="24"/>
      <c r="H269" s="11" t="s">
        <v>84</v>
      </c>
      <c r="J269" s="11" t="s">
        <v>82</v>
      </c>
      <c r="L269" s="11" t="s">
        <v>82</v>
      </c>
      <c r="N269" s="11" t="s">
        <v>82</v>
      </c>
      <c r="R269" s="24"/>
      <c r="S269" s="11" t="s">
        <v>84</v>
      </c>
      <c r="U269" s="11" t="s">
        <v>82</v>
      </c>
      <c r="W269" s="11" t="s">
        <v>82</v>
      </c>
    </row>
    <row r="270" spans="1:26" ht="38.25" x14ac:dyDescent="0.2">
      <c r="A270" s="11">
        <v>269</v>
      </c>
      <c r="B270" s="24"/>
      <c r="C270" s="11" t="s">
        <v>119</v>
      </c>
      <c r="D270" s="11" t="s">
        <v>3139</v>
      </c>
      <c r="E270" s="11" t="s">
        <v>246</v>
      </c>
      <c r="F270" s="11" t="s">
        <v>3140</v>
      </c>
      <c r="G270" s="24"/>
      <c r="H270" s="11" t="s">
        <v>82</v>
      </c>
      <c r="J270" s="11" t="s">
        <v>82</v>
      </c>
      <c r="L270" s="11" t="s">
        <v>82</v>
      </c>
      <c r="N270" s="11" t="s">
        <v>82</v>
      </c>
      <c r="P270" s="11" t="s">
        <v>3141</v>
      </c>
      <c r="Q270" s="11" t="s">
        <v>3142</v>
      </c>
      <c r="R270" s="24"/>
      <c r="S270" s="11" t="s">
        <v>82</v>
      </c>
      <c r="U270" s="11" t="s">
        <v>82</v>
      </c>
      <c r="W270" s="11" t="s">
        <v>82</v>
      </c>
      <c r="Y270" s="11" t="s">
        <v>3141</v>
      </c>
      <c r="Z270" s="11" t="s">
        <v>3141</v>
      </c>
    </row>
    <row r="271" spans="1:26" x14ac:dyDescent="0.2">
      <c r="A271" s="11">
        <v>270</v>
      </c>
      <c r="B271" s="24"/>
      <c r="C271" s="11" t="s">
        <v>99</v>
      </c>
      <c r="G271" s="24"/>
      <c r="H271" s="11" t="s">
        <v>84</v>
      </c>
      <c r="I271" s="11" t="s">
        <v>3154</v>
      </c>
      <c r="J271" s="11" t="s">
        <v>82</v>
      </c>
      <c r="L271" s="11" t="s">
        <v>84</v>
      </c>
      <c r="M271" s="11" t="s">
        <v>3155</v>
      </c>
      <c r="N271" s="11" t="s">
        <v>82</v>
      </c>
      <c r="R271" s="24"/>
      <c r="S271" s="11" t="s">
        <v>82</v>
      </c>
      <c r="U271" s="11" t="s">
        <v>82</v>
      </c>
      <c r="W271" s="11" t="s">
        <v>84</v>
      </c>
      <c r="X271" s="11" t="s">
        <v>3156</v>
      </c>
    </row>
    <row r="272" spans="1:26" ht="102" x14ac:dyDescent="0.2">
      <c r="A272" s="11">
        <v>271</v>
      </c>
      <c r="B272" s="24"/>
      <c r="C272" s="11" t="s">
        <v>99</v>
      </c>
      <c r="G272" s="24"/>
      <c r="H272" s="11" t="s">
        <v>82</v>
      </c>
      <c r="J272" s="11" t="s">
        <v>84</v>
      </c>
      <c r="L272" s="11" t="s">
        <v>82</v>
      </c>
      <c r="N272" s="11" t="s">
        <v>84</v>
      </c>
      <c r="O272" s="11" t="s">
        <v>3165</v>
      </c>
      <c r="R272" s="24"/>
      <c r="S272" s="11" t="s">
        <v>84</v>
      </c>
      <c r="T272" s="11" t="s">
        <v>3166</v>
      </c>
      <c r="U272" s="11" t="s">
        <v>82</v>
      </c>
      <c r="W272" s="11" t="s">
        <v>82</v>
      </c>
    </row>
    <row r="273" spans="1:26" x14ac:dyDescent="0.2">
      <c r="A273" s="11">
        <v>272</v>
      </c>
      <c r="B273" s="24"/>
      <c r="C273" s="11" t="s">
        <v>118</v>
      </c>
      <c r="G273" s="24"/>
      <c r="H273" s="11" t="s">
        <v>84</v>
      </c>
      <c r="J273" s="11" t="s">
        <v>84</v>
      </c>
      <c r="L273" s="11" t="s">
        <v>82</v>
      </c>
      <c r="N273" s="11" t="s">
        <v>84</v>
      </c>
      <c r="R273" s="24"/>
      <c r="S273" s="11" t="s">
        <v>84</v>
      </c>
      <c r="U273" s="11" t="s">
        <v>84</v>
      </c>
      <c r="W273" s="11" t="s">
        <v>82</v>
      </c>
    </row>
    <row r="274" spans="1:26" x14ac:dyDescent="0.2">
      <c r="A274" s="11">
        <v>273</v>
      </c>
      <c r="B274" s="58"/>
      <c r="C274" s="9" t="s">
        <v>118</v>
      </c>
      <c r="D274" s="9"/>
      <c r="E274" s="9"/>
      <c r="F274" s="9"/>
      <c r="G274" s="58"/>
      <c r="H274" s="9" t="s">
        <v>84</v>
      </c>
      <c r="I274" s="9"/>
      <c r="J274" s="9" t="s">
        <v>84</v>
      </c>
      <c r="K274" s="9"/>
      <c r="L274" s="9" t="s">
        <v>82</v>
      </c>
      <c r="M274" s="9"/>
      <c r="N274" s="9" t="s">
        <v>84</v>
      </c>
      <c r="O274" s="9"/>
      <c r="P274" s="9"/>
      <c r="Q274" s="9"/>
      <c r="R274" s="58"/>
      <c r="S274" s="9" t="s">
        <v>84</v>
      </c>
      <c r="T274" s="9"/>
      <c r="U274" s="9" t="s">
        <v>82</v>
      </c>
      <c r="V274" s="9"/>
      <c r="W274" s="9" t="s">
        <v>84</v>
      </c>
      <c r="X274" s="9"/>
      <c r="Y274" s="9"/>
      <c r="Z274" s="9"/>
    </row>
    <row r="275" spans="1:26" x14ac:dyDescent="0.2">
      <c r="A275" s="11">
        <v>274</v>
      </c>
      <c r="B275" s="58"/>
      <c r="C275" s="9" t="s">
        <v>99</v>
      </c>
      <c r="D275" s="9"/>
      <c r="E275" s="9"/>
      <c r="F275" s="9"/>
      <c r="G275" s="58"/>
      <c r="H275" s="9" t="s">
        <v>84</v>
      </c>
      <c r="I275" s="9"/>
      <c r="J275" s="9" t="s">
        <v>84</v>
      </c>
      <c r="K275" s="9"/>
      <c r="L275" s="9" t="s">
        <v>82</v>
      </c>
      <c r="M275" s="9"/>
      <c r="N275" s="9" t="s">
        <v>84</v>
      </c>
      <c r="O275" s="9"/>
      <c r="P275" s="9"/>
      <c r="Q275" s="9"/>
      <c r="R275" s="58"/>
      <c r="S275" s="9" t="s">
        <v>82</v>
      </c>
      <c r="T275" s="9"/>
      <c r="U275" s="9" t="s">
        <v>82</v>
      </c>
      <c r="V275" s="9"/>
      <c r="W275" s="9" t="s">
        <v>84</v>
      </c>
      <c r="X275" s="9"/>
      <c r="Y275" s="9"/>
      <c r="Z275" s="9"/>
    </row>
    <row r="276" spans="1:26" x14ac:dyDescent="0.2">
      <c r="A276" s="11">
        <v>275</v>
      </c>
      <c r="B276" s="58"/>
      <c r="C276" s="9" t="s">
        <v>118</v>
      </c>
      <c r="D276" s="9"/>
      <c r="E276" s="9"/>
      <c r="F276" s="9"/>
      <c r="G276" s="58"/>
      <c r="H276" s="9" t="s">
        <v>84</v>
      </c>
      <c r="I276" s="9"/>
      <c r="J276" s="9" t="s">
        <v>84</v>
      </c>
      <c r="K276" s="9"/>
      <c r="L276" s="9" t="s">
        <v>82</v>
      </c>
      <c r="M276" s="9"/>
      <c r="N276" s="9" t="s">
        <v>82</v>
      </c>
      <c r="O276" s="9"/>
      <c r="P276" s="9"/>
      <c r="Q276" s="9"/>
      <c r="R276" s="58"/>
      <c r="S276" s="9" t="s">
        <v>84</v>
      </c>
      <c r="T276" s="9"/>
      <c r="U276" s="9" t="s">
        <v>84</v>
      </c>
      <c r="V276" s="9"/>
      <c r="W276" s="9" t="s">
        <v>82</v>
      </c>
      <c r="X276" s="9"/>
      <c r="Y276" s="9"/>
      <c r="Z276" s="9"/>
    </row>
    <row r="277" spans="1:26" x14ac:dyDescent="0.2">
      <c r="A277" s="11">
        <v>276</v>
      </c>
      <c r="B277" s="58"/>
      <c r="C277" s="9" t="s">
        <v>97</v>
      </c>
      <c r="D277" s="9"/>
      <c r="E277" s="9" t="s">
        <v>246</v>
      </c>
      <c r="F277" s="9"/>
      <c r="G277" s="58"/>
      <c r="H277" s="9" t="s">
        <v>80</v>
      </c>
      <c r="I277" s="9"/>
      <c r="J277" s="9" t="s">
        <v>80</v>
      </c>
      <c r="K277" s="9"/>
      <c r="L277" s="9" t="s">
        <v>80</v>
      </c>
      <c r="M277" s="9"/>
      <c r="N277" s="9" t="s">
        <v>80</v>
      </c>
      <c r="O277" s="9"/>
      <c r="P277" s="9"/>
      <c r="Q277" s="9"/>
      <c r="R277" s="58"/>
      <c r="S277" s="9" t="s">
        <v>82</v>
      </c>
      <c r="T277" s="9"/>
      <c r="U277" s="9" t="s">
        <v>84</v>
      </c>
      <c r="V277" s="9"/>
      <c r="W277" s="9" t="s">
        <v>82</v>
      </c>
      <c r="X277" s="9"/>
      <c r="Y277" s="9"/>
      <c r="Z277" s="9"/>
    </row>
  </sheetData>
  <pageMargins left="0.5" right="0.5" top="1" bottom="1" header="0.5" footer="0.5"/>
  <pageSetup orientation="portrait" useFirstPageNumber="1" r:id="rId1"/>
  <headerFooter>
    <oddHeader>&amp;C&amp;"Times New Roman,Regular"&amp;12&amp;A</oddHeader>
    <oddFooter>&amp;C&amp;"Times New Roman,Regular"&amp;12Page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96BAF-EA6C-4E59-91F5-7AE8CDC11099}">
  <dimension ref="A1:EN277"/>
  <sheetViews>
    <sheetView topLeftCell="M1" zoomScale="70" zoomScaleNormal="70" workbookViewId="0">
      <pane ySplit="1" topLeftCell="A2" activePane="bottomLeft" state="frozen"/>
      <selection activeCell="F1" sqref="F1"/>
      <selection pane="bottomLeft" activeCell="P1" sqref="P1"/>
    </sheetView>
  </sheetViews>
  <sheetFormatPr defaultColWidth="26.85546875" defaultRowHeight="12.75" x14ac:dyDescent="0.2"/>
  <cols>
    <col min="1" max="1" width="10.5703125" style="11" customWidth="1"/>
    <col min="2" max="2" width="20.140625" style="11" customWidth="1"/>
    <col min="3" max="3" width="23.7109375" style="11" customWidth="1"/>
    <col min="4" max="5" width="26.85546875" style="11"/>
    <col min="6" max="7" width="19.28515625" style="11" customWidth="1"/>
    <col min="8" max="8" width="26.85546875" style="11"/>
    <col min="9" max="9" width="41" style="11" customWidth="1"/>
    <col min="10" max="10" width="19.42578125" style="11" customWidth="1"/>
    <col min="11" max="11" width="30.7109375" style="11" customWidth="1"/>
    <col min="12" max="13" width="26.85546875" style="11"/>
    <col min="14" max="14" width="12.85546875" style="11" customWidth="1"/>
    <col min="15" max="15" width="13.140625" style="11" customWidth="1"/>
    <col min="16" max="16" width="26.85546875" style="11"/>
    <col min="17" max="17" width="23.140625" style="11" customWidth="1"/>
    <col min="18" max="18" width="8.28515625" style="11" customWidth="1"/>
    <col min="19" max="31" width="9.140625" style="11" customWidth="1"/>
    <col min="32" max="32" width="26.85546875" style="11"/>
    <col min="33" max="33" width="9" style="11" customWidth="1"/>
    <col min="34" max="46" width="10.140625" style="11" customWidth="1"/>
    <col min="47" max="47" width="26.85546875" style="11"/>
    <col min="48" max="48" width="8.85546875" style="11" customWidth="1"/>
    <col min="49" max="51" width="9.140625" style="11" customWidth="1"/>
    <col min="52" max="52" width="15.140625" style="11" customWidth="1"/>
    <col min="53" max="61" width="11.140625" style="11" customWidth="1"/>
    <col min="62" max="62" width="22.140625" style="11" customWidth="1"/>
    <col min="63" max="63" width="8.140625" style="11" customWidth="1"/>
    <col min="64" max="66" width="9.140625" style="11" customWidth="1"/>
    <col min="67" max="67" width="9.85546875" style="11" customWidth="1"/>
    <col min="68" max="68" width="10.7109375" style="11" customWidth="1"/>
    <col min="69" max="69" width="9.7109375" style="11" customWidth="1"/>
    <col min="70" max="70" width="10.42578125" style="11" customWidth="1"/>
    <col min="71" max="71" width="10.85546875" style="11" customWidth="1"/>
    <col min="72" max="72" width="10.7109375" style="11" customWidth="1"/>
    <col min="73" max="73" width="10.28515625" style="11" customWidth="1"/>
    <col min="74" max="74" width="11.85546875" style="11" customWidth="1"/>
    <col min="75" max="75" width="10.28515625" style="11" customWidth="1"/>
    <col min="76" max="76" width="8.140625" style="11" customWidth="1"/>
    <col min="77" max="77" width="26.85546875" style="11"/>
    <col min="78" max="78" width="6.5703125" style="11" customWidth="1"/>
    <col min="79" max="81" width="9.140625" style="11" customWidth="1"/>
    <col min="82" max="90" width="9.85546875" style="11" customWidth="1"/>
    <col min="91" max="91" width="6.5703125" style="11" customWidth="1"/>
    <col min="92" max="92" width="22.85546875" style="11" customWidth="1"/>
    <col min="93" max="93" width="9.5703125" style="11" customWidth="1"/>
    <col min="94" max="102" width="9.7109375" style="11" customWidth="1"/>
    <col min="103" max="103" width="5.5703125" style="11" customWidth="1"/>
    <col min="104" max="104" width="28.42578125" style="11" customWidth="1"/>
    <col min="105" max="105" width="8.140625" style="11" customWidth="1"/>
    <col min="106" max="117" width="10.28515625" style="11" customWidth="1"/>
    <col min="118" max="118" width="8.140625" style="11" customWidth="1"/>
    <col min="119" max="119" width="26.140625" style="11" customWidth="1"/>
    <col min="120" max="120" width="6" style="11" customWidth="1"/>
    <col min="121" max="123" width="9.140625" style="11" customWidth="1"/>
    <col min="124" max="133" width="8.140625" style="11" customWidth="1"/>
    <col min="134" max="134" width="18.140625" style="11" customWidth="1"/>
    <col min="135" max="135" width="6.140625" style="11" customWidth="1"/>
    <col min="136" max="136" width="12.42578125" style="11" customWidth="1"/>
    <col min="137" max="137" width="12.7109375" style="11" customWidth="1"/>
    <col min="138" max="138" width="12.28515625" style="11" customWidth="1"/>
    <col min="139" max="139" width="7.7109375" style="11" customWidth="1"/>
    <col min="140" max="140" width="16.28515625" style="11" customWidth="1"/>
    <col min="141" max="141" width="6.5703125" style="11" customWidth="1"/>
    <col min="142" max="142" width="14.42578125" style="11" customWidth="1"/>
    <col min="143" max="143" width="13.5703125" style="11" customWidth="1"/>
    <col min="144" max="144" width="14.5703125" style="11" customWidth="1"/>
    <col min="145" max="16384" width="26.85546875" style="11"/>
  </cols>
  <sheetData>
    <row r="1" spans="1:144" s="2" customFormat="1" ht="76.5" x14ac:dyDescent="0.2">
      <c r="B1" s="2" t="s">
        <v>672</v>
      </c>
      <c r="C1" s="2" t="s">
        <v>3621</v>
      </c>
      <c r="D1" s="2" t="s">
        <v>674</v>
      </c>
      <c r="E1" s="22" t="s">
        <v>1980</v>
      </c>
      <c r="F1" s="2" t="s">
        <v>3622</v>
      </c>
      <c r="G1" s="22" t="s">
        <v>1949</v>
      </c>
      <c r="H1" s="2" t="s">
        <v>673</v>
      </c>
      <c r="I1" s="22" t="s">
        <v>3613</v>
      </c>
      <c r="J1" s="2" t="s">
        <v>3614</v>
      </c>
      <c r="K1" s="22" t="s">
        <v>1950</v>
      </c>
      <c r="L1" s="2" t="s">
        <v>675</v>
      </c>
      <c r="M1" s="22" t="s">
        <v>3613</v>
      </c>
      <c r="N1" s="2" t="s">
        <v>676</v>
      </c>
      <c r="O1" s="2" t="s">
        <v>677</v>
      </c>
      <c r="Q1" s="8" t="s">
        <v>672</v>
      </c>
      <c r="R1" s="8" t="s">
        <v>3570</v>
      </c>
      <c r="S1" s="8" t="s">
        <v>4002</v>
      </c>
      <c r="T1" s="8" t="s">
        <v>4014</v>
      </c>
      <c r="U1" s="8" t="s">
        <v>4003</v>
      </c>
      <c r="V1" s="8"/>
      <c r="W1" s="8" t="s">
        <v>105</v>
      </c>
      <c r="X1" s="8" t="s">
        <v>324</v>
      </c>
      <c r="Y1" s="8" t="s">
        <v>309</v>
      </c>
      <c r="Z1" s="8" t="s">
        <v>443</v>
      </c>
      <c r="AA1" s="8" t="s">
        <v>107</v>
      </c>
      <c r="AB1" s="8" t="s">
        <v>3959</v>
      </c>
      <c r="AC1" s="8" t="s">
        <v>377</v>
      </c>
      <c r="AD1" s="8" t="s">
        <v>161</v>
      </c>
      <c r="AE1" s="8"/>
      <c r="AF1" s="8" t="s">
        <v>3621</v>
      </c>
      <c r="AG1" s="8" t="s">
        <v>3570</v>
      </c>
      <c r="AH1" s="8" t="s">
        <v>4002</v>
      </c>
      <c r="AI1" s="8" t="s">
        <v>4014</v>
      </c>
      <c r="AJ1" s="8" t="s">
        <v>4003</v>
      </c>
      <c r="AK1" s="8"/>
      <c r="AL1" s="8" t="s">
        <v>105</v>
      </c>
      <c r="AM1" s="8" t="s">
        <v>324</v>
      </c>
      <c r="AN1" s="8" t="s">
        <v>309</v>
      </c>
      <c r="AO1" s="8" t="s">
        <v>443</v>
      </c>
      <c r="AP1" s="8" t="s">
        <v>107</v>
      </c>
      <c r="AQ1" s="8" t="s">
        <v>3959</v>
      </c>
      <c r="AR1" s="8" t="s">
        <v>377</v>
      </c>
      <c r="AS1" s="8" t="s">
        <v>161</v>
      </c>
      <c r="AT1" s="8"/>
      <c r="AU1" s="8" t="s">
        <v>1983</v>
      </c>
      <c r="AV1" s="8" t="s">
        <v>3570</v>
      </c>
      <c r="AW1" s="8" t="s">
        <v>4002</v>
      </c>
      <c r="AX1" s="8" t="s">
        <v>4014</v>
      </c>
      <c r="AY1" s="8" t="s">
        <v>4003</v>
      </c>
      <c r="AZ1" s="8"/>
      <c r="BA1" s="8" t="s">
        <v>105</v>
      </c>
      <c r="BB1" s="8" t="s">
        <v>324</v>
      </c>
      <c r="BC1" s="8" t="s">
        <v>309</v>
      </c>
      <c r="BD1" s="8" t="s">
        <v>443</v>
      </c>
      <c r="BE1" s="8" t="s">
        <v>107</v>
      </c>
      <c r="BF1" s="8" t="s">
        <v>3959</v>
      </c>
      <c r="BG1" s="8" t="s">
        <v>377</v>
      </c>
      <c r="BH1" s="8" t="s">
        <v>161</v>
      </c>
      <c r="BI1" s="8"/>
      <c r="BJ1" s="8" t="s">
        <v>3622</v>
      </c>
      <c r="BK1" s="8" t="s">
        <v>3570</v>
      </c>
      <c r="BL1" s="8" t="s">
        <v>4002</v>
      </c>
      <c r="BM1" s="8" t="s">
        <v>4014</v>
      </c>
      <c r="BN1" s="8" t="s">
        <v>4003</v>
      </c>
      <c r="BO1" s="8"/>
      <c r="BP1" s="8" t="s">
        <v>105</v>
      </c>
      <c r="BQ1" s="8" t="s">
        <v>324</v>
      </c>
      <c r="BR1" s="8" t="s">
        <v>309</v>
      </c>
      <c r="BS1" s="8" t="s">
        <v>443</v>
      </c>
      <c r="BT1" s="8" t="s">
        <v>107</v>
      </c>
      <c r="BU1" s="8" t="s">
        <v>3959</v>
      </c>
      <c r="BV1" s="8" t="s">
        <v>377</v>
      </c>
      <c r="BW1" s="8" t="s">
        <v>161</v>
      </c>
      <c r="BX1" s="8"/>
      <c r="BY1" s="8" t="s">
        <v>673</v>
      </c>
      <c r="BZ1" s="8" t="s">
        <v>3570</v>
      </c>
      <c r="CA1" s="8" t="s">
        <v>4002</v>
      </c>
      <c r="CB1" s="8" t="s">
        <v>4014</v>
      </c>
      <c r="CC1" s="8" t="s">
        <v>4003</v>
      </c>
      <c r="CD1" s="8"/>
      <c r="CE1" s="8" t="s">
        <v>105</v>
      </c>
      <c r="CF1" s="8" t="s">
        <v>324</v>
      </c>
      <c r="CG1" s="8" t="s">
        <v>309</v>
      </c>
      <c r="CH1" s="8" t="s">
        <v>443</v>
      </c>
      <c r="CI1" s="8" t="s">
        <v>107</v>
      </c>
      <c r="CJ1" s="8" t="s">
        <v>3959</v>
      </c>
      <c r="CK1" s="8" t="s">
        <v>377</v>
      </c>
      <c r="CL1" s="8" t="s">
        <v>161</v>
      </c>
      <c r="CM1" s="8"/>
      <c r="CN1" s="8" t="s">
        <v>3614</v>
      </c>
      <c r="CO1" s="8" t="s">
        <v>3570</v>
      </c>
      <c r="CP1" s="8"/>
      <c r="CQ1" s="8" t="s">
        <v>105</v>
      </c>
      <c r="CR1" s="8" t="s">
        <v>324</v>
      </c>
      <c r="CS1" s="8" t="s">
        <v>309</v>
      </c>
      <c r="CT1" s="8" t="s">
        <v>443</v>
      </c>
      <c r="CU1" s="8" t="s">
        <v>107</v>
      </c>
      <c r="CV1" s="8" t="s">
        <v>3959</v>
      </c>
      <c r="CW1" s="8" t="s">
        <v>377</v>
      </c>
      <c r="CX1" s="8" t="s">
        <v>161</v>
      </c>
      <c r="CY1" s="8"/>
      <c r="CZ1" s="8" t="s">
        <v>3802</v>
      </c>
      <c r="DA1" s="8" t="s">
        <v>3570</v>
      </c>
      <c r="DB1" s="8" t="s">
        <v>4002</v>
      </c>
      <c r="DC1" s="8" t="s">
        <v>4014</v>
      </c>
      <c r="DD1" s="8" t="s">
        <v>4003</v>
      </c>
      <c r="DE1" s="8"/>
      <c r="DF1" s="8" t="s">
        <v>105</v>
      </c>
      <c r="DG1" s="8" t="s">
        <v>324</v>
      </c>
      <c r="DH1" s="8" t="s">
        <v>309</v>
      </c>
      <c r="DI1" s="8" t="s">
        <v>443</v>
      </c>
      <c r="DJ1" s="8" t="s">
        <v>107</v>
      </c>
      <c r="DK1" s="8" t="s">
        <v>3959</v>
      </c>
      <c r="DL1" s="8" t="s">
        <v>377</v>
      </c>
      <c r="DM1" s="8" t="s">
        <v>161</v>
      </c>
      <c r="DN1" s="8"/>
      <c r="DO1" s="8" t="s">
        <v>712</v>
      </c>
      <c r="DP1" s="8" t="s">
        <v>3570</v>
      </c>
      <c r="DQ1" s="8" t="s">
        <v>4002</v>
      </c>
      <c r="DR1" s="8" t="s">
        <v>4014</v>
      </c>
      <c r="DS1" s="8" t="s">
        <v>4003</v>
      </c>
      <c r="DT1" s="8"/>
      <c r="DU1" s="8" t="s">
        <v>105</v>
      </c>
      <c r="DV1" s="8" t="s">
        <v>324</v>
      </c>
      <c r="DW1" s="8" t="s">
        <v>309</v>
      </c>
      <c r="DX1" s="8" t="s">
        <v>443</v>
      </c>
      <c r="DY1" s="8" t="s">
        <v>107</v>
      </c>
      <c r="DZ1" s="8" t="s">
        <v>3959</v>
      </c>
      <c r="EA1" s="8" t="s">
        <v>377</v>
      </c>
      <c r="EB1" s="8" t="s">
        <v>161</v>
      </c>
      <c r="EC1" s="8"/>
      <c r="ED1" s="8" t="s">
        <v>676</v>
      </c>
      <c r="EE1" s="8"/>
      <c r="EF1" s="8" t="s">
        <v>4002</v>
      </c>
      <c r="EG1" s="8" t="s">
        <v>4014</v>
      </c>
      <c r="EH1" s="8" t="s">
        <v>4003</v>
      </c>
      <c r="EI1" s="8"/>
      <c r="EJ1" s="8" t="s">
        <v>677</v>
      </c>
      <c r="EK1" s="8"/>
      <c r="EL1" s="8" t="s">
        <v>4002</v>
      </c>
      <c r="EM1" s="8" t="s">
        <v>4014</v>
      </c>
      <c r="EN1" s="8" t="s">
        <v>4003</v>
      </c>
    </row>
    <row r="2" spans="1:144" x14ac:dyDescent="0.2">
      <c r="A2" s="11">
        <v>1</v>
      </c>
      <c r="B2" s="11" t="s">
        <v>97</v>
      </c>
      <c r="C2" s="11" t="s">
        <v>84</v>
      </c>
      <c r="D2" s="39"/>
      <c r="H2" s="11" t="s">
        <v>84</v>
      </c>
      <c r="I2" s="7" t="s">
        <v>1015</v>
      </c>
      <c r="J2" s="21"/>
      <c r="L2" s="11" t="s">
        <v>82</v>
      </c>
      <c r="N2" s="11" t="s">
        <v>84</v>
      </c>
      <c r="O2" s="11" t="s">
        <v>84</v>
      </c>
      <c r="Q2" s="11" t="s">
        <v>708</v>
      </c>
      <c r="R2" s="11">
        <f>COUNTIF($B$62:$B$496,"the core facility")</f>
        <v>65</v>
      </c>
      <c r="S2" s="11">
        <f>COUNTIFS($B$62:$B$496,"the core facility",'1'!$F$62:$F$496,"*staff*")</f>
        <v>42</v>
      </c>
      <c r="T2" s="11">
        <f>COUNTIFS($B$62:$B$496,"the core facility",'1'!$F$62:$F$496,"*both*")</f>
        <v>22</v>
      </c>
      <c r="U2" s="11">
        <f>COUNTIFS($B$62:$B$496,"the core facility",'1'!$F$62:$F$496,"*users work*")</f>
        <v>1</v>
      </c>
      <c r="W2" s="11">
        <f>COUNTIFS($B$62:$B$496,"the core facility",'1'!$B$62:$B$496,"*flow cytometry*")</f>
        <v>1</v>
      </c>
      <c r="X2" s="11">
        <f>COUNTIFS($B$62:$B$496,"the core facility",'1'!$B$62:$B$496,"*genomics*")</f>
        <v>15</v>
      </c>
      <c r="Y2" s="11">
        <f>COUNTIFS($B$62:$B$496,"the core facility",'1'!$B$62:$B$496,"*histology*")</f>
        <v>1</v>
      </c>
      <c r="Z2" s="11">
        <f>COUNTIFS($B$62:$B$496,"the core facility",'1'!$B$62:$B$496,"*metabolomics*")</f>
        <v>1</v>
      </c>
      <c r="AA2" s="11">
        <f>COUNTIFS($B$62:$B$496,"the core facility",'1'!$B$62:$B$496,"*microscopy*")</f>
        <v>4</v>
      </c>
      <c r="AB2" s="11">
        <f>COUNTIFS($B$62:$B$496,"the core facility",'1'!$B$62:$B$496,"*mouse*")</f>
        <v>2</v>
      </c>
      <c r="AC2" s="11">
        <f>COUNTIFS($B$62:$B$496,"the core facility",'1'!$B$62:$B$496,"*protein expression*")</f>
        <v>3</v>
      </c>
      <c r="AD2" s="11">
        <f>COUNTIFS($B$62:$B$496,"the core facility",'1'!$B$62:$B$496,"*proteomics*")</f>
        <v>23</v>
      </c>
      <c r="AF2" s="11" t="s">
        <v>84</v>
      </c>
      <c r="AG2" s="11">
        <f>COUNTIF($C$2:$C$496,"Yes")</f>
        <v>146</v>
      </c>
      <c r="AH2" s="11">
        <f>COUNTIFS($C$2:$C$496,"Yes",'1'!$F$2:$F$496,"*staff*")</f>
        <v>10</v>
      </c>
      <c r="AI2" s="11">
        <f>COUNTIFS($C$2:$C$496,"Yes",'1'!$F$2:$F$496,"*both*")</f>
        <v>118</v>
      </c>
      <c r="AJ2" s="11">
        <f>COUNTIFS($C$2:$C$496,"Yes",'1'!$F$2:$F$496,"*users work*")</f>
        <v>18</v>
      </c>
      <c r="AL2" s="11">
        <f>COUNTIFS($C$2:$C$496,"Yes",'1'!$B$2:$B$496,"*flow cytometry*")</f>
        <v>42</v>
      </c>
      <c r="AM2" s="11">
        <f>COUNTIFS($C$2:$C$496,"Yes",'1'!$B$2:$B$496,"*genomics*")</f>
        <v>6</v>
      </c>
      <c r="AN2" s="11">
        <f>COUNTIFS($C$2:$C$496,"Yes",'1'!$B$2:$B$496,"*histology*")</f>
        <v>8</v>
      </c>
      <c r="AO2" s="11">
        <f>COUNTIFS($C$2:$C$496,"Yes",'1'!$B$2:$B$496,"*metabolomics*")</f>
        <v>3</v>
      </c>
      <c r="AP2" s="11">
        <f>COUNTIFS($C$2:$C$496,"Yes",'1'!$B$2:$B$496,"*microscopy*")</f>
        <v>52</v>
      </c>
      <c r="AQ2" s="11">
        <f>COUNTIFS($C$2:$C$496,"Yes",'1'!$B$2:$B$496,"*mouse*")</f>
        <v>6</v>
      </c>
      <c r="AR2" s="11">
        <f>COUNTIFS($C$2:$C$496,"Yes",'1'!$B$2:$B$496,"*protein expression*")</f>
        <v>3</v>
      </c>
      <c r="AS2" s="11">
        <f>COUNTIFS($C$2:$C$496,"Yes",'1'!$B$2:$B$496,"*proteomics*")</f>
        <v>4</v>
      </c>
      <c r="AU2" s="11" t="s">
        <v>708</v>
      </c>
      <c r="AV2" s="11">
        <f>COUNTIF($D$2:$D$496,"*core facility*")</f>
        <v>113</v>
      </c>
      <c r="AW2" s="11">
        <f>COUNTIFS($D$2:$D$496,"*core facility*",'1'!$F$2:$F$496,"*staff*")</f>
        <v>37</v>
      </c>
      <c r="AX2" s="11">
        <f>COUNTIFS($D$2:$D$496,"*core facility*",'1'!$F$2:$F$496,"*both*")</f>
        <v>71</v>
      </c>
      <c r="AY2" s="11">
        <f>COUNTIFS($D$2:$D$496,"*core facility*",'1'!$F$2:$F$496,"*users work*")</f>
        <v>5</v>
      </c>
      <c r="BA2" s="11">
        <f>COUNTIFS($D$2:$D$496,"*core facility*",'1'!$B$2:$B$496,"*flow cytometry*")</f>
        <v>6</v>
      </c>
      <c r="BB2" s="11">
        <f>COUNTIFS($D$2:$D$496,"*core facility*",'1'!$B$2:$B$496,"*genomics*")</f>
        <v>12</v>
      </c>
      <c r="BC2" s="11">
        <f>COUNTIFS($D$2:$D$496,"*core facility*",'1'!$B$2:$B$496,"*histology*")</f>
        <v>0</v>
      </c>
      <c r="BD2" s="11">
        <f>COUNTIFS($D$2:$D$496,"*core facility*",'1'!$B$2:$B$496,"*metabolomics*")</f>
        <v>5</v>
      </c>
      <c r="BE2" s="11">
        <f>COUNTIFS($D$2:$D$496,"*core facility*",'1'!$B$2:$B$496,"*microscopy*")</f>
        <v>25</v>
      </c>
      <c r="BF2" s="11">
        <f>COUNTIFS($D$2:$D$496,"*core facility*",'1'!$B$2:$B$496,"*mouse*")</f>
        <v>5</v>
      </c>
      <c r="BG2" s="11">
        <f>COUNTIFS($D$2:$D$496,"*core facility*",'1'!$B$2:$B$496,"*protein expression*")</f>
        <v>4</v>
      </c>
      <c r="BH2" s="11">
        <f>COUNTIFS($D$2:$D$496,"*core facility*",'1'!$B$2:$B$496,"*proteomics*")</f>
        <v>30</v>
      </c>
      <c r="BJ2" s="11" t="s">
        <v>84</v>
      </c>
      <c r="BK2" s="11">
        <f>COUNTIF(F$2:F$496,"Yes")</f>
        <v>75</v>
      </c>
      <c r="BL2" s="11">
        <f>COUNTIFS($F$2:$F$496,"yes",'1'!$F$2:$F$496,"*staff*")</f>
        <v>14</v>
      </c>
      <c r="BM2" s="11">
        <f>COUNTIFS($F$2:$F$496,"yes",'1'!$F$2:$F$496,"*both*")</f>
        <v>58</v>
      </c>
      <c r="BN2" s="11">
        <f>COUNTIFS($F$2:$F$496,"Yes",'1'!$F$2:$F$496,"*users work*")</f>
        <v>3</v>
      </c>
      <c r="BP2" s="11">
        <f>COUNTIFS($F$2:$F$496,"Yes",'1'!$B$2:$B$496,"*flow cytometry*")</f>
        <v>10</v>
      </c>
      <c r="BQ2" s="11">
        <f>COUNTIFS($F$2:$F$496,"Yes",'1'!$B$2:$B$496,"*genomics*")</f>
        <v>10</v>
      </c>
      <c r="BR2" s="11">
        <f>COUNTIFS($F$2:$F$496,"Yes",'1'!$B$2:$B$496,"*histology*")</f>
        <v>1</v>
      </c>
      <c r="BS2" s="11">
        <f>COUNTIFS($F$2:$F$496,"Yes",'1'!$B$2:$B$496,"*metabolomics*")</f>
        <v>3</v>
      </c>
      <c r="BT2" s="11">
        <f>COUNTIFS($F$2:$F$496,"Yes",'1'!$B$2:$B$496,"*microscopy*")</f>
        <v>23</v>
      </c>
      <c r="BU2" s="11">
        <f>COUNTIFS($F$2:$F$496,"Yes",'1'!$B$2:$B$496,"*mouse*")</f>
        <v>4</v>
      </c>
      <c r="BV2" s="11">
        <f>COUNTIFS($F$2:$F$496,"Yes",'1'!$B$2:$B$496,"*protein expression*")</f>
        <v>1</v>
      </c>
      <c r="BW2" s="11">
        <f>COUNTIFS($F$2:$F$496,"Yes",'1'!$B$2:$B$496,"*proteomics*")</f>
        <v>12</v>
      </c>
      <c r="BY2" s="11" t="s">
        <v>84</v>
      </c>
      <c r="BZ2" s="11">
        <f>COUNTIF($H$2:$H$496,"Yes")</f>
        <v>79</v>
      </c>
      <c r="CA2" s="11">
        <f>COUNTIFS($H$2:$H$496,"yes",'1'!$F$2:$F$496,"*staff*")</f>
        <v>28</v>
      </c>
      <c r="CB2" s="11">
        <f>COUNTIFS($H$2:$H$496,"yes",'1'!$F$2:$F$496,"*both*")</f>
        <v>49</v>
      </c>
      <c r="CC2" s="11">
        <f>COUNTIFS($H$2:$H$496,"Yes",'1'!$F$2:$F$496,"*users work*")</f>
        <v>2</v>
      </c>
      <c r="CE2" s="11">
        <f>COUNTIFS($H$2:$H$496,"Yes",'1'!$B$2:$B$496,"*flow cytometry*")</f>
        <v>4</v>
      </c>
      <c r="CF2" s="11">
        <f>COUNTIFS($H$2:$H$496,"Yes",'1'!$B$2:$B$496,"*genomics*")</f>
        <v>14</v>
      </c>
      <c r="CG2" s="11">
        <f>COUNTIFS($H$2:$H$496,"Yes",'1'!$B$2:$B$496,"*histology*")</f>
        <v>3</v>
      </c>
      <c r="CH2" s="11">
        <f>COUNTIFS($H$2:$H$496,"Yes",'1'!$B$2:$B$496,"*metabolomics*")</f>
        <v>3</v>
      </c>
      <c r="CI2" s="11">
        <f>COUNTIFS($H$2:$H$496,"Yes",'1'!$B$2:$B$496,"*microscopy*")</f>
        <v>7</v>
      </c>
      <c r="CJ2" s="11">
        <f>COUNTIFS($H$2:$H$496,"Yes",'1'!$B$2:$B$496,"*mouse*")</f>
        <v>3</v>
      </c>
      <c r="CK2" s="11">
        <f>COUNTIFS($H$2:$H$496,"Yes",'1'!$B$2:$B$496,"*protein expression*")</f>
        <v>2</v>
      </c>
      <c r="CL2" s="11">
        <f>COUNTIFS($H$2:$H$496,"Yes",'1'!$B$2:$B$496,"*proteomics*")</f>
        <v>20</v>
      </c>
      <c r="CN2" s="11" t="s">
        <v>84</v>
      </c>
      <c r="CO2" s="11">
        <f>COUNTIF($J$2:$J$496,"Yes")</f>
        <v>99</v>
      </c>
      <c r="CQ2" s="11">
        <f>COUNTIFS($J$2:$J$496,"Yes",'1'!$B$2:$B$496,"*flow cytometry*")</f>
        <v>26</v>
      </c>
      <c r="CR2" s="11">
        <f>COUNTIFS($J$2:$J$496,"Yes",'1'!$B$2:$B$496,"*genomics*")</f>
        <v>7</v>
      </c>
      <c r="CS2" s="11">
        <f>COUNTIFS($J$2:$J$496,"Yes",'1'!$B$2:$B$496,"*histology*")</f>
        <v>1</v>
      </c>
      <c r="CT2" s="11">
        <f>COUNTIFS($J$2:$J$496,"Yes",'1'!$B$2:$B$496,"*metabolomics*")</f>
        <v>2</v>
      </c>
      <c r="CU2" s="11">
        <f>COUNTIFS($J$2:$J$496,"Yes",'1'!$B$2:$B$496,"*microscopy*")</f>
        <v>31</v>
      </c>
      <c r="CV2" s="11">
        <f>COUNTIFS($J$2:$J$496,"Yes",'1'!$B$2:$B$496,"*mouse*")</f>
        <v>4</v>
      </c>
      <c r="CW2" s="11">
        <f>COUNTIFS($J$2:$J$496,"Yes",'1'!$B$2:$B$496,"*protein expression*")</f>
        <v>3</v>
      </c>
      <c r="CX2" s="11">
        <f>COUNTIFS($J$2:$J$496,"Yes",'1'!$B$2:$B$496,"*proteomics*")</f>
        <v>10</v>
      </c>
      <c r="CZ2" s="11" t="s">
        <v>81</v>
      </c>
      <c r="DA2" s="11">
        <f>COUNTIF($H$62:$H$496,"Yes")</f>
        <v>62</v>
      </c>
      <c r="DB2" s="11">
        <f>COUNTIFS($H$62:$H$496,"Yes",'1'!$F$62:$F$496,"*staff*")</f>
        <v>23</v>
      </c>
      <c r="DC2" s="11">
        <f>COUNTIFS($H$62:$H$496,"Yes",'1'!$F$62:$F$496,"*both*")</f>
        <v>38</v>
      </c>
      <c r="DD2" s="11">
        <f>COUNTIFS($H$62:$H$496,"Yes",'1'!$F$62:$F$496,"*users work*")</f>
        <v>1</v>
      </c>
      <c r="DF2" s="11">
        <f>COUNTIFS($H$62:$H$496,"Yes",'1'!$B$62:$B$496,"*flow cytometry*")</f>
        <v>4</v>
      </c>
      <c r="DG2" s="11">
        <f>COUNTIFS($H$62:$H$496,"Yes",'1'!$B$62:$B$496,"*genomic*")</f>
        <v>11</v>
      </c>
      <c r="DH2" s="11">
        <f>COUNTIFS($H$62:$H$496,"Yes",'1'!$B$62:$B$496,"*histology*")</f>
        <v>3</v>
      </c>
      <c r="DI2" s="11">
        <f>COUNTIFS($H$62:$H$496,"Yes",'1'!$B$62:$B$496,"*metabolomics*")</f>
        <v>2</v>
      </c>
      <c r="DJ2" s="11">
        <f>COUNTIFS($H$62:$H$496,"Yes",'1'!$B$62:$B$496,"*microscopy*")</f>
        <v>7</v>
      </c>
      <c r="DK2" s="11">
        <f>COUNTIFS($H$62:$H$496,"Yes",'1'!$B$62:$B$496,"*mouse*")</f>
        <v>3</v>
      </c>
      <c r="DL2" s="11">
        <f>COUNTIFS($H$62:$H$496,"Yes",'1'!$B$62:$B$496,"*protein expression*")</f>
        <v>1</v>
      </c>
      <c r="DM2" s="11">
        <f>COUNTIFS($H$62:$H$496,"Yes",'1'!$B$62:$B$496,"*proteomics*")</f>
        <v>15</v>
      </c>
      <c r="DO2" s="11" t="s">
        <v>84</v>
      </c>
      <c r="DP2" s="11">
        <f>COUNTIF($L$2:$L$496,"Yes")</f>
        <v>73</v>
      </c>
      <c r="DQ2" s="11">
        <f>COUNTIFS($L$2:$L$496,"yes",'1'!$F$2:$F$496,"*staff*")</f>
        <v>25</v>
      </c>
      <c r="DR2" s="11">
        <f>COUNTIFS($L$2:$L$496,"yes",'1'!$F$2:$F$496,"*both*")</f>
        <v>44</v>
      </c>
      <c r="DS2" s="11">
        <f>COUNTIFS($L$2:$L$496,"Yes",'1'!$F$2:$F$496,"*users work*")</f>
        <v>4</v>
      </c>
      <c r="DU2" s="11">
        <f>COUNTIFS($L$2:$L$496,"Yes",'1'!$B$2:$B$496,"*flow cytometry*")</f>
        <v>6</v>
      </c>
      <c r="DV2" s="11">
        <f>COUNTIFS($L$2:$L$496,"Yes",'1'!$B$2:$B$496,"*genomics*")</f>
        <v>10</v>
      </c>
      <c r="DW2" s="11">
        <f>COUNTIFS($L$2:$L$496,"Yes",'1'!$B$2:$B$496,"*histology*")</f>
        <v>2</v>
      </c>
      <c r="DX2" s="11">
        <f>COUNTIFS($L$2:$L$496,"Yes",'1'!$B$2:$B$496,"*metabolomics*")</f>
        <v>2</v>
      </c>
      <c r="DY2" s="11">
        <f>COUNTIFS($L$2:$L$496,"Yes",'1'!$B$2:$B$496,"*microscopy*")</f>
        <v>14</v>
      </c>
      <c r="DZ2" s="11">
        <f>COUNTIFS($L$2:$L$496,"Yes",'1'!$B$2:$B$496,"*mouse*")</f>
        <v>3</v>
      </c>
      <c r="EA2" s="11">
        <f>COUNTIFS($L$2:$L$496,"Yes",'1'!$B$2:$B$496,"*protein expression*")</f>
        <v>2</v>
      </c>
      <c r="EB2" s="11">
        <f>COUNTIFS($L$2:$L$496,"Yes",'1'!$B$2:$B$496,"*proteomics*")</f>
        <v>19</v>
      </c>
      <c r="ED2" s="11" t="s">
        <v>84</v>
      </c>
      <c r="EE2" s="11">
        <f>COUNTIF($N$2:$N$496,"Yes")</f>
        <v>227</v>
      </c>
      <c r="EF2" s="11">
        <f>COUNTIFS($N$2:$N$496,"Yes",'1'!$F$2:$F$496,"*staff*")</f>
        <v>63</v>
      </c>
      <c r="EG2" s="11">
        <f>COUNTIFS($N$2:$N$496,"Yes",'1'!$F$2:$F$496,"*both*")</f>
        <v>144</v>
      </c>
      <c r="EH2" s="11">
        <f>COUNTIFS($N$2:$N$496,"Yes",'1'!$F$2:$F$496,"*users work*")</f>
        <v>20</v>
      </c>
      <c r="EJ2" s="11" t="s">
        <v>84</v>
      </c>
      <c r="EK2" s="11">
        <f>COUNTIFS($O$2:$O$496,"Yes",'1'!$F$2:$F$496,"*staff*")</f>
        <v>56</v>
      </c>
      <c r="EL2" s="11">
        <f>COUNTIFS($O$2:$O$496,"Yes",'1'!$F$2:$F$496,"*staff*")</f>
        <v>56</v>
      </c>
      <c r="EM2" s="11">
        <f>COUNTIFS($O$2:$O$496,"Yes",'1'!$F$2:$F$496,"*both*")</f>
        <v>117</v>
      </c>
      <c r="EN2" s="11">
        <f>COUNTIFS($O$2:$O$496,"Yes",'1'!$F$2:$F$496,"*users work*")</f>
        <v>16</v>
      </c>
    </row>
    <row r="3" spans="1:144" ht="25.5" x14ac:dyDescent="0.2">
      <c r="A3" s="11">
        <v>2</v>
      </c>
      <c r="B3" s="11" t="s">
        <v>97</v>
      </c>
      <c r="C3" s="11" t="s">
        <v>84</v>
      </c>
      <c r="D3" s="39" t="s">
        <v>1982</v>
      </c>
      <c r="E3" s="7" t="s">
        <v>117</v>
      </c>
      <c r="H3" s="11" t="s">
        <v>82</v>
      </c>
      <c r="J3" s="21"/>
      <c r="L3" s="11" t="s">
        <v>82</v>
      </c>
      <c r="N3" s="11" t="s">
        <v>84</v>
      </c>
      <c r="O3" s="11" t="s">
        <v>84</v>
      </c>
      <c r="Q3" s="11" t="s">
        <v>118</v>
      </c>
      <c r="R3" s="11">
        <f>COUNTIF($B$62:$B$496,"both")</f>
        <v>81</v>
      </c>
      <c r="S3" s="11">
        <f>COUNTIFS($B$62:$B$496,"both",'1'!$F$62:$F$496,"*staff*")</f>
        <v>10</v>
      </c>
      <c r="T3" s="11">
        <f>COUNTIFS($B$62:$B$496,"both",'1'!$F$62:$F$496,"*both*")</f>
        <v>70</v>
      </c>
      <c r="U3" s="11">
        <f>COUNTIFS($B$62:$B$496,"both",'1'!$F$62:$F$496,"*users work*")</f>
        <v>1</v>
      </c>
      <c r="W3" s="11">
        <f>COUNTIFS($B$62:$B$496,"both",'1'!$B$62:$B$496,"*flow cytometry*")</f>
        <v>13</v>
      </c>
      <c r="X3" s="11">
        <f>COUNTIFS($B$62:$B$496,"both",'1'!$B$62:$B$496,"*genomics*")</f>
        <v>8</v>
      </c>
      <c r="Y3" s="11">
        <f>COUNTIFS($B$62:$B$496,"both",'1'!$B$62:$B$496,"*histology*")</f>
        <v>3</v>
      </c>
      <c r="Z3" s="11">
        <f>COUNTIFS($B$62:$B$496,"both",'1'!$B$62:$B$496,"*metabolomics*")</f>
        <v>3</v>
      </c>
      <c r="AA3" s="11">
        <f>COUNTIFS($B$62:$B$496,"both",'1'!$B$62:$B$496,"*microscopy*")</f>
        <v>25</v>
      </c>
      <c r="AB3" s="11">
        <f>COUNTIFS($B$62:$B$496,"both",'1'!$B$62:$B$496,"*mouse*")</f>
        <v>6</v>
      </c>
      <c r="AC3" s="11">
        <f>COUNTIFS($B$62:$B$496,"both",'1'!$B$62:$B$496,"*protein expression*")</f>
        <v>4</v>
      </c>
      <c r="AD3" s="11">
        <f>COUNTIFS($B$62:$B$496,"both",'1'!$B$62:$B$496,"*proteomics*")</f>
        <v>4</v>
      </c>
      <c r="AF3" s="11" t="s">
        <v>82</v>
      </c>
      <c r="AG3" s="11">
        <f>COUNTIF($C$2:$C$496,"No")</f>
        <v>26</v>
      </c>
      <c r="AH3" s="11">
        <f>COUNTIFS($C$2:$C$496,"No",'1'!$F$2:$F$496,"*staff*")</f>
        <v>9</v>
      </c>
      <c r="AI3" s="11">
        <f>COUNTIFS($C$2:$C$496,"No",'1'!$F$2:$F$496,"*both*")</f>
        <v>12</v>
      </c>
      <c r="AJ3" s="11">
        <f>COUNTIFS($C$2:$C$496,"No",'1'!$F$2:$F$496,"*users work*")</f>
        <v>5</v>
      </c>
      <c r="AL3" s="11">
        <f>COUNTIFS($C$2:$C$496,"No",'1'!$B$2:$B$496,"*flow cytometry*")</f>
        <v>4</v>
      </c>
      <c r="AM3" s="11">
        <f>COUNTIFS($C$2:$C$496,"No",'1'!$B$2:$B$496,"*genomics*")</f>
        <v>6</v>
      </c>
      <c r="AN3" s="11">
        <f>COUNTIFS($C$2:$C$496,"No",'1'!$B$2:$B$496,"*histology*")</f>
        <v>1</v>
      </c>
      <c r="AO3" s="11">
        <f>COUNTIFS($C$2:$C$496,"No",'1'!$B$2:$B$496,"*metabolomics*")</f>
        <v>0</v>
      </c>
      <c r="AP3" s="11">
        <f>COUNTIFS($C$2:$C$496,"No",'1'!$B$2:$B$496,"*microscopy*")</f>
        <v>4</v>
      </c>
      <c r="AQ3" s="11">
        <f>COUNTIFS($C$2:$C$496,"No",'1'!$B$2:$B$496,"*mouse*")</f>
        <v>5</v>
      </c>
      <c r="AR3" s="11">
        <f>COUNTIFS($C$2:$C$496,"No",'1'!$B$2:$B$496,"*protein expression*")</f>
        <v>1</v>
      </c>
      <c r="AS3" s="11">
        <f>COUNTIFS($C$2:$C$496,"No",'1'!$B$2:$B$496,"*proteomics*")</f>
        <v>0</v>
      </c>
      <c r="AU3" s="11" t="s">
        <v>1014</v>
      </c>
      <c r="AV3" s="11">
        <f>COUNTIF($D$2:$D$496,"*and/or*")</f>
        <v>89</v>
      </c>
      <c r="AW3" s="11">
        <f>COUNTIFS($D$2:$D$496,"*and/or*",'1'!$F$2:$F$496,"*staff*")</f>
        <v>21</v>
      </c>
      <c r="AX3" s="11">
        <f>COUNTIFS($D$2:$D$496,"*and/or*",'1'!$F$2:$F$496,"*both*")</f>
        <v>63</v>
      </c>
      <c r="AY3" s="11">
        <f>COUNTIFS($D$2:$D$496,"*and/or*",'1'!$F$2:$F$496,"*users work*")</f>
        <v>5</v>
      </c>
      <c r="BA3" s="11">
        <f>COUNTIFS($D$2:$D$496,"*and/or*",'1'!$B$2:$B$496,"*flow cytometry*")</f>
        <v>6</v>
      </c>
      <c r="BB3" s="11">
        <f>COUNTIFS($D$2:$D$496,"*and/or*",'1'!$B$2:$B$496,"*genomics*")</f>
        <v>10</v>
      </c>
      <c r="BC3" s="11">
        <f>COUNTIFS($D$2:$D$496,"*and/or*",'1'!$B$2:$B$496,"*histology*")</f>
        <v>0</v>
      </c>
      <c r="BD3" s="11">
        <f>COUNTIFS($D$2:$D$496,"*and/or*",'1'!$B$2:$B$496,"*metabolomics*")</f>
        <v>4</v>
      </c>
      <c r="BE3" s="11">
        <f>COUNTIFS($D$2:$D$496,"*and/or*",'1'!$B$2:$B$496,"*microscopy*")</f>
        <v>28</v>
      </c>
      <c r="BF3" s="11">
        <f>COUNTIFS($D$2:$D$496,"*and/or*",'1'!$B$2:$B$496,"*mouse*")</f>
        <v>3</v>
      </c>
      <c r="BG3" s="11">
        <f>COUNTIFS($D$2:$D$496,"*and/or*",'1'!$B$2:$B$496,"*protein expression*")</f>
        <v>3</v>
      </c>
      <c r="BH3" s="11">
        <f>COUNTIFS($D$2:$D$496,"*and/or*",'1'!$B$2:$B$496,"*proteomics*")</f>
        <v>20</v>
      </c>
      <c r="BJ3" s="11" t="s">
        <v>82</v>
      </c>
      <c r="BK3" s="11">
        <f>COUNTIF(F$2:F$496,"No")</f>
        <v>84</v>
      </c>
      <c r="BL3" s="11">
        <f>COUNTIFS($F$2:$F$496,"no",'1'!$F$2:$F$496,"*staff*")</f>
        <v>17</v>
      </c>
      <c r="BM3" s="11">
        <f>COUNTIFS($F$2:$F$496,"No",'1'!$F$2:$F$496,"*both*")</f>
        <v>61</v>
      </c>
      <c r="BN3" s="11">
        <f>COUNTIFS($F$2:$F$496,"No",'1'!$F$2:$F$496,"*users work*")</f>
        <v>6</v>
      </c>
      <c r="BP3" s="11">
        <f>COUNTIFS($F$2:$F$496,"No",'1'!$B$2:$B$496,"*flow cytometry*")</f>
        <v>28</v>
      </c>
      <c r="BQ3" s="11">
        <f>COUNTIFS($F$2:$F$496,"No",'1'!$B$2:$B$496,"*genomics*")</f>
        <v>8</v>
      </c>
      <c r="BR3" s="11">
        <f>COUNTIFS($F$2:$F$496,"No",'1'!$B$2:$B$496,"*histology*")</f>
        <v>4</v>
      </c>
      <c r="BS3" s="11">
        <f>COUNTIFS($F$2:$F$496,"No",'1'!$B$2:$B$496,"*metabolomics*")</f>
        <v>1</v>
      </c>
      <c r="BT3" s="11">
        <f>COUNTIFS($F$2:$F$496,"No",'1'!$B$2:$B$496,"*microscopy*")</f>
        <v>24</v>
      </c>
      <c r="BU3" s="11">
        <f>COUNTIFS($F$2:$F$496,"No",'1'!$B$2:$B$496,"*mouse*")</f>
        <v>1</v>
      </c>
      <c r="BV3" s="11">
        <f>COUNTIFS($F$2:$F$496,"No",'1'!$B$2:$B$496,"*protein expression*")</f>
        <v>3</v>
      </c>
      <c r="BW3" s="11">
        <f>COUNTIFS($F$2:$F$496,"No",'1'!$B$2:$B$496,"*proteomics*")</f>
        <v>8</v>
      </c>
      <c r="BY3" s="11" t="s">
        <v>82</v>
      </c>
      <c r="BZ3" s="11">
        <f>COUNTIF($H$2:$H$496,"No")</f>
        <v>182</v>
      </c>
      <c r="CA3" s="11">
        <f>COUNTIFS($H$2:$H$496,"no",'1'!$F$2:$F$496,"*staff*")</f>
        <v>40</v>
      </c>
      <c r="CB3" s="11">
        <f>COUNTIFS($H$2:$H$496,"No",'1'!$F$2:$F$496,"*both*")</f>
        <v>117</v>
      </c>
      <c r="CC3" s="11">
        <f>COUNTIFS($H$2:$H$496,"No",'1'!$F$2:$F$496,"*users work*")</f>
        <v>25</v>
      </c>
      <c r="CE3" s="11">
        <f>COUNTIFS($H$2:$H$496,"No",'1'!$B$2:$B$496,"*flow cytometry*")</f>
        <v>42</v>
      </c>
      <c r="CF3" s="11">
        <f>COUNTIFS($H$2:$H$496,"No",'1'!$B$2:$B$496,"*genomics*")</f>
        <v>16</v>
      </c>
      <c r="CG3" s="11">
        <f>COUNTIFS($H$2:$H$496,"No",'1'!$B$2:$B$496,"*histology*")</f>
        <v>8</v>
      </c>
      <c r="CH3" s="11">
        <f>COUNTIFS($H$2:$H$496,"No",'1'!$B$2:$B$496,"*metabolomics*")</f>
        <v>4</v>
      </c>
      <c r="CI3" s="11">
        <f>COUNTIFS($H$2:$H$496,"No",'1'!$B$2:$B$496,"*microscopy*")</f>
        <v>53</v>
      </c>
      <c r="CJ3" s="11">
        <f>COUNTIFS($H$2:$H$496,"No",'1'!$B$2:$B$496,"*mouse*")</f>
        <v>10</v>
      </c>
      <c r="CK3" s="11">
        <f>COUNTIFS($H$2:$H$496,"No",'1'!$B$2:$B$496,"*protein expression*")</f>
        <v>6</v>
      </c>
      <c r="CL3" s="11">
        <f>COUNTIFS($H$2:$H$496,"No",'1'!$B$2:$B$496,"*proteomics*")</f>
        <v>15</v>
      </c>
      <c r="CN3" s="11" t="s">
        <v>82</v>
      </c>
      <c r="CO3" s="11">
        <f>COUNTIF($J$2:$J$496,"No")</f>
        <v>61</v>
      </c>
      <c r="CQ3" s="11">
        <f>COUNTIFS($J$2:$J$496,"No",'1'!$B$2:$B$496,"*flow cytometry*")</f>
        <v>12</v>
      </c>
      <c r="CR3" s="11">
        <f>COUNTIFS($J$2:$J$496,"No",'1'!$B$2:$B$496,"*genomics*")</f>
        <v>6</v>
      </c>
      <c r="CS3" s="11">
        <f>COUNTIFS($J$2:$J$496,"No",'1'!$B$2:$B$496,"*histology*")</f>
        <v>4</v>
      </c>
      <c r="CT3" s="11">
        <f>COUNTIFS($J$2:$J$496,"No",'1'!$B$2:$B$496,"*metabolomics*")</f>
        <v>2</v>
      </c>
      <c r="CU3" s="11">
        <f>COUNTIFS($J$2:$J$496,"No",'1'!$B$2:$B$496,"*microscopy*")</f>
        <v>20</v>
      </c>
      <c r="CV3" s="11">
        <f>COUNTIFS($J$2:$J$496,"No",'1'!$B$2:$B$496,"*mouse*")</f>
        <v>4</v>
      </c>
      <c r="CW3" s="11">
        <f>COUNTIFS($J$2:$J$496,"No",'1'!$B$2:$B$496,"*protein expression*")</f>
        <v>3</v>
      </c>
      <c r="CX3" s="11">
        <f>COUNTIFS($J$2:$J$496,"No",'1'!$B$2:$B$496,"*proteomics*")</f>
        <v>3</v>
      </c>
      <c r="CZ3" s="11" t="s">
        <v>3800</v>
      </c>
      <c r="DA3" s="11">
        <f>COUNTIFS($H$62:$H$496,"No",$J$62:$J$496,"Yes")</f>
        <v>89</v>
      </c>
      <c r="DB3" s="11">
        <f>COUNTIFS($H$62:$H$496,"No",$J$62:$J$496,"Yes",'1'!$F$62:$F$496,"*staff*")</f>
        <v>20</v>
      </c>
      <c r="DC3" s="11">
        <f>COUNTIFS($H$62:$H$496,"No",$J$62:$J$496,"Yes",'1'!$F$62:$F$496,"*both*")</f>
        <v>64</v>
      </c>
      <c r="DD3" s="11">
        <f>COUNTIFS($H$62:$H$496,"No",$J$62:$J$496,"Yes",'1'!$F$62:$F$496,"*users work*")</f>
        <v>5</v>
      </c>
      <c r="DF3" s="11">
        <f>COUNTIFS($H$62:$H$496,"No",$J$62:$J$496,"Yes",'1'!$B$62:$B$496,"*flow cytometry*")</f>
        <v>24</v>
      </c>
      <c r="DG3" s="11">
        <f>COUNTIFS($H$62:$H$496,"No",$J$62:$J$496,"Yes",'1'!$B$62:$B$496,"*genomic*")</f>
        <v>7</v>
      </c>
      <c r="DH3" s="11">
        <f>COUNTIFS($H$62:$H$496,"No",$J$62:$J$496,"Yes",'1'!$B$62:$B$496,"*histology*")</f>
        <v>0</v>
      </c>
      <c r="DI3" s="11">
        <f>COUNTIFS($H$62:$H$496,"No",$J$62:$J$496,"Yes",'1'!$B$62:$B$496,"*metabolomics*")</f>
        <v>1</v>
      </c>
      <c r="DJ3" s="11">
        <f>COUNTIFS($H$62:$H$496,"No",$J$62:$J$496,"Yes",'1'!$B$62:$B$496,"*microscopy*")</f>
        <v>28</v>
      </c>
      <c r="DK3" s="11">
        <f>COUNTIFS($H$62:$H$496,"No",$J$62:$J$496,"Yes",'1'!$B$62:$B$496,"*mouse*")</f>
        <v>3</v>
      </c>
      <c r="DL3" s="11">
        <f>COUNTIFS($H$62:$H$496,"No",$J$62:$J$496,"Yes",'1'!$B$62:$B$496,"*protein expression*")</f>
        <v>3</v>
      </c>
      <c r="DM3" s="11">
        <f>COUNTIFS($H$62:$H$496,"No",$J$62:$J$496,"Yes",'1'!$B$62:$B$496,"*proteomics*")</f>
        <v>9</v>
      </c>
      <c r="DO3" s="11" t="s">
        <v>82</v>
      </c>
      <c r="DP3" s="11">
        <f>COUNTIF($L$2:$L$496,"No")</f>
        <v>188</v>
      </c>
      <c r="DQ3" s="11">
        <f>COUNTIFS($L$2:$L$496,"no",'1'!$F$2:$F$496,"*staff*")</f>
        <v>43</v>
      </c>
      <c r="DR3" s="11">
        <f>COUNTIFS($L$2:$L$496,"No",'1'!$F$2:$F$496,"*both*")</f>
        <v>122</v>
      </c>
      <c r="DS3" s="11">
        <f>COUNTIFS($L$2:$L$496,"No",'1'!$F$2:$F$496,"*users work*")</f>
        <v>23</v>
      </c>
      <c r="DU3" s="11">
        <f>COUNTIFS($L$2:$L$496,"No",'1'!$B$2:$B$496,"*flow cytometry*")</f>
        <v>40</v>
      </c>
      <c r="DV3" s="11">
        <f>COUNTIFS($L$2:$L$496,"No",'1'!$B$2:$B$496,"*genomics*")</f>
        <v>20</v>
      </c>
      <c r="DW3" s="11">
        <f>COUNTIFS($L$2:$L$496,"No",'1'!$B$2:$B$496,"*histology*")</f>
        <v>9</v>
      </c>
      <c r="DX3" s="11">
        <f>COUNTIFS($L$2:$L$496,"No",'1'!$B$2:$B$496,"*metabolomics*")</f>
        <v>5</v>
      </c>
      <c r="DY3" s="11">
        <f>COUNTIFS($L$2:$L$496,"No",'1'!$B$2:$B$496,"*microscopy*")</f>
        <v>46</v>
      </c>
      <c r="DZ3" s="11">
        <f>COUNTIFS($L$2:$L$496,"No",'1'!$B$2:$B$496,"*mouse*")</f>
        <v>10</v>
      </c>
      <c r="EA3" s="11">
        <f>COUNTIFS($L$2:$L$496,"No",'1'!$B$2:$B$496,"*protein expression*")</f>
        <v>6</v>
      </c>
      <c r="EB3" s="11">
        <f>COUNTIFS($L$2:$L$496,"No",'1'!$B$2:$B$496,"*proteomics*")</f>
        <v>16</v>
      </c>
      <c r="ED3" s="11" t="s">
        <v>82</v>
      </c>
      <c r="EE3" s="11">
        <f>COUNTIF($N$2:$N$496,"No")</f>
        <v>34</v>
      </c>
      <c r="EF3" s="11">
        <f>COUNTIFS($N$2:$N$496,"No",'1'!$F$2:$F$496,"*staff*")</f>
        <v>5</v>
      </c>
      <c r="EG3" s="11">
        <f>COUNTIFS($N$2:$N$496,"No",'1'!$F$2:$F$496,"*both*")</f>
        <v>22</v>
      </c>
      <c r="EH3" s="11">
        <f>COUNTIFS($N$2:$N$496,"No",'1'!$F$2:$F$496,"*users work*")</f>
        <v>7</v>
      </c>
      <c r="EJ3" s="11" t="s">
        <v>82</v>
      </c>
      <c r="EK3" s="11">
        <f>COUNTIFS($O$2:$O$496,"No",'1'!$F$2:$F$496,"*staff*")</f>
        <v>12</v>
      </c>
      <c r="EL3" s="11">
        <f>COUNTIFS($O$2:$O$496,"No",'1'!$F$2:$F$496,"*staff*")</f>
        <v>12</v>
      </c>
      <c r="EM3" s="11">
        <f>COUNTIFS($O$2:$O$496,"No",'1'!$F$2:$F$496,"*both*")</f>
        <v>49</v>
      </c>
      <c r="EN3" s="11">
        <f>COUNTIFS($O$2:$O$496,"No",'1'!$F$2:$F$496,"*users work*")</f>
        <v>11</v>
      </c>
    </row>
    <row r="4" spans="1:144" ht="102" x14ac:dyDescent="0.2">
      <c r="A4" s="11">
        <v>3</v>
      </c>
      <c r="B4" s="11" t="s">
        <v>97</v>
      </c>
      <c r="C4" s="11" t="s">
        <v>84</v>
      </c>
      <c r="D4" s="39" t="s">
        <v>1982</v>
      </c>
      <c r="E4" s="7" t="s">
        <v>131</v>
      </c>
      <c r="H4" s="11" t="s">
        <v>82</v>
      </c>
      <c r="J4" s="21" t="s">
        <v>81</v>
      </c>
      <c r="K4" s="11" t="s">
        <v>3799</v>
      </c>
      <c r="L4" s="11" t="s">
        <v>82</v>
      </c>
      <c r="N4" s="11" t="s">
        <v>82</v>
      </c>
      <c r="O4" s="11" t="s">
        <v>82</v>
      </c>
      <c r="Q4" s="11" t="s">
        <v>128</v>
      </c>
      <c r="R4" s="11">
        <f>COUNTIF($B$62:$B$496,"the user")</f>
        <v>58</v>
      </c>
      <c r="S4" s="11">
        <f>COUNTIFS($B$62:$B$496,"the user",'1'!$F$62:$F$496,"*staff*")</f>
        <v>4</v>
      </c>
      <c r="T4" s="11">
        <f>COUNTIFS($B$62:$B$496,"the user",'1'!$F$62:$F$496,"*both*")</f>
        <v>46</v>
      </c>
      <c r="U4" s="11">
        <f>COUNTIFS($B$62:$B$496,"the user",'1'!$F$62:$F$496,"*users work*")</f>
        <v>8</v>
      </c>
      <c r="W4" s="11">
        <f>COUNTIFS($B$62:$B$496,"the user",'1'!$B$62:$B$496,"*flow cytometry*")</f>
        <v>26</v>
      </c>
      <c r="X4" s="11">
        <f>COUNTIFS($B$62:$B$496,"the user",'1'!$B$62:$B$496,"*genomics*")</f>
        <v>1</v>
      </c>
      <c r="Y4" s="11">
        <f>COUNTIFS($B$62:$B$496,"the user",'1'!$B$62:$B$496,"*histology*")</f>
        <v>3</v>
      </c>
      <c r="Z4" s="11">
        <f>COUNTIFS($B$62:$B$496,"the user",'1'!$B$62:$B$496,"*metabolomics*")</f>
        <v>0</v>
      </c>
      <c r="AA4" s="11">
        <f>COUNTIFS($B$62:$B$496,"the user",'1'!$B$62:$B$496,"*microscopy*")</f>
        <v>21</v>
      </c>
      <c r="AB4" s="11">
        <f>COUNTIFS($B$62:$B$496,"the user",'1'!$B$62:$B$496,"*mouse*")</f>
        <v>1</v>
      </c>
      <c r="AC4" s="11">
        <f>COUNTIFS($B$62:$B$496,"the user",'1'!$B$62:$B$496,"*protein expression*")</f>
        <v>0</v>
      </c>
      <c r="AD4" s="11">
        <f>COUNTIFS($B$62:$B$496,"the user",'1'!$B$62:$B$496,"*proteomics*")</f>
        <v>0</v>
      </c>
      <c r="AG4" s="11">
        <f>SUM(AG2:AG3)</f>
        <v>172</v>
      </c>
      <c r="AU4" s="11" t="s">
        <v>711</v>
      </c>
      <c r="AV4" s="11">
        <f>COUNTIF($D$2:$D$496,"*user*")</f>
        <v>177</v>
      </c>
      <c r="AW4" s="11">
        <f>COUNTIFS($D$2:$D$496,"*user*",'1'!$F$2:$F$496,"*staff*")</f>
        <v>32</v>
      </c>
      <c r="AX4" s="11">
        <f>COUNTIFS($D$2:$D$496,"*user*",'1'!$F$2:$F$496,"*both*")</f>
        <v>127</v>
      </c>
      <c r="AY4" s="11">
        <f>COUNTIFS($D$2:$D$496,"*user*",'1'!$F$2:$F$496,"*users work*")</f>
        <v>18</v>
      </c>
      <c r="BA4" s="11">
        <f>COUNTIFS($D$2:$D$496,"*user*",'1'!$B$2:$B$496,"*flow cytometry*")</f>
        <v>42</v>
      </c>
      <c r="BB4" s="11">
        <f>COUNTIFS($D$2:$D$496,"*user*",'1'!$B$2:$B$496,"*genomics*")</f>
        <v>20</v>
      </c>
      <c r="BC4" s="11">
        <f>COUNTIFS($D$2:$D$496,"*user*",'1'!$B$2:$B$496,"*histology*")</f>
        <v>6</v>
      </c>
      <c r="BD4" s="11">
        <f>COUNTIFS($D$2:$D$496,"*user*",'1'!$B$2:$B$496,"*metabolomics*")</f>
        <v>6</v>
      </c>
      <c r="BE4" s="11">
        <f>COUNTIFS($D$2:$D$496,"*user*",'1'!$B$2:$B$496,"*microscopy*")</f>
        <v>52</v>
      </c>
      <c r="BF4" s="11">
        <f>COUNTIFS($D$2:$D$496,"*user*",'1'!$B$2:$B$496,"*mouse*")</f>
        <v>7</v>
      </c>
      <c r="BG4" s="11">
        <f>COUNTIFS($D$2:$D$496,"*user*",'1'!$B$2:$B$496,"*protein expression*")</f>
        <v>4</v>
      </c>
      <c r="BH4" s="11">
        <f>COUNTIFS($D$2:$D$496,"*user*",'1'!$B$2:$B$496,"*proteomics*")</f>
        <v>20</v>
      </c>
      <c r="BZ4" s="11">
        <f>SUM(BZ2:BZ3)</f>
        <v>261</v>
      </c>
      <c r="CO4" s="11">
        <f>SUM(CO2:CO3)</f>
        <v>160</v>
      </c>
      <c r="CZ4" s="11" t="s">
        <v>3801</v>
      </c>
      <c r="DA4" s="11">
        <f>COUNTIFS($H$62:$H$496,"No",$J$62:$J$496,"No")</f>
        <v>53</v>
      </c>
      <c r="DB4" s="11">
        <f>COUNTIFS($H$62:$H$496,"No",$J$62:$J$496,"No",'1'!$F$62:$F$496,"*staff*")</f>
        <v>13</v>
      </c>
      <c r="DC4" s="11">
        <f>COUNTIFS($H$62:$H$496,"No",$J$62:$J$496,"No",'1'!$F$62:$F$496,"*both*")</f>
        <v>36</v>
      </c>
      <c r="DD4" s="11">
        <f>COUNTIFS($H$62:$H$496,"No",$J$62:$J$496,"No",'1'!$F$62:$F$496,"*users work*")</f>
        <v>4</v>
      </c>
      <c r="DF4" s="11">
        <f>COUNTIFS($H$62:$H$496,"No",$J$62:$J$496,"No",'1'!$B$62:$B$496,"*flow cytometry*")</f>
        <v>12</v>
      </c>
      <c r="DG4" s="11">
        <f>COUNTIFS($H$62:$H$496,"No",$J$62:$J$496,"No",'1'!$B$62:$B$496,"*genomic*")</f>
        <v>6</v>
      </c>
      <c r="DH4" s="11">
        <f>COUNTIFS($H$62:$H$496,"No",$J$62:$J$496,"No",'1'!$B$62:$B$496,"*histology*")</f>
        <v>4</v>
      </c>
      <c r="DI4" s="11">
        <f>COUNTIFS($H$62:$H$496,"No",$J$62:$J$496,"No",'1'!$B$62:$B$496,"*metabolomics*")</f>
        <v>1</v>
      </c>
      <c r="DJ4" s="11">
        <f>COUNTIFS($H$62:$H$496,"No",$J$62:$J$496,"No",'1'!$B$62:$B$496,"*microscopy*")</f>
        <v>15</v>
      </c>
      <c r="DK4" s="11">
        <f>COUNTIFS($H$62:$H$496,"No",$J$62:$J$496,"No",'1'!$B$62:$B$496,"*mouse*")</f>
        <v>3</v>
      </c>
      <c r="DL4" s="11">
        <f>COUNTIFS($H$62:$H$496,"No",$J$62:$J$496,"No",'1'!$B$62:$B$496,"*protein expression*")</f>
        <v>3</v>
      </c>
      <c r="DM4" s="11">
        <f>COUNTIFS($H$62:$H$496,"No",$J$62:$J$496,"No",'1'!$B$62:$B$496,"*proteomics*")</f>
        <v>3</v>
      </c>
      <c r="DP4" s="11">
        <f>SUM(DP2:DP3)</f>
        <v>261</v>
      </c>
      <c r="EE4" s="11">
        <f>SUM(EE2:EE3)</f>
        <v>261</v>
      </c>
      <c r="EK4" s="11">
        <f>SUM(EK2:EK3)</f>
        <v>68</v>
      </c>
    </row>
    <row r="5" spans="1:144" x14ac:dyDescent="0.2">
      <c r="A5" s="11">
        <v>4</v>
      </c>
      <c r="B5" s="11" t="s">
        <v>99</v>
      </c>
      <c r="C5" s="11" t="s">
        <v>80</v>
      </c>
      <c r="D5" s="39"/>
      <c r="E5" s="7" t="s">
        <v>145</v>
      </c>
      <c r="H5" s="11" t="s">
        <v>82</v>
      </c>
      <c r="J5" s="21"/>
      <c r="L5" s="11" t="s">
        <v>82</v>
      </c>
      <c r="N5" s="11" t="s">
        <v>84</v>
      </c>
      <c r="O5" s="11" t="s">
        <v>84</v>
      </c>
      <c r="R5" s="11">
        <f>SUM(R2:R4)</f>
        <v>204</v>
      </c>
      <c r="AU5" s="11" t="s">
        <v>702</v>
      </c>
      <c r="AV5" s="11">
        <f>COUNTIF($D$2:$D$496,"*other*")</f>
        <v>8</v>
      </c>
      <c r="AW5" s="11">
        <f>COUNTIFS($D$2:$D$496,"*other*",'1'!$F$2:$F$496,"*staff*")</f>
        <v>3</v>
      </c>
      <c r="AX5" s="11">
        <f>COUNTIFS($D$2:$D$496,"*other*",'1'!$F$2:$F$496,"*both*")</f>
        <v>3</v>
      </c>
      <c r="AY5" s="11">
        <f>COUNTIFS($D$2:$D$496,"*other*",'1'!$F$2:$F$496,"*users work*")</f>
        <v>2</v>
      </c>
      <c r="BA5" s="11">
        <f>COUNTIFS($D$2:$D$496,"*other*",'1'!$B$2:$B$496,"*flow cytometry*")</f>
        <v>0</v>
      </c>
      <c r="BB5" s="11">
        <f>COUNTIFS($D$2:$D$496,"*other*",'1'!$B$2:$B$496,"*genomics*")</f>
        <v>2</v>
      </c>
      <c r="BC5" s="11">
        <f>COUNTIFS($D$2:$D$496,"*other*",'1'!$B$2:$B$496,"*histology*")</f>
        <v>2</v>
      </c>
      <c r="BD5" s="11">
        <f>COUNTIFS($D$2:$D$496,"*other*",'1'!$B$2:$B$496,"*metabolomics*")</f>
        <v>0</v>
      </c>
      <c r="BE5" s="11">
        <f>COUNTIFS($D$2:$D$496,"*other*",'1'!$B$2:$B$496,"*microscopy*")</f>
        <v>1</v>
      </c>
      <c r="BF5" s="11">
        <f>COUNTIFS($D$2:$D$496,"*other*",'1'!$B$2:$B$496,"*mouse*")</f>
        <v>0</v>
      </c>
      <c r="BG5" s="11">
        <f>COUNTIFS($D$2:$D$496,"*other*",'1'!$B$2:$B$496,"*protein expression*")</f>
        <v>0</v>
      </c>
      <c r="BH5" s="11">
        <f>COUNTIFS($D$2:$D$496,"*other*",'1'!$B$2:$B$496,"*proteomics*")</f>
        <v>1</v>
      </c>
    </row>
    <row r="6" spans="1:144" ht="38.25" x14ac:dyDescent="0.2">
      <c r="A6" s="11">
        <v>5</v>
      </c>
      <c r="B6" s="11" t="s">
        <v>97</v>
      </c>
      <c r="C6" s="11" t="s">
        <v>84</v>
      </c>
      <c r="D6" s="39"/>
      <c r="E6" s="7"/>
      <c r="H6" s="11" t="s">
        <v>82</v>
      </c>
      <c r="J6" s="21" t="s">
        <v>246</v>
      </c>
      <c r="K6" s="19" t="s">
        <v>158</v>
      </c>
      <c r="L6" s="11" t="s">
        <v>82</v>
      </c>
      <c r="N6" s="11" t="s">
        <v>84</v>
      </c>
      <c r="O6" s="11" t="s">
        <v>82</v>
      </c>
      <c r="AV6" s="11">
        <f>SUM(AV2:AV5)</f>
        <v>387</v>
      </c>
    </row>
    <row r="7" spans="1:144" ht="89.25" x14ac:dyDescent="0.2">
      <c r="A7" s="11">
        <v>6</v>
      </c>
      <c r="B7" s="11" t="s">
        <v>99</v>
      </c>
      <c r="C7" s="11" t="s">
        <v>80</v>
      </c>
      <c r="D7" s="39" t="s">
        <v>1981</v>
      </c>
      <c r="E7" s="7" t="s">
        <v>169</v>
      </c>
      <c r="H7" s="11" t="s">
        <v>84</v>
      </c>
      <c r="I7" s="11" t="s">
        <v>1016</v>
      </c>
      <c r="J7" s="21"/>
      <c r="L7" s="11" t="s">
        <v>84</v>
      </c>
      <c r="M7" s="11" t="s">
        <v>1020</v>
      </c>
      <c r="N7" s="11" t="s">
        <v>84</v>
      </c>
      <c r="O7" s="11" t="s">
        <v>84</v>
      </c>
    </row>
    <row r="8" spans="1:144" x14ac:dyDescent="0.2">
      <c r="A8" s="11">
        <v>7</v>
      </c>
      <c r="B8" s="11" t="s">
        <v>99</v>
      </c>
      <c r="C8" s="11" t="s">
        <v>80</v>
      </c>
      <c r="D8" s="39" t="s">
        <v>709</v>
      </c>
      <c r="E8" s="7" t="s">
        <v>185</v>
      </c>
      <c r="H8" s="11" t="s">
        <v>84</v>
      </c>
      <c r="I8" s="11" t="s">
        <v>186</v>
      </c>
      <c r="J8" s="21"/>
      <c r="L8" s="11" t="s">
        <v>84</v>
      </c>
      <c r="M8" s="11" t="s">
        <v>187</v>
      </c>
      <c r="N8" s="11" t="s">
        <v>84</v>
      </c>
      <c r="O8" s="11" t="s">
        <v>84</v>
      </c>
    </row>
    <row r="9" spans="1:144" x14ac:dyDescent="0.2">
      <c r="A9" s="11">
        <v>8</v>
      </c>
      <c r="B9" s="11" t="s">
        <v>99</v>
      </c>
      <c r="C9" s="11" t="s">
        <v>80</v>
      </c>
      <c r="D9" s="39"/>
      <c r="E9" s="7"/>
      <c r="H9" s="11" t="s">
        <v>84</v>
      </c>
      <c r="J9" s="21"/>
      <c r="L9" s="11" t="s">
        <v>84</v>
      </c>
      <c r="M9" s="19" t="s">
        <v>203</v>
      </c>
      <c r="N9" s="11" t="s">
        <v>84</v>
      </c>
      <c r="O9" s="11" t="s">
        <v>84</v>
      </c>
    </row>
    <row r="10" spans="1:144" ht="38.25" x14ac:dyDescent="0.2">
      <c r="A10" s="11">
        <v>9</v>
      </c>
      <c r="B10" s="11" t="s">
        <v>97</v>
      </c>
      <c r="C10" s="11" t="s">
        <v>84</v>
      </c>
      <c r="D10" s="39" t="s">
        <v>709</v>
      </c>
      <c r="E10" s="7" t="s">
        <v>212</v>
      </c>
      <c r="H10" s="11" t="s">
        <v>82</v>
      </c>
      <c r="J10" s="21" t="s">
        <v>246</v>
      </c>
      <c r="K10" s="11" t="s">
        <v>1990</v>
      </c>
      <c r="L10" s="11" t="s">
        <v>82</v>
      </c>
      <c r="N10" s="11" t="s">
        <v>84</v>
      </c>
      <c r="O10" s="11" t="s">
        <v>82</v>
      </c>
    </row>
    <row r="11" spans="1:144" ht="102" x14ac:dyDescent="0.2">
      <c r="A11" s="11">
        <v>10</v>
      </c>
      <c r="B11" s="11" t="s">
        <v>97</v>
      </c>
      <c r="C11" s="11" t="s">
        <v>84</v>
      </c>
      <c r="D11" s="39" t="s">
        <v>709</v>
      </c>
      <c r="E11" s="7" t="s">
        <v>229</v>
      </c>
      <c r="H11" s="11" t="s">
        <v>82</v>
      </c>
      <c r="J11" s="21" t="s">
        <v>246</v>
      </c>
      <c r="K11" s="11" t="s">
        <v>4129</v>
      </c>
      <c r="L11" s="11" t="s">
        <v>84</v>
      </c>
      <c r="M11" s="11" t="s">
        <v>4130</v>
      </c>
      <c r="N11" s="11" t="s">
        <v>84</v>
      </c>
      <c r="O11" s="11" t="s">
        <v>84</v>
      </c>
    </row>
    <row r="12" spans="1:144" x14ac:dyDescent="0.2">
      <c r="A12" s="11">
        <v>11</v>
      </c>
      <c r="B12" s="11" t="s">
        <v>97</v>
      </c>
      <c r="C12" s="11" t="s">
        <v>84</v>
      </c>
      <c r="D12" s="39" t="s">
        <v>709</v>
      </c>
      <c r="E12" s="7" t="s">
        <v>97</v>
      </c>
      <c r="H12" s="11" t="s">
        <v>82</v>
      </c>
      <c r="J12" s="21" t="s">
        <v>246</v>
      </c>
      <c r="K12" s="7" t="s">
        <v>246</v>
      </c>
      <c r="L12" s="11" t="s">
        <v>82</v>
      </c>
      <c r="N12" s="11" t="s">
        <v>82</v>
      </c>
      <c r="O12" s="11" t="s">
        <v>82</v>
      </c>
    </row>
    <row r="13" spans="1:144" ht="51" x14ac:dyDescent="0.2">
      <c r="A13" s="11">
        <v>12</v>
      </c>
      <c r="B13" s="11" t="s">
        <v>99</v>
      </c>
      <c r="C13" s="11" t="s">
        <v>80</v>
      </c>
      <c r="D13" s="39" t="s">
        <v>1981</v>
      </c>
      <c r="E13" s="7" t="s">
        <v>4131</v>
      </c>
      <c r="H13" s="11" t="s">
        <v>84</v>
      </c>
      <c r="I13" s="11" t="s">
        <v>4132</v>
      </c>
      <c r="J13" s="21"/>
      <c r="L13" s="11" t="s">
        <v>84</v>
      </c>
      <c r="M13" s="11" t="s">
        <v>265</v>
      </c>
      <c r="N13" s="11" t="s">
        <v>84</v>
      </c>
      <c r="O13" s="11" t="s">
        <v>84</v>
      </c>
    </row>
    <row r="14" spans="1:144" ht="51" x14ac:dyDescent="0.2">
      <c r="A14" s="11">
        <v>13</v>
      </c>
      <c r="B14" s="11" t="s">
        <v>97</v>
      </c>
      <c r="C14" s="11" t="s">
        <v>84</v>
      </c>
      <c r="D14" s="39" t="s">
        <v>709</v>
      </c>
      <c r="E14" s="7" t="s">
        <v>281</v>
      </c>
      <c r="H14" s="11" t="s">
        <v>82</v>
      </c>
      <c r="J14" s="21" t="s">
        <v>81</v>
      </c>
      <c r="K14" s="11" t="s">
        <v>3803</v>
      </c>
      <c r="L14" s="11" t="s">
        <v>82</v>
      </c>
      <c r="N14" s="11" t="s">
        <v>82</v>
      </c>
      <c r="O14" s="11" t="s">
        <v>82</v>
      </c>
    </row>
    <row r="15" spans="1:144" ht="25.5" x14ac:dyDescent="0.2">
      <c r="A15" s="11">
        <v>14</v>
      </c>
      <c r="B15" s="11" t="s">
        <v>99</v>
      </c>
      <c r="C15" s="11" t="s">
        <v>80</v>
      </c>
      <c r="D15" s="39" t="s">
        <v>1981</v>
      </c>
      <c r="E15" s="7" t="s">
        <v>301</v>
      </c>
      <c r="H15" s="11" t="s">
        <v>84</v>
      </c>
      <c r="I15" s="11" t="s">
        <v>302</v>
      </c>
      <c r="J15" s="21"/>
      <c r="L15" s="11" t="s">
        <v>82</v>
      </c>
      <c r="N15" s="11" t="s">
        <v>84</v>
      </c>
      <c r="O15" s="11" t="s">
        <v>84</v>
      </c>
    </row>
    <row r="16" spans="1:144" ht="63.75" x14ac:dyDescent="0.2">
      <c r="A16" s="11">
        <v>15</v>
      </c>
      <c r="B16" s="11" t="s">
        <v>97</v>
      </c>
      <c r="C16" s="11" t="s">
        <v>84</v>
      </c>
      <c r="D16" s="39"/>
      <c r="E16" s="11" t="s">
        <v>80</v>
      </c>
      <c r="H16" s="11" t="s">
        <v>82</v>
      </c>
      <c r="J16" s="21"/>
      <c r="K16" s="11" t="s">
        <v>317</v>
      </c>
      <c r="L16" s="11" t="s">
        <v>82</v>
      </c>
      <c r="N16" s="11" t="s">
        <v>84</v>
      </c>
      <c r="O16" s="11" t="s">
        <v>82</v>
      </c>
    </row>
    <row r="17" spans="1:15" ht="25.5" x14ac:dyDescent="0.2">
      <c r="A17" s="11">
        <v>16</v>
      </c>
      <c r="B17" s="11" t="s">
        <v>99</v>
      </c>
      <c r="C17" s="11" t="s">
        <v>80</v>
      </c>
      <c r="D17" s="39"/>
      <c r="H17" s="11" t="s">
        <v>84</v>
      </c>
      <c r="I17" s="11" t="s">
        <v>1017</v>
      </c>
      <c r="J17" s="21"/>
      <c r="L17" s="11" t="s">
        <v>82</v>
      </c>
      <c r="N17" s="11" t="s">
        <v>84</v>
      </c>
      <c r="O17" s="11" t="s">
        <v>84</v>
      </c>
    </row>
    <row r="18" spans="1:15" x14ac:dyDescent="0.2">
      <c r="A18" s="11">
        <v>17</v>
      </c>
      <c r="B18" s="11" t="s">
        <v>97</v>
      </c>
      <c r="C18" s="11" t="s">
        <v>82</v>
      </c>
      <c r="D18" s="39"/>
      <c r="H18" s="11" t="s">
        <v>82</v>
      </c>
      <c r="J18" s="21"/>
      <c r="L18" s="11" t="s">
        <v>82</v>
      </c>
      <c r="N18" s="11" t="s">
        <v>82</v>
      </c>
      <c r="O18" s="11" t="s">
        <v>82</v>
      </c>
    </row>
    <row r="19" spans="1:15" ht="63.75" x14ac:dyDescent="0.2">
      <c r="A19" s="11">
        <v>18</v>
      </c>
      <c r="B19" s="11" t="s">
        <v>97</v>
      </c>
      <c r="C19" s="11" t="s">
        <v>82</v>
      </c>
      <c r="D19" s="39"/>
      <c r="H19" s="11" t="s">
        <v>82</v>
      </c>
      <c r="J19" s="21"/>
      <c r="K19" s="11" t="s">
        <v>358</v>
      </c>
      <c r="L19" s="11" t="s">
        <v>82</v>
      </c>
      <c r="N19" s="11" t="s">
        <v>84</v>
      </c>
      <c r="O19" s="11" t="s">
        <v>84</v>
      </c>
    </row>
    <row r="20" spans="1:15" x14ac:dyDescent="0.2">
      <c r="A20" s="11">
        <v>19</v>
      </c>
      <c r="B20" s="33"/>
      <c r="C20" s="33" t="s">
        <v>80</v>
      </c>
      <c r="D20" s="39"/>
      <c r="E20" s="33"/>
      <c r="F20" s="33"/>
      <c r="G20" s="33"/>
      <c r="H20" s="33" t="s">
        <v>80</v>
      </c>
      <c r="I20" s="33"/>
      <c r="J20" s="45"/>
      <c r="K20" s="33"/>
      <c r="L20" s="33" t="s">
        <v>80</v>
      </c>
      <c r="M20" s="33"/>
      <c r="N20" s="33" t="s">
        <v>80</v>
      </c>
      <c r="O20" s="33" t="s">
        <v>80</v>
      </c>
    </row>
    <row r="21" spans="1:15" x14ac:dyDescent="0.2">
      <c r="A21" s="11">
        <v>20</v>
      </c>
      <c r="B21" s="33"/>
      <c r="C21" s="33" t="s">
        <v>80</v>
      </c>
      <c r="D21" s="39"/>
      <c r="E21" s="33"/>
      <c r="F21" s="33"/>
      <c r="G21" s="33"/>
      <c r="H21" s="33" t="s">
        <v>80</v>
      </c>
      <c r="I21" s="33"/>
      <c r="J21" s="45"/>
      <c r="K21" s="33"/>
      <c r="L21" s="33" t="s">
        <v>80</v>
      </c>
      <c r="M21" s="33"/>
      <c r="N21" s="33" t="s">
        <v>80</v>
      </c>
      <c r="O21" s="33" t="s">
        <v>80</v>
      </c>
    </row>
    <row r="22" spans="1:15" x14ac:dyDescent="0.2">
      <c r="A22" s="11">
        <v>21</v>
      </c>
      <c r="B22" s="11" t="s">
        <v>97</v>
      </c>
      <c r="C22" s="11" t="s">
        <v>82</v>
      </c>
      <c r="D22" s="39"/>
      <c r="H22" s="11" t="s">
        <v>82</v>
      </c>
      <c r="J22" s="21"/>
      <c r="L22" s="11" t="s">
        <v>82</v>
      </c>
      <c r="N22" s="11" t="s">
        <v>84</v>
      </c>
      <c r="O22" s="11" t="s">
        <v>84</v>
      </c>
    </row>
    <row r="23" spans="1:15" x14ac:dyDescent="0.2">
      <c r="A23" s="11">
        <v>22</v>
      </c>
      <c r="B23" s="11" t="s">
        <v>99</v>
      </c>
      <c r="C23" s="11" t="s">
        <v>80</v>
      </c>
      <c r="D23" s="39"/>
      <c r="H23" s="11" t="s">
        <v>84</v>
      </c>
      <c r="J23" s="21"/>
      <c r="L23" s="11" t="s">
        <v>82</v>
      </c>
      <c r="N23" s="11" t="s">
        <v>84</v>
      </c>
      <c r="O23" s="11" t="s">
        <v>84</v>
      </c>
    </row>
    <row r="24" spans="1:15" ht="25.5" x14ac:dyDescent="0.2">
      <c r="A24" s="11">
        <v>23</v>
      </c>
      <c r="B24" s="11" t="s">
        <v>97</v>
      </c>
      <c r="C24" s="11" t="s">
        <v>82</v>
      </c>
      <c r="D24" s="39" t="s">
        <v>709</v>
      </c>
      <c r="E24" s="7" t="s">
        <v>394</v>
      </c>
      <c r="H24" s="11" t="s">
        <v>82</v>
      </c>
      <c r="J24" s="21"/>
      <c r="K24" s="11" t="s">
        <v>395</v>
      </c>
      <c r="L24" s="11" t="s">
        <v>82</v>
      </c>
      <c r="N24" s="11" t="s">
        <v>84</v>
      </c>
      <c r="O24" s="11" t="s">
        <v>82</v>
      </c>
    </row>
    <row r="25" spans="1:15" ht="76.5" x14ac:dyDescent="0.2">
      <c r="A25" s="11">
        <v>24</v>
      </c>
      <c r="B25" s="11" t="s">
        <v>99</v>
      </c>
      <c r="C25" s="11" t="s">
        <v>80</v>
      </c>
      <c r="D25" s="39" t="s">
        <v>1981</v>
      </c>
      <c r="E25" s="7" t="s">
        <v>409</v>
      </c>
      <c r="H25" s="11" t="s">
        <v>82</v>
      </c>
      <c r="J25" s="21"/>
      <c r="K25" s="11" t="s">
        <v>3804</v>
      </c>
      <c r="L25" s="11" t="s">
        <v>82</v>
      </c>
      <c r="N25" s="11" t="s">
        <v>82</v>
      </c>
      <c r="O25" s="11" t="s">
        <v>84</v>
      </c>
    </row>
    <row r="26" spans="1:15" ht="51" x14ac:dyDescent="0.2">
      <c r="A26" s="11">
        <v>25</v>
      </c>
      <c r="B26" s="11" t="s">
        <v>97</v>
      </c>
      <c r="C26" s="11" t="s">
        <v>82</v>
      </c>
      <c r="D26" s="39" t="s">
        <v>709</v>
      </c>
      <c r="E26" s="7" t="s">
        <v>425</v>
      </c>
      <c r="H26" s="11" t="s">
        <v>82</v>
      </c>
      <c r="J26" s="21"/>
      <c r="L26" s="11" t="s">
        <v>82</v>
      </c>
      <c r="N26" s="11" t="s">
        <v>84</v>
      </c>
      <c r="O26" s="11" t="s">
        <v>84</v>
      </c>
    </row>
    <row r="27" spans="1:15" ht="25.5" x14ac:dyDescent="0.2">
      <c r="A27" s="11">
        <v>26</v>
      </c>
      <c r="B27" s="11" t="s">
        <v>99</v>
      </c>
      <c r="C27" s="11" t="s">
        <v>80</v>
      </c>
      <c r="D27" s="39" t="s">
        <v>1982</v>
      </c>
      <c r="E27" s="7" t="s">
        <v>436</v>
      </c>
      <c r="H27" s="11" t="s">
        <v>82</v>
      </c>
      <c r="J27" s="21" t="s">
        <v>81</v>
      </c>
      <c r="K27" s="11" t="s">
        <v>3805</v>
      </c>
      <c r="L27" s="11" t="s">
        <v>84</v>
      </c>
      <c r="M27" s="19" t="s">
        <v>438</v>
      </c>
      <c r="N27" s="11" t="s">
        <v>84</v>
      </c>
      <c r="O27" s="11" t="s">
        <v>84</v>
      </c>
    </row>
    <row r="28" spans="1:15" ht="204" x14ac:dyDescent="0.2">
      <c r="A28" s="11">
        <v>27</v>
      </c>
      <c r="B28" s="11" t="s">
        <v>99</v>
      </c>
      <c r="C28" s="11" t="s">
        <v>80</v>
      </c>
      <c r="D28" s="39" t="s">
        <v>710</v>
      </c>
      <c r="E28" s="7" t="s">
        <v>453</v>
      </c>
      <c r="H28" s="11" t="s">
        <v>82</v>
      </c>
      <c r="J28" s="21" t="s">
        <v>81</v>
      </c>
      <c r="K28" s="7" t="s">
        <v>3806</v>
      </c>
      <c r="L28" s="11" t="s">
        <v>82</v>
      </c>
      <c r="N28" s="11" t="s">
        <v>84</v>
      </c>
      <c r="O28" s="11" t="s">
        <v>82</v>
      </c>
    </row>
    <row r="29" spans="1:15" ht="25.5" x14ac:dyDescent="0.2">
      <c r="A29" s="11">
        <v>28</v>
      </c>
      <c r="B29" s="11" t="s">
        <v>99</v>
      </c>
      <c r="C29" s="11" t="s">
        <v>80</v>
      </c>
      <c r="D29" s="39" t="s">
        <v>709</v>
      </c>
      <c r="E29" s="7" t="s">
        <v>468</v>
      </c>
      <c r="H29" s="11" t="s">
        <v>82</v>
      </c>
      <c r="J29" s="21" t="s">
        <v>246</v>
      </c>
      <c r="K29" s="7" t="s">
        <v>469</v>
      </c>
      <c r="L29" s="11" t="s">
        <v>82</v>
      </c>
      <c r="N29" s="11" t="s">
        <v>82</v>
      </c>
      <c r="O29" s="11" t="s">
        <v>82</v>
      </c>
    </row>
    <row r="30" spans="1:15" ht="38.25" x14ac:dyDescent="0.2">
      <c r="A30" s="11">
        <v>29</v>
      </c>
      <c r="B30" s="11" t="s">
        <v>99</v>
      </c>
      <c r="C30" s="11" t="s">
        <v>80</v>
      </c>
      <c r="D30" s="39" t="s">
        <v>1982</v>
      </c>
      <c r="E30" s="7" t="s">
        <v>485</v>
      </c>
      <c r="H30" s="11" t="s">
        <v>84</v>
      </c>
      <c r="I30" s="11" t="s">
        <v>1018</v>
      </c>
      <c r="J30" s="21"/>
      <c r="L30" s="11" t="s">
        <v>84</v>
      </c>
      <c r="M30" s="19" t="s">
        <v>3813</v>
      </c>
      <c r="N30" s="11" t="s">
        <v>84</v>
      </c>
      <c r="O30" s="11" t="s">
        <v>84</v>
      </c>
    </row>
    <row r="31" spans="1:15" ht="63.75" x14ac:dyDescent="0.2">
      <c r="A31" s="11">
        <v>30</v>
      </c>
      <c r="B31" s="11" t="s">
        <v>99</v>
      </c>
      <c r="C31" s="11" t="s">
        <v>80</v>
      </c>
      <c r="D31" s="39" t="s">
        <v>1981</v>
      </c>
      <c r="E31" s="7" t="s">
        <v>3542</v>
      </c>
      <c r="H31" s="11" t="s">
        <v>84</v>
      </c>
      <c r="I31" s="11" t="s">
        <v>3543</v>
      </c>
      <c r="J31" s="21"/>
      <c r="L31" s="11" t="s">
        <v>82</v>
      </c>
      <c r="N31" s="11" t="s">
        <v>84</v>
      </c>
      <c r="O31" s="11" t="s">
        <v>84</v>
      </c>
    </row>
    <row r="32" spans="1:15" x14ac:dyDescent="0.2">
      <c r="A32" s="11">
        <v>31</v>
      </c>
      <c r="B32" s="11" t="s">
        <v>97</v>
      </c>
      <c r="C32" s="11" t="s">
        <v>82</v>
      </c>
      <c r="D32" s="39"/>
      <c r="E32" s="7"/>
      <c r="H32" s="11" t="s">
        <v>82</v>
      </c>
      <c r="J32" s="21"/>
      <c r="L32" s="11" t="s">
        <v>84</v>
      </c>
      <c r="M32" s="11" t="s">
        <v>512</v>
      </c>
      <c r="N32" s="11" t="s">
        <v>84</v>
      </c>
      <c r="O32" s="11" t="s">
        <v>84</v>
      </c>
    </row>
    <row r="33" spans="1:15" x14ac:dyDescent="0.2">
      <c r="A33" s="11">
        <v>32</v>
      </c>
      <c r="B33" s="11" t="s">
        <v>99</v>
      </c>
      <c r="C33" s="11" t="s">
        <v>80</v>
      </c>
      <c r="D33" s="39" t="s">
        <v>1982</v>
      </c>
      <c r="E33" s="7" t="s">
        <v>522</v>
      </c>
      <c r="H33" s="11" t="s">
        <v>84</v>
      </c>
      <c r="J33" s="21"/>
      <c r="L33" s="11" t="s">
        <v>84</v>
      </c>
      <c r="N33" s="11" t="s">
        <v>84</v>
      </c>
      <c r="O33" s="11" t="s">
        <v>84</v>
      </c>
    </row>
    <row r="34" spans="1:15" ht="38.25" x14ac:dyDescent="0.2">
      <c r="A34" s="11">
        <v>33</v>
      </c>
      <c r="B34" s="11" t="s">
        <v>97</v>
      </c>
      <c r="C34" s="11" t="s">
        <v>84</v>
      </c>
      <c r="D34" s="39" t="s">
        <v>709</v>
      </c>
      <c r="E34" s="7" t="s">
        <v>530</v>
      </c>
      <c r="H34" s="11" t="s">
        <v>82</v>
      </c>
      <c r="J34" s="21" t="s">
        <v>81</v>
      </c>
      <c r="K34" s="7" t="s">
        <v>3807</v>
      </c>
      <c r="L34" s="11" t="s">
        <v>82</v>
      </c>
      <c r="N34" s="11" t="s">
        <v>84</v>
      </c>
      <c r="O34" s="11" t="s">
        <v>82</v>
      </c>
    </row>
    <row r="35" spans="1:15" ht="51" x14ac:dyDescent="0.2">
      <c r="A35" s="11">
        <v>34</v>
      </c>
      <c r="B35" s="11" t="s">
        <v>97</v>
      </c>
      <c r="C35" s="11" t="s">
        <v>84</v>
      </c>
      <c r="D35" s="39" t="s">
        <v>709</v>
      </c>
      <c r="E35" s="7" t="s">
        <v>550</v>
      </c>
      <c r="H35" s="11" t="s">
        <v>82</v>
      </c>
      <c r="J35" s="21" t="s">
        <v>246</v>
      </c>
      <c r="K35" s="7" t="s">
        <v>3808</v>
      </c>
      <c r="L35" s="11" t="s">
        <v>82</v>
      </c>
      <c r="N35" s="11" t="s">
        <v>84</v>
      </c>
      <c r="O35" s="11" t="s">
        <v>84</v>
      </c>
    </row>
    <row r="36" spans="1:15" ht="89.25" x14ac:dyDescent="0.2">
      <c r="A36" s="11">
        <v>35</v>
      </c>
      <c r="B36" s="11" t="s">
        <v>99</v>
      </c>
      <c r="C36" s="11" t="s">
        <v>80</v>
      </c>
      <c r="D36" s="39" t="s">
        <v>1981</v>
      </c>
      <c r="E36" s="7" t="s">
        <v>568</v>
      </c>
      <c r="H36" s="11" t="s">
        <v>82</v>
      </c>
      <c r="J36" s="21"/>
      <c r="K36" s="11" t="s">
        <v>569</v>
      </c>
      <c r="L36" s="11" t="s">
        <v>84</v>
      </c>
      <c r="M36" s="7" t="s">
        <v>4133</v>
      </c>
      <c r="N36" s="11" t="s">
        <v>84</v>
      </c>
      <c r="O36" s="11" t="s">
        <v>84</v>
      </c>
    </row>
    <row r="37" spans="1:15" x14ac:dyDescent="0.2">
      <c r="A37" s="11">
        <v>36</v>
      </c>
      <c r="B37" s="11" t="s">
        <v>97</v>
      </c>
      <c r="C37" s="11" t="s">
        <v>82</v>
      </c>
      <c r="D37" s="39"/>
      <c r="E37" s="7"/>
      <c r="H37" s="11" t="s">
        <v>82</v>
      </c>
      <c r="J37" s="21"/>
      <c r="L37" s="11" t="s">
        <v>82</v>
      </c>
      <c r="N37" s="11" t="s">
        <v>84</v>
      </c>
      <c r="O37" s="11" t="s">
        <v>84</v>
      </c>
    </row>
    <row r="38" spans="1:15" ht="153" x14ac:dyDescent="0.2">
      <c r="A38" s="11">
        <v>37</v>
      </c>
      <c r="B38" s="11" t="s">
        <v>99</v>
      </c>
      <c r="C38" s="11" t="s">
        <v>80</v>
      </c>
      <c r="D38" s="39" t="s">
        <v>1981</v>
      </c>
      <c r="E38" s="7" t="s">
        <v>4134</v>
      </c>
      <c r="H38" s="11" t="s">
        <v>84</v>
      </c>
      <c r="I38" s="7" t="s">
        <v>3544</v>
      </c>
      <c r="J38" s="21"/>
      <c r="L38" s="11" t="s">
        <v>84</v>
      </c>
      <c r="M38" s="11" t="s">
        <v>3814</v>
      </c>
      <c r="N38" s="11" t="s">
        <v>84</v>
      </c>
      <c r="O38" s="11" t="s">
        <v>84</v>
      </c>
    </row>
    <row r="39" spans="1:15" ht="242.25" x14ac:dyDescent="0.2">
      <c r="A39" s="11">
        <v>38</v>
      </c>
      <c r="B39" s="11" t="s">
        <v>97</v>
      </c>
      <c r="C39" s="11" t="s">
        <v>82</v>
      </c>
      <c r="D39" s="39" t="s">
        <v>702</v>
      </c>
      <c r="E39" s="7" t="s">
        <v>722</v>
      </c>
      <c r="H39" s="11" t="s">
        <v>82</v>
      </c>
      <c r="J39" s="21" t="s">
        <v>246</v>
      </c>
      <c r="K39" s="7" t="s">
        <v>3809</v>
      </c>
      <c r="L39" s="11" t="s">
        <v>82</v>
      </c>
      <c r="N39" s="11" t="s">
        <v>84</v>
      </c>
      <c r="O39" s="11" t="s">
        <v>82</v>
      </c>
    </row>
    <row r="40" spans="1:15" ht="89.25" x14ac:dyDescent="0.2">
      <c r="A40" s="11">
        <v>39</v>
      </c>
      <c r="B40" s="11" t="s">
        <v>99</v>
      </c>
      <c r="C40" s="11" t="s">
        <v>80</v>
      </c>
      <c r="D40" s="39" t="s">
        <v>1981</v>
      </c>
      <c r="E40" s="7" t="s">
        <v>740</v>
      </c>
      <c r="H40" s="11" t="s">
        <v>84</v>
      </c>
      <c r="I40" s="11" t="s">
        <v>1019</v>
      </c>
      <c r="J40" s="21"/>
      <c r="L40" s="11" t="s">
        <v>82</v>
      </c>
      <c r="N40" s="11" t="s">
        <v>84</v>
      </c>
      <c r="O40" s="11" t="s">
        <v>84</v>
      </c>
    </row>
    <row r="41" spans="1:15" ht="76.5" x14ac:dyDescent="0.2">
      <c r="A41" s="11">
        <v>40</v>
      </c>
      <c r="B41" s="11" t="s">
        <v>99</v>
      </c>
      <c r="C41" s="11" t="s">
        <v>80</v>
      </c>
      <c r="D41" s="39" t="s">
        <v>1981</v>
      </c>
      <c r="E41" s="7" t="s">
        <v>759</v>
      </c>
      <c r="H41" s="11" t="s">
        <v>84</v>
      </c>
      <c r="I41" s="11" t="s">
        <v>760</v>
      </c>
      <c r="J41" s="21"/>
      <c r="L41" s="11" t="s">
        <v>84</v>
      </c>
      <c r="M41" s="11" t="s">
        <v>4135</v>
      </c>
      <c r="N41" s="11" t="s">
        <v>84</v>
      </c>
      <c r="O41" s="11" t="s">
        <v>84</v>
      </c>
    </row>
    <row r="42" spans="1:15" ht="63.75" x14ac:dyDescent="0.2">
      <c r="A42" s="11">
        <v>41</v>
      </c>
      <c r="B42" s="11" t="s">
        <v>97</v>
      </c>
      <c r="C42" s="11" t="s">
        <v>84</v>
      </c>
      <c r="D42" s="39" t="s">
        <v>1982</v>
      </c>
      <c r="E42" s="7" t="s">
        <v>775</v>
      </c>
      <c r="H42" s="11" t="s">
        <v>82</v>
      </c>
      <c r="J42" s="21" t="s">
        <v>81</v>
      </c>
      <c r="K42" s="11" t="s">
        <v>1991</v>
      </c>
      <c r="L42" s="11" t="s">
        <v>82</v>
      </c>
      <c r="N42" s="11" t="s">
        <v>82</v>
      </c>
      <c r="O42" s="11" t="s">
        <v>82</v>
      </c>
    </row>
    <row r="43" spans="1:15" x14ac:dyDescent="0.2">
      <c r="A43" s="11">
        <v>42</v>
      </c>
      <c r="B43" s="11" t="s">
        <v>97</v>
      </c>
      <c r="C43" s="11" t="s">
        <v>82</v>
      </c>
      <c r="D43" s="39"/>
      <c r="E43" s="7"/>
      <c r="H43" s="11" t="s">
        <v>82</v>
      </c>
      <c r="J43" s="21"/>
      <c r="L43" s="11" t="s">
        <v>82</v>
      </c>
      <c r="N43" s="11" t="s">
        <v>84</v>
      </c>
      <c r="O43" s="11" t="s">
        <v>84</v>
      </c>
    </row>
    <row r="44" spans="1:15" ht="51" x14ac:dyDescent="0.2">
      <c r="A44" s="11">
        <v>43</v>
      </c>
      <c r="B44" s="11" t="s">
        <v>99</v>
      </c>
      <c r="C44" s="11" t="s">
        <v>80</v>
      </c>
      <c r="D44" s="39" t="s">
        <v>1981</v>
      </c>
      <c r="E44" s="7" t="s">
        <v>794</v>
      </c>
      <c r="H44" s="11" t="s">
        <v>84</v>
      </c>
      <c r="I44" s="11" t="s">
        <v>4136</v>
      </c>
      <c r="J44" s="21"/>
      <c r="L44" s="11" t="s">
        <v>84</v>
      </c>
      <c r="M44" s="11" t="s">
        <v>4158</v>
      </c>
      <c r="N44" s="11" t="s">
        <v>84</v>
      </c>
      <c r="O44" s="11" t="s">
        <v>84</v>
      </c>
    </row>
    <row r="45" spans="1:15" x14ac:dyDescent="0.2">
      <c r="A45" s="11">
        <v>44</v>
      </c>
      <c r="B45" s="33" t="s">
        <v>97</v>
      </c>
      <c r="C45" s="33" t="s">
        <v>84</v>
      </c>
      <c r="D45" s="39"/>
      <c r="E45" s="52"/>
      <c r="F45" s="33"/>
      <c r="G45" s="33"/>
      <c r="H45" s="33" t="s">
        <v>80</v>
      </c>
      <c r="I45" s="33"/>
      <c r="J45" s="45"/>
      <c r="K45" s="33"/>
      <c r="L45" s="33" t="s">
        <v>80</v>
      </c>
      <c r="M45" s="33"/>
      <c r="N45" s="33" t="s">
        <v>80</v>
      </c>
      <c r="O45" s="33" t="s">
        <v>80</v>
      </c>
    </row>
    <row r="46" spans="1:15" x14ac:dyDescent="0.2">
      <c r="A46" s="11">
        <v>45</v>
      </c>
      <c r="B46" s="11" t="s">
        <v>99</v>
      </c>
      <c r="C46" s="11" t="s">
        <v>80</v>
      </c>
      <c r="D46" s="39" t="s">
        <v>1982</v>
      </c>
      <c r="E46" s="7" t="s">
        <v>817</v>
      </c>
      <c r="H46" s="11" t="s">
        <v>84</v>
      </c>
      <c r="J46" s="21"/>
      <c r="L46" s="11" t="s">
        <v>84</v>
      </c>
      <c r="M46" s="19" t="s">
        <v>818</v>
      </c>
      <c r="N46" s="11" t="s">
        <v>84</v>
      </c>
      <c r="O46" s="11" t="s">
        <v>84</v>
      </c>
    </row>
    <row r="47" spans="1:15" ht="51" x14ac:dyDescent="0.2">
      <c r="A47" s="11">
        <v>46</v>
      </c>
      <c r="B47" s="11" t="s">
        <v>97</v>
      </c>
      <c r="C47" s="11" t="s">
        <v>84</v>
      </c>
      <c r="D47" s="39" t="s">
        <v>709</v>
      </c>
      <c r="E47" s="7" t="s">
        <v>830</v>
      </c>
      <c r="H47" s="11" t="s">
        <v>82</v>
      </c>
      <c r="J47" s="21"/>
      <c r="K47" s="11" t="s">
        <v>831</v>
      </c>
      <c r="L47" s="11" t="s">
        <v>82</v>
      </c>
      <c r="N47" s="11" t="s">
        <v>84</v>
      </c>
      <c r="O47" s="11" t="s">
        <v>84</v>
      </c>
    </row>
    <row r="48" spans="1:15" ht="63.75" x14ac:dyDescent="0.2">
      <c r="A48" s="11">
        <v>47</v>
      </c>
      <c r="B48" s="11" t="s">
        <v>99</v>
      </c>
      <c r="C48" s="11" t="s">
        <v>80</v>
      </c>
      <c r="D48" s="39" t="s">
        <v>1982</v>
      </c>
      <c r="E48" s="7" t="s">
        <v>1989</v>
      </c>
      <c r="H48" s="11" t="s">
        <v>82</v>
      </c>
      <c r="J48" s="21" t="s">
        <v>246</v>
      </c>
      <c r="K48" s="11" t="s">
        <v>848</v>
      </c>
      <c r="L48" s="11" t="s">
        <v>84</v>
      </c>
      <c r="M48" s="11" t="s">
        <v>849</v>
      </c>
      <c r="N48" s="11" t="s">
        <v>84</v>
      </c>
      <c r="O48" s="11" t="s">
        <v>84</v>
      </c>
    </row>
    <row r="49" spans="1:15" x14ac:dyDescent="0.2">
      <c r="A49" s="11">
        <v>48</v>
      </c>
      <c r="B49" s="11" t="s">
        <v>97</v>
      </c>
      <c r="C49" s="11" t="s">
        <v>84</v>
      </c>
      <c r="D49" s="39" t="s">
        <v>1982</v>
      </c>
      <c r="E49" s="7" t="s">
        <v>861</v>
      </c>
      <c r="H49" s="11" t="s">
        <v>82</v>
      </c>
      <c r="J49" s="21" t="s">
        <v>81</v>
      </c>
      <c r="K49" s="7" t="s">
        <v>862</v>
      </c>
      <c r="L49" s="11" t="s">
        <v>82</v>
      </c>
      <c r="N49" s="11" t="s">
        <v>84</v>
      </c>
      <c r="O49" s="11" t="s">
        <v>84</v>
      </c>
    </row>
    <row r="50" spans="1:15" ht="25.5" x14ac:dyDescent="0.2">
      <c r="A50" s="11">
        <v>49</v>
      </c>
      <c r="B50" s="11" t="s">
        <v>99</v>
      </c>
      <c r="C50" s="11" t="s">
        <v>80</v>
      </c>
      <c r="D50" s="39" t="s">
        <v>709</v>
      </c>
      <c r="E50" s="7" t="s">
        <v>873</v>
      </c>
      <c r="H50" s="11" t="s">
        <v>82</v>
      </c>
      <c r="J50" s="21"/>
      <c r="L50" s="11" t="s">
        <v>82</v>
      </c>
      <c r="N50" s="11" t="s">
        <v>84</v>
      </c>
      <c r="O50" s="11" t="s">
        <v>84</v>
      </c>
    </row>
    <row r="51" spans="1:15" ht="38.25" x14ac:dyDescent="0.2">
      <c r="A51" s="11">
        <v>50</v>
      </c>
      <c r="B51" s="11" t="s">
        <v>97</v>
      </c>
      <c r="C51" s="11" t="s">
        <v>84</v>
      </c>
      <c r="D51" s="39" t="s">
        <v>709</v>
      </c>
      <c r="E51" s="7" t="s">
        <v>97</v>
      </c>
      <c r="H51" s="11" t="s">
        <v>82</v>
      </c>
      <c r="J51" s="21"/>
      <c r="K51" s="11" t="s">
        <v>887</v>
      </c>
      <c r="L51" s="11" t="s">
        <v>82</v>
      </c>
      <c r="N51" s="11" t="s">
        <v>84</v>
      </c>
      <c r="O51" s="11" t="s">
        <v>84</v>
      </c>
    </row>
    <row r="52" spans="1:15" x14ac:dyDescent="0.2">
      <c r="A52" s="11">
        <v>51</v>
      </c>
      <c r="B52" s="11" t="s">
        <v>99</v>
      </c>
      <c r="C52" s="11" t="s">
        <v>80</v>
      </c>
      <c r="D52" s="39" t="s">
        <v>1981</v>
      </c>
      <c r="E52" s="7" t="s">
        <v>896</v>
      </c>
      <c r="H52" s="11" t="s">
        <v>84</v>
      </c>
      <c r="I52" s="11" t="s">
        <v>897</v>
      </c>
      <c r="J52" s="21"/>
      <c r="L52" s="11" t="s">
        <v>82</v>
      </c>
      <c r="N52" s="11" t="s">
        <v>84</v>
      </c>
      <c r="O52" s="11" t="s">
        <v>84</v>
      </c>
    </row>
    <row r="53" spans="1:15" x14ac:dyDescent="0.2">
      <c r="A53" s="11">
        <v>52</v>
      </c>
      <c r="B53" s="11" t="s">
        <v>97</v>
      </c>
      <c r="C53" s="11" t="s">
        <v>84</v>
      </c>
      <c r="D53" s="39"/>
      <c r="E53" s="7"/>
      <c r="H53" s="11" t="s">
        <v>82</v>
      </c>
      <c r="J53" s="21"/>
      <c r="L53" s="11" t="s">
        <v>82</v>
      </c>
      <c r="N53" s="11" t="s">
        <v>84</v>
      </c>
      <c r="O53" s="11" t="s">
        <v>84</v>
      </c>
    </row>
    <row r="54" spans="1:15" ht="102" x14ac:dyDescent="0.2">
      <c r="A54" s="11">
        <v>53</v>
      </c>
      <c r="B54" s="11" t="s">
        <v>97</v>
      </c>
      <c r="C54" s="11" t="s">
        <v>82</v>
      </c>
      <c r="D54" s="39" t="s">
        <v>709</v>
      </c>
      <c r="E54" s="7" t="s">
        <v>912</v>
      </c>
      <c r="H54" s="11" t="s">
        <v>82</v>
      </c>
      <c r="J54" s="21" t="s">
        <v>81</v>
      </c>
      <c r="K54" s="19" t="s">
        <v>913</v>
      </c>
      <c r="L54" s="21" t="s">
        <v>82</v>
      </c>
      <c r="M54" s="11" t="s">
        <v>914</v>
      </c>
      <c r="N54" s="11" t="s">
        <v>84</v>
      </c>
      <c r="O54" s="11" t="s">
        <v>84</v>
      </c>
    </row>
    <row r="55" spans="1:15" x14ac:dyDescent="0.2">
      <c r="A55" s="11">
        <v>54</v>
      </c>
      <c r="B55" s="11" t="s">
        <v>97</v>
      </c>
      <c r="C55" s="11" t="s">
        <v>84</v>
      </c>
      <c r="D55" s="39"/>
      <c r="E55" s="7"/>
      <c r="H55" s="11" t="s">
        <v>82</v>
      </c>
      <c r="J55" s="21"/>
      <c r="L55" s="11" t="s">
        <v>82</v>
      </c>
      <c r="N55" s="11" t="s">
        <v>84</v>
      </c>
      <c r="O55" s="11" t="s">
        <v>84</v>
      </c>
    </row>
    <row r="56" spans="1:15" ht="38.25" x14ac:dyDescent="0.2">
      <c r="A56" s="11">
        <v>55</v>
      </c>
      <c r="B56" s="11" t="s">
        <v>97</v>
      </c>
      <c r="C56" s="11" t="s">
        <v>84</v>
      </c>
      <c r="D56" s="39" t="s">
        <v>702</v>
      </c>
      <c r="E56" s="7" t="s">
        <v>937</v>
      </c>
      <c r="H56" s="11" t="s">
        <v>82</v>
      </c>
      <c r="J56" s="21" t="s">
        <v>81</v>
      </c>
      <c r="K56" s="11" t="s">
        <v>938</v>
      </c>
      <c r="L56" s="11" t="s">
        <v>82</v>
      </c>
      <c r="N56" s="11" t="s">
        <v>84</v>
      </c>
      <c r="O56" s="11" t="s">
        <v>84</v>
      </c>
    </row>
    <row r="57" spans="1:15" ht="38.25" x14ac:dyDescent="0.2">
      <c r="A57" s="11">
        <v>56</v>
      </c>
      <c r="B57" s="11" t="s">
        <v>97</v>
      </c>
      <c r="C57" s="11" t="s">
        <v>84</v>
      </c>
      <c r="D57" s="39" t="s">
        <v>709</v>
      </c>
      <c r="E57" s="7" t="s">
        <v>953</v>
      </c>
      <c r="H57" s="11" t="s">
        <v>82</v>
      </c>
      <c r="J57" s="21" t="s">
        <v>81</v>
      </c>
      <c r="K57" s="7" t="s">
        <v>954</v>
      </c>
      <c r="L57" s="11" t="s">
        <v>82</v>
      </c>
      <c r="N57" s="11" t="s">
        <v>82</v>
      </c>
      <c r="O57" s="11" t="s">
        <v>82</v>
      </c>
    </row>
    <row r="58" spans="1:15" x14ac:dyDescent="0.2">
      <c r="A58" s="11">
        <v>57</v>
      </c>
      <c r="B58" s="11" t="s">
        <v>97</v>
      </c>
      <c r="C58" s="11" t="s">
        <v>84</v>
      </c>
      <c r="D58" s="39" t="s">
        <v>709</v>
      </c>
      <c r="E58" s="7" t="s">
        <v>709</v>
      </c>
      <c r="H58" s="11" t="s">
        <v>82</v>
      </c>
      <c r="J58" s="21"/>
      <c r="K58" s="11" t="s">
        <v>964</v>
      </c>
      <c r="L58" s="11" t="s">
        <v>82</v>
      </c>
      <c r="N58" s="11" t="s">
        <v>84</v>
      </c>
      <c r="O58" s="11" t="s">
        <v>84</v>
      </c>
    </row>
    <row r="59" spans="1:15" ht="89.25" x14ac:dyDescent="0.2">
      <c r="A59" s="11">
        <v>58</v>
      </c>
      <c r="B59" s="11" t="s">
        <v>99</v>
      </c>
      <c r="C59" s="11" t="s">
        <v>80</v>
      </c>
      <c r="D59" s="39" t="s">
        <v>702</v>
      </c>
      <c r="E59" s="7" t="s">
        <v>1084</v>
      </c>
      <c r="H59" s="11" t="s">
        <v>82</v>
      </c>
      <c r="J59" s="21"/>
      <c r="K59" s="11" t="s">
        <v>1085</v>
      </c>
      <c r="L59" s="11" t="s">
        <v>82</v>
      </c>
      <c r="N59" s="11" t="s">
        <v>84</v>
      </c>
      <c r="O59" s="11" t="s">
        <v>84</v>
      </c>
    </row>
    <row r="60" spans="1:15" x14ac:dyDescent="0.2">
      <c r="A60" s="11">
        <v>59</v>
      </c>
      <c r="B60" s="11" t="s">
        <v>97</v>
      </c>
      <c r="C60" s="11" t="s">
        <v>84</v>
      </c>
      <c r="D60" s="39"/>
      <c r="E60" s="7" t="s">
        <v>1100</v>
      </c>
      <c r="H60" s="11" t="s">
        <v>82</v>
      </c>
      <c r="J60" s="21"/>
      <c r="L60" s="11" t="s">
        <v>84</v>
      </c>
      <c r="N60" s="11" t="s">
        <v>84</v>
      </c>
      <c r="O60" s="11" t="s">
        <v>84</v>
      </c>
    </row>
    <row r="61" spans="1:15" ht="25.5" x14ac:dyDescent="0.2">
      <c r="A61" s="11">
        <v>60</v>
      </c>
      <c r="B61" s="11" t="s">
        <v>97</v>
      </c>
      <c r="C61" s="11" t="s">
        <v>84</v>
      </c>
      <c r="D61" s="39" t="s">
        <v>709</v>
      </c>
      <c r="E61" s="7" t="s">
        <v>1110</v>
      </c>
      <c r="H61" s="11" t="s">
        <v>82</v>
      </c>
      <c r="J61" s="21"/>
      <c r="L61" s="11" t="s">
        <v>82</v>
      </c>
      <c r="N61" s="11" t="s">
        <v>84</v>
      </c>
      <c r="O61" s="11" t="s">
        <v>84</v>
      </c>
    </row>
    <row r="62" spans="1:15" ht="51" x14ac:dyDescent="0.2">
      <c r="A62" s="11">
        <v>61</v>
      </c>
      <c r="B62" s="11" t="s">
        <v>99</v>
      </c>
      <c r="C62" s="11" t="s">
        <v>80</v>
      </c>
      <c r="D62" s="11" t="s">
        <v>97</v>
      </c>
      <c r="E62" s="7"/>
      <c r="F62" s="11" t="s">
        <v>246</v>
      </c>
      <c r="H62" s="11" t="s">
        <v>84</v>
      </c>
      <c r="I62" s="11" t="s">
        <v>4137</v>
      </c>
      <c r="L62" s="11" t="s">
        <v>82</v>
      </c>
      <c r="N62" s="11" t="s">
        <v>84</v>
      </c>
      <c r="O62" s="11" t="s">
        <v>84</v>
      </c>
    </row>
    <row r="63" spans="1:15" ht="25.5" x14ac:dyDescent="0.2">
      <c r="A63" s="11">
        <v>62</v>
      </c>
      <c r="B63" s="11" t="s">
        <v>99</v>
      </c>
      <c r="C63" s="11" t="s">
        <v>80</v>
      </c>
      <c r="D63" s="11" t="s">
        <v>1312</v>
      </c>
      <c r="E63" s="7"/>
      <c r="F63" s="11" t="s">
        <v>81</v>
      </c>
      <c r="H63" s="11" t="s">
        <v>84</v>
      </c>
      <c r="I63" s="11" t="s">
        <v>402</v>
      </c>
      <c r="L63" s="11" t="s">
        <v>82</v>
      </c>
      <c r="N63" s="11" t="s">
        <v>84</v>
      </c>
      <c r="O63" s="11" t="s">
        <v>84</v>
      </c>
    </row>
    <row r="64" spans="1:15" ht="114.75" x14ac:dyDescent="0.2">
      <c r="A64" s="11">
        <v>63</v>
      </c>
      <c r="B64" s="11" t="s">
        <v>97</v>
      </c>
      <c r="C64" s="11" t="s">
        <v>84</v>
      </c>
      <c r="D64" s="11" t="s">
        <v>1312</v>
      </c>
      <c r="E64" s="7" t="s">
        <v>4138</v>
      </c>
      <c r="F64" s="11" t="s">
        <v>246</v>
      </c>
      <c r="G64" s="11" t="s">
        <v>1328</v>
      </c>
      <c r="H64" s="11" t="s">
        <v>82</v>
      </c>
      <c r="J64" s="11" t="s">
        <v>246</v>
      </c>
      <c r="K64" s="11" t="s">
        <v>1329</v>
      </c>
      <c r="L64" s="11" t="s">
        <v>84</v>
      </c>
      <c r="M64" s="11" t="s">
        <v>1330</v>
      </c>
      <c r="N64" s="11" t="s">
        <v>84</v>
      </c>
      <c r="O64" s="11" t="s">
        <v>84</v>
      </c>
    </row>
    <row r="65" spans="1:15" x14ac:dyDescent="0.2">
      <c r="A65" s="11">
        <v>64</v>
      </c>
      <c r="B65" s="33"/>
      <c r="C65" s="33" t="s">
        <v>80</v>
      </c>
      <c r="D65" s="33"/>
      <c r="E65" s="52"/>
      <c r="F65" s="33"/>
      <c r="G65" s="33"/>
      <c r="H65" s="33" t="s">
        <v>80</v>
      </c>
      <c r="I65" s="33"/>
      <c r="J65" s="33"/>
      <c r="K65" s="33"/>
      <c r="L65" s="33" t="s">
        <v>80</v>
      </c>
      <c r="M65" s="33"/>
      <c r="N65" s="33" t="s">
        <v>80</v>
      </c>
      <c r="O65" s="33" t="s">
        <v>80</v>
      </c>
    </row>
    <row r="66" spans="1:15" ht="25.5" x14ac:dyDescent="0.2">
      <c r="A66" s="11">
        <v>65</v>
      </c>
      <c r="B66" s="11" t="s">
        <v>99</v>
      </c>
      <c r="C66" s="11" t="s">
        <v>80</v>
      </c>
      <c r="D66" s="11" t="s">
        <v>99</v>
      </c>
      <c r="E66" s="7"/>
      <c r="H66" s="11" t="s">
        <v>82</v>
      </c>
      <c r="J66" s="11" t="s">
        <v>81</v>
      </c>
      <c r="L66" s="11" t="s">
        <v>84</v>
      </c>
      <c r="M66" s="64" t="s">
        <v>1347</v>
      </c>
      <c r="N66" s="11" t="s">
        <v>84</v>
      </c>
      <c r="O66" s="11" t="s">
        <v>84</v>
      </c>
    </row>
    <row r="67" spans="1:15" x14ac:dyDescent="0.2">
      <c r="A67" s="11">
        <v>66</v>
      </c>
      <c r="B67" s="11" t="s">
        <v>118</v>
      </c>
      <c r="C67" s="11" t="s">
        <v>84</v>
      </c>
      <c r="D67" s="11" t="s">
        <v>97</v>
      </c>
      <c r="E67" s="7"/>
      <c r="F67" s="11" t="s">
        <v>246</v>
      </c>
      <c r="H67" s="11" t="s">
        <v>82</v>
      </c>
      <c r="J67" s="11" t="s">
        <v>246</v>
      </c>
      <c r="L67" s="11" t="s">
        <v>82</v>
      </c>
      <c r="N67" s="11" t="s">
        <v>84</v>
      </c>
      <c r="O67" s="11" t="s">
        <v>84</v>
      </c>
    </row>
    <row r="68" spans="1:15" ht="25.5" x14ac:dyDescent="0.2">
      <c r="A68" s="11">
        <v>67</v>
      </c>
      <c r="B68" s="11" t="s">
        <v>99</v>
      </c>
      <c r="C68" s="11" t="s">
        <v>80</v>
      </c>
      <c r="D68" s="11" t="s">
        <v>1312</v>
      </c>
      <c r="E68" s="7"/>
      <c r="F68" s="11" t="s">
        <v>81</v>
      </c>
      <c r="H68" s="11" t="s">
        <v>84</v>
      </c>
      <c r="I68" s="7" t="s">
        <v>3545</v>
      </c>
      <c r="L68" s="11" t="s">
        <v>84</v>
      </c>
      <c r="M68" s="11" t="s">
        <v>3816</v>
      </c>
      <c r="N68" s="11" t="s">
        <v>84</v>
      </c>
      <c r="O68" s="11" t="s">
        <v>84</v>
      </c>
    </row>
    <row r="69" spans="1:15" x14ac:dyDescent="0.2">
      <c r="A69" s="11">
        <v>68</v>
      </c>
      <c r="B69" s="11" t="s">
        <v>118</v>
      </c>
      <c r="C69" s="11" t="s">
        <v>82</v>
      </c>
      <c r="E69" s="7"/>
      <c r="H69" s="11" t="s">
        <v>82</v>
      </c>
      <c r="J69" s="11" t="s">
        <v>246</v>
      </c>
      <c r="L69" s="11" t="s">
        <v>82</v>
      </c>
      <c r="N69" s="11" t="s">
        <v>84</v>
      </c>
      <c r="O69" s="11" t="s">
        <v>84</v>
      </c>
    </row>
    <row r="70" spans="1:15" ht="25.5" x14ac:dyDescent="0.2">
      <c r="A70" s="11">
        <v>69</v>
      </c>
      <c r="B70" s="11" t="s">
        <v>118</v>
      </c>
      <c r="C70" s="11" t="s">
        <v>84</v>
      </c>
      <c r="D70" s="11" t="s">
        <v>1312</v>
      </c>
      <c r="E70" s="7"/>
      <c r="F70" s="11" t="s">
        <v>246</v>
      </c>
      <c r="H70" s="11" t="s">
        <v>82</v>
      </c>
      <c r="J70" s="11" t="s">
        <v>246</v>
      </c>
      <c r="L70" s="11" t="s">
        <v>82</v>
      </c>
      <c r="N70" s="11" t="s">
        <v>82</v>
      </c>
      <c r="O70" s="11" t="s">
        <v>82</v>
      </c>
    </row>
    <row r="71" spans="1:15" x14ac:dyDescent="0.2">
      <c r="A71" s="11">
        <v>70</v>
      </c>
      <c r="B71" s="11" t="s">
        <v>99</v>
      </c>
      <c r="C71" s="11" t="s">
        <v>80</v>
      </c>
      <c r="E71" s="7"/>
      <c r="H71" s="11" t="s">
        <v>82</v>
      </c>
      <c r="J71" s="11" t="s">
        <v>81</v>
      </c>
      <c r="L71" s="11" t="s">
        <v>82</v>
      </c>
      <c r="N71" s="11" t="s">
        <v>84</v>
      </c>
      <c r="O71" s="11" t="s">
        <v>84</v>
      </c>
    </row>
    <row r="72" spans="1:15" ht="140.25" x14ac:dyDescent="0.2">
      <c r="A72" s="11">
        <v>71</v>
      </c>
      <c r="B72" s="11" t="s">
        <v>118</v>
      </c>
      <c r="C72" s="11" t="s">
        <v>84</v>
      </c>
      <c r="D72" s="11" t="s">
        <v>97</v>
      </c>
      <c r="F72" s="11" t="s">
        <v>246</v>
      </c>
      <c r="H72" s="11" t="s">
        <v>82</v>
      </c>
      <c r="J72" s="11" t="s">
        <v>246</v>
      </c>
      <c r="L72" s="11" t="s">
        <v>84</v>
      </c>
      <c r="M72" s="11" t="s">
        <v>3817</v>
      </c>
      <c r="N72" s="11" t="s">
        <v>84</v>
      </c>
      <c r="O72" s="11" t="s">
        <v>84</v>
      </c>
    </row>
    <row r="73" spans="1:15" x14ac:dyDescent="0.2">
      <c r="A73" s="11">
        <v>72</v>
      </c>
      <c r="B73" s="11" t="s">
        <v>97</v>
      </c>
      <c r="C73" s="11" t="s">
        <v>84</v>
      </c>
      <c r="D73" s="11" t="s">
        <v>97</v>
      </c>
      <c r="F73" s="11" t="s">
        <v>246</v>
      </c>
      <c r="H73" s="11" t="s">
        <v>82</v>
      </c>
      <c r="J73" s="11" t="s">
        <v>246</v>
      </c>
      <c r="L73" s="11" t="s">
        <v>82</v>
      </c>
      <c r="N73" s="11" t="s">
        <v>84</v>
      </c>
      <c r="O73" s="11" t="s">
        <v>84</v>
      </c>
    </row>
    <row r="74" spans="1:15" x14ac:dyDescent="0.2">
      <c r="A74" s="11">
        <v>73</v>
      </c>
      <c r="B74" s="33"/>
      <c r="C74" s="33" t="s">
        <v>80</v>
      </c>
      <c r="D74" s="33"/>
      <c r="E74" s="33"/>
      <c r="F74" s="33"/>
      <c r="G74" s="33"/>
      <c r="H74" s="33" t="s">
        <v>80</v>
      </c>
      <c r="I74" s="33"/>
      <c r="J74" s="33"/>
      <c r="K74" s="33"/>
      <c r="L74" s="33" t="s">
        <v>80</v>
      </c>
      <c r="M74" s="33"/>
      <c r="N74" s="33" t="s">
        <v>80</v>
      </c>
      <c r="O74" s="33" t="s">
        <v>80</v>
      </c>
    </row>
    <row r="75" spans="1:15" ht="25.5" x14ac:dyDescent="0.2">
      <c r="A75" s="11">
        <v>74</v>
      </c>
      <c r="B75" s="11" t="s">
        <v>99</v>
      </c>
      <c r="C75" s="11" t="s">
        <v>80</v>
      </c>
      <c r="H75" s="11" t="s">
        <v>84</v>
      </c>
      <c r="I75" s="11" t="s">
        <v>3546</v>
      </c>
      <c r="L75" s="11" t="s">
        <v>82</v>
      </c>
      <c r="N75" s="11" t="s">
        <v>82</v>
      </c>
      <c r="O75" s="11" t="s">
        <v>82</v>
      </c>
    </row>
    <row r="76" spans="1:15" x14ac:dyDescent="0.2">
      <c r="A76" s="11">
        <v>75</v>
      </c>
      <c r="B76" s="33"/>
      <c r="C76" s="33" t="s">
        <v>80</v>
      </c>
      <c r="D76" s="33"/>
      <c r="E76" s="33"/>
      <c r="F76" s="33"/>
      <c r="G76" s="33"/>
      <c r="H76" s="33" t="s">
        <v>80</v>
      </c>
      <c r="I76" s="33"/>
      <c r="J76" s="33"/>
      <c r="K76" s="33"/>
      <c r="L76" s="33" t="s">
        <v>80</v>
      </c>
      <c r="M76" s="33"/>
      <c r="N76" s="33" t="s">
        <v>80</v>
      </c>
      <c r="O76" s="33" t="s">
        <v>80</v>
      </c>
    </row>
    <row r="77" spans="1:15" x14ac:dyDescent="0.2">
      <c r="A77" s="11">
        <v>76</v>
      </c>
      <c r="B77" s="11" t="s">
        <v>99</v>
      </c>
      <c r="C77" s="11" t="s">
        <v>80</v>
      </c>
      <c r="D77" s="11" t="s">
        <v>99</v>
      </c>
      <c r="H77" s="11" t="s">
        <v>84</v>
      </c>
      <c r="I77" s="7" t="s">
        <v>3554</v>
      </c>
      <c r="L77" s="11" t="s">
        <v>84</v>
      </c>
      <c r="M77" s="7" t="s">
        <v>3819</v>
      </c>
      <c r="N77" s="11" t="s">
        <v>84</v>
      </c>
      <c r="O77" s="11" t="s">
        <v>84</v>
      </c>
    </row>
    <row r="78" spans="1:15" x14ac:dyDescent="0.2">
      <c r="A78" s="11">
        <v>77</v>
      </c>
      <c r="B78" s="11" t="s">
        <v>99</v>
      </c>
      <c r="C78" s="11" t="s">
        <v>80</v>
      </c>
      <c r="D78" s="11" t="s">
        <v>99</v>
      </c>
      <c r="H78" s="11" t="s">
        <v>82</v>
      </c>
      <c r="J78" s="11" t="s">
        <v>81</v>
      </c>
      <c r="L78" s="11" t="s">
        <v>82</v>
      </c>
      <c r="N78" s="11" t="s">
        <v>84</v>
      </c>
      <c r="O78" s="11" t="s">
        <v>84</v>
      </c>
    </row>
    <row r="79" spans="1:15" x14ac:dyDescent="0.2">
      <c r="A79" s="11">
        <v>78</v>
      </c>
      <c r="B79" s="11" t="s">
        <v>97</v>
      </c>
      <c r="C79" s="11" t="s">
        <v>84</v>
      </c>
      <c r="D79" s="11" t="s">
        <v>97</v>
      </c>
      <c r="F79" s="11" t="s">
        <v>246</v>
      </c>
      <c r="H79" s="11" t="s">
        <v>82</v>
      </c>
      <c r="J79" s="11" t="s">
        <v>81</v>
      </c>
      <c r="L79" s="11" t="s">
        <v>82</v>
      </c>
      <c r="N79" s="11" t="s">
        <v>82</v>
      </c>
      <c r="O79" s="11" t="s">
        <v>82</v>
      </c>
    </row>
    <row r="80" spans="1:15" ht="38.25" x14ac:dyDescent="0.2">
      <c r="A80" s="11">
        <v>79</v>
      </c>
      <c r="B80" s="11" t="s">
        <v>97</v>
      </c>
      <c r="C80" s="11" t="s">
        <v>84</v>
      </c>
      <c r="D80" s="11" t="s">
        <v>97</v>
      </c>
      <c r="E80" s="11" t="s">
        <v>1434</v>
      </c>
      <c r="F80" s="11" t="s">
        <v>81</v>
      </c>
      <c r="H80" s="11" t="s">
        <v>82</v>
      </c>
      <c r="J80" s="11" t="s">
        <v>246</v>
      </c>
      <c r="K80" s="11" t="s">
        <v>3810</v>
      </c>
      <c r="L80" s="11" t="s">
        <v>84</v>
      </c>
      <c r="M80" s="11" t="s">
        <v>3818</v>
      </c>
      <c r="N80" s="11" t="s">
        <v>84</v>
      </c>
      <c r="O80" s="11" t="s">
        <v>84</v>
      </c>
    </row>
    <row r="81" spans="1:15" x14ac:dyDescent="0.2">
      <c r="A81" s="11">
        <v>80</v>
      </c>
      <c r="B81" s="11" t="s">
        <v>118</v>
      </c>
      <c r="C81" s="11" t="s">
        <v>84</v>
      </c>
      <c r="D81" s="11" t="s">
        <v>97</v>
      </c>
      <c r="F81" s="11" t="s">
        <v>246</v>
      </c>
      <c r="H81" s="11" t="s">
        <v>82</v>
      </c>
      <c r="J81" s="11" t="s">
        <v>81</v>
      </c>
      <c r="L81" s="11" t="s">
        <v>82</v>
      </c>
      <c r="N81" s="11" t="s">
        <v>84</v>
      </c>
      <c r="O81" s="11" t="s">
        <v>84</v>
      </c>
    </row>
    <row r="82" spans="1:15" ht="51" x14ac:dyDescent="0.2">
      <c r="A82" s="11">
        <v>81</v>
      </c>
      <c r="B82" s="11" t="s">
        <v>99</v>
      </c>
      <c r="C82" s="11" t="s">
        <v>80</v>
      </c>
      <c r="H82" s="11" t="s">
        <v>82</v>
      </c>
      <c r="J82" s="11" t="s">
        <v>246</v>
      </c>
      <c r="K82" s="11" t="s">
        <v>4139</v>
      </c>
      <c r="L82" s="11" t="s">
        <v>82</v>
      </c>
      <c r="N82" s="11" t="s">
        <v>82</v>
      </c>
      <c r="O82" s="11" t="s">
        <v>82</v>
      </c>
    </row>
    <row r="83" spans="1:15" ht="63.75" x14ac:dyDescent="0.2">
      <c r="A83" s="11">
        <v>82</v>
      </c>
      <c r="B83" s="11" t="s">
        <v>99</v>
      </c>
      <c r="C83" s="11" t="s">
        <v>80</v>
      </c>
      <c r="D83" s="11" t="s">
        <v>99</v>
      </c>
      <c r="H83" s="11" t="s">
        <v>82</v>
      </c>
      <c r="J83" s="11" t="s">
        <v>246</v>
      </c>
      <c r="K83" s="64" t="s">
        <v>1464</v>
      </c>
      <c r="L83" s="11" t="s">
        <v>84</v>
      </c>
      <c r="M83" s="64" t="s">
        <v>1465</v>
      </c>
      <c r="N83" s="11" t="s">
        <v>84</v>
      </c>
      <c r="O83" s="11" t="s">
        <v>84</v>
      </c>
    </row>
    <row r="84" spans="1:15" x14ac:dyDescent="0.2">
      <c r="A84" s="11">
        <v>83</v>
      </c>
      <c r="B84" s="11" t="s">
        <v>99</v>
      </c>
      <c r="C84" s="11" t="s">
        <v>80</v>
      </c>
      <c r="D84" s="11" t="s">
        <v>97</v>
      </c>
      <c r="F84" s="11" t="s">
        <v>246</v>
      </c>
      <c r="H84" s="11" t="s">
        <v>84</v>
      </c>
      <c r="I84" s="11" t="s">
        <v>4140</v>
      </c>
      <c r="L84" s="11" t="s">
        <v>84</v>
      </c>
      <c r="M84" s="11" t="s">
        <v>1477</v>
      </c>
      <c r="N84" s="11" t="s">
        <v>84</v>
      </c>
      <c r="O84" s="11" t="s">
        <v>84</v>
      </c>
    </row>
    <row r="85" spans="1:15" ht="51" x14ac:dyDescent="0.2">
      <c r="A85" s="11">
        <v>84</v>
      </c>
      <c r="B85" s="11" t="s">
        <v>118</v>
      </c>
      <c r="C85" s="11" t="s">
        <v>84</v>
      </c>
      <c r="D85" s="11" t="s">
        <v>1312</v>
      </c>
      <c r="E85" s="11" t="s">
        <v>1491</v>
      </c>
      <c r="F85" s="11" t="s">
        <v>81</v>
      </c>
      <c r="H85" s="11" t="s">
        <v>82</v>
      </c>
      <c r="J85" s="11" t="s">
        <v>81</v>
      </c>
      <c r="K85" s="11" t="s">
        <v>1492</v>
      </c>
      <c r="L85" s="11" t="s">
        <v>82</v>
      </c>
      <c r="N85" s="11" t="s">
        <v>82</v>
      </c>
      <c r="O85" s="11" t="s">
        <v>82</v>
      </c>
    </row>
    <row r="86" spans="1:15" ht="38.25" x14ac:dyDescent="0.2">
      <c r="A86" s="11">
        <v>85</v>
      </c>
      <c r="B86" s="11" t="s">
        <v>118</v>
      </c>
      <c r="C86" s="11" t="s">
        <v>84</v>
      </c>
      <c r="D86" s="11" t="s">
        <v>1312</v>
      </c>
      <c r="E86" s="11" t="s">
        <v>1508</v>
      </c>
      <c r="F86" s="11" t="s">
        <v>81</v>
      </c>
      <c r="G86" s="11" t="s">
        <v>1509</v>
      </c>
      <c r="H86" s="11" t="s">
        <v>82</v>
      </c>
      <c r="J86" s="11" t="s">
        <v>81</v>
      </c>
      <c r="L86" s="11" t="s">
        <v>82</v>
      </c>
      <c r="N86" s="11" t="s">
        <v>84</v>
      </c>
      <c r="O86" s="11" t="s">
        <v>84</v>
      </c>
    </row>
    <row r="87" spans="1:15" x14ac:dyDescent="0.2">
      <c r="A87" s="11">
        <v>86</v>
      </c>
      <c r="B87" s="33"/>
      <c r="C87" s="33" t="s">
        <v>80</v>
      </c>
      <c r="D87" s="33"/>
      <c r="E87" s="33"/>
      <c r="F87" s="33"/>
      <c r="G87" s="33"/>
      <c r="H87" s="33" t="s">
        <v>80</v>
      </c>
      <c r="I87" s="33"/>
      <c r="J87" s="33"/>
      <c r="K87" s="33"/>
      <c r="L87" s="33" t="s">
        <v>80</v>
      </c>
      <c r="M87" s="33"/>
      <c r="N87" s="33" t="s">
        <v>80</v>
      </c>
      <c r="O87" s="33" t="s">
        <v>80</v>
      </c>
    </row>
    <row r="88" spans="1:15" ht="25.5" x14ac:dyDescent="0.2">
      <c r="A88" s="11">
        <v>87</v>
      </c>
      <c r="B88" s="11" t="s">
        <v>118</v>
      </c>
      <c r="C88" s="11" t="s">
        <v>84</v>
      </c>
      <c r="D88" s="11" t="s">
        <v>97</v>
      </c>
      <c r="F88" s="11" t="s">
        <v>246</v>
      </c>
      <c r="H88" s="11" t="s">
        <v>82</v>
      </c>
      <c r="J88" s="11" t="s">
        <v>246</v>
      </c>
      <c r="L88" s="11" t="s">
        <v>84</v>
      </c>
      <c r="M88" s="7" t="s">
        <v>3820</v>
      </c>
      <c r="N88" s="11" t="s">
        <v>84</v>
      </c>
      <c r="O88" s="11" t="s">
        <v>84</v>
      </c>
    </row>
    <row r="89" spans="1:15" x14ac:dyDescent="0.2">
      <c r="A89" s="11">
        <v>88</v>
      </c>
      <c r="B89" s="11" t="s">
        <v>118</v>
      </c>
      <c r="C89" s="11" t="s">
        <v>84</v>
      </c>
      <c r="D89" s="11" t="s">
        <v>97</v>
      </c>
      <c r="F89" s="11" t="s">
        <v>246</v>
      </c>
      <c r="H89" s="11" t="s">
        <v>82</v>
      </c>
      <c r="J89" s="11" t="s">
        <v>81</v>
      </c>
      <c r="L89" s="11" t="s">
        <v>82</v>
      </c>
      <c r="N89" s="11" t="s">
        <v>84</v>
      </c>
      <c r="O89" s="11" t="s">
        <v>84</v>
      </c>
    </row>
    <row r="90" spans="1:15" ht="38.25" x14ac:dyDescent="0.2">
      <c r="A90" s="11">
        <v>89</v>
      </c>
      <c r="B90" s="11" t="s">
        <v>118</v>
      </c>
      <c r="C90" s="11" t="s">
        <v>84</v>
      </c>
      <c r="D90" s="11" t="s">
        <v>97</v>
      </c>
      <c r="F90" s="11" t="s">
        <v>246</v>
      </c>
      <c r="H90" s="11" t="s">
        <v>82</v>
      </c>
      <c r="J90" s="11" t="s">
        <v>81</v>
      </c>
      <c r="K90" s="11" t="s">
        <v>1537</v>
      </c>
      <c r="L90" s="11" t="s">
        <v>82</v>
      </c>
      <c r="N90" s="11" t="s">
        <v>84</v>
      </c>
      <c r="O90" s="11" t="s">
        <v>82</v>
      </c>
    </row>
    <row r="91" spans="1:15" x14ac:dyDescent="0.2">
      <c r="A91" s="11">
        <v>90</v>
      </c>
      <c r="B91" s="11" t="s">
        <v>97</v>
      </c>
      <c r="C91" s="11" t="s">
        <v>82</v>
      </c>
      <c r="H91" s="11" t="s">
        <v>82</v>
      </c>
      <c r="J91" s="11" t="s">
        <v>81</v>
      </c>
      <c r="L91" s="11" t="s">
        <v>82</v>
      </c>
      <c r="N91" s="11" t="s">
        <v>82</v>
      </c>
      <c r="O91" s="11" t="s">
        <v>82</v>
      </c>
    </row>
    <row r="92" spans="1:15" x14ac:dyDescent="0.2">
      <c r="A92" s="11">
        <v>91</v>
      </c>
      <c r="B92" s="33"/>
      <c r="C92" s="33" t="s">
        <v>80</v>
      </c>
      <c r="D92" s="33"/>
      <c r="E92" s="33"/>
      <c r="F92" s="33"/>
      <c r="G92" s="33"/>
      <c r="H92" s="33" t="s">
        <v>80</v>
      </c>
      <c r="I92" s="33"/>
      <c r="J92" s="33"/>
      <c r="K92" s="33"/>
      <c r="L92" s="33" t="s">
        <v>80</v>
      </c>
      <c r="M92" s="33"/>
      <c r="N92" s="33" t="s">
        <v>80</v>
      </c>
      <c r="O92" s="33" t="s">
        <v>80</v>
      </c>
    </row>
    <row r="93" spans="1:15" ht="25.5" x14ac:dyDescent="0.2">
      <c r="A93" s="11">
        <v>92</v>
      </c>
      <c r="B93" s="11" t="s">
        <v>97</v>
      </c>
      <c r="C93" s="11" t="s">
        <v>84</v>
      </c>
      <c r="D93" s="11" t="s">
        <v>1312</v>
      </c>
      <c r="F93" s="11" t="s">
        <v>81</v>
      </c>
      <c r="H93" s="11" t="s">
        <v>84</v>
      </c>
      <c r="I93" s="11" t="s">
        <v>1552</v>
      </c>
      <c r="L93" s="11" t="s">
        <v>82</v>
      </c>
      <c r="N93" s="11" t="s">
        <v>84</v>
      </c>
      <c r="O93" s="11" t="s">
        <v>84</v>
      </c>
    </row>
    <row r="94" spans="1:15" x14ac:dyDescent="0.2">
      <c r="A94" s="11">
        <v>93</v>
      </c>
      <c r="B94" s="11" t="s">
        <v>118</v>
      </c>
      <c r="C94" s="11" t="s">
        <v>82</v>
      </c>
      <c r="H94" s="11" t="s">
        <v>82</v>
      </c>
      <c r="J94" s="11" t="s">
        <v>246</v>
      </c>
      <c r="L94" s="11" t="s">
        <v>82</v>
      </c>
      <c r="N94" s="11" t="s">
        <v>82</v>
      </c>
      <c r="O94" s="11" t="s">
        <v>82</v>
      </c>
    </row>
    <row r="95" spans="1:15" ht="89.25" x14ac:dyDescent="0.2">
      <c r="A95" s="11">
        <v>94</v>
      </c>
      <c r="B95" s="11" t="s">
        <v>118</v>
      </c>
      <c r="C95" s="11" t="s">
        <v>84</v>
      </c>
      <c r="D95" s="11" t="s">
        <v>1312</v>
      </c>
      <c r="F95" s="11" t="s">
        <v>81</v>
      </c>
      <c r="H95" s="11" t="s">
        <v>84</v>
      </c>
      <c r="I95" s="11" t="s">
        <v>3547</v>
      </c>
      <c r="L95" s="11" t="s">
        <v>84</v>
      </c>
      <c r="M95" s="11" t="s">
        <v>3821</v>
      </c>
      <c r="N95" s="11" t="s">
        <v>84</v>
      </c>
      <c r="O95" s="11" t="s">
        <v>82</v>
      </c>
    </row>
    <row r="96" spans="1:15" ht="102" x14ac:dyDescent="0.2">
      <c r="A96" s="11">
        <v>95</v>
      </c>
      <c r="B96" s="11" t="s">
        <v>118</v>
      </c>
      <c r="C96" s="11" t="s">
        <v>84</v>
      </c>
      <c r="D96" s="11" t="s">
        <v>97</v>
      </c>
      <c r="E96" s="11" t="s">
        <v>4141</v>
      </c>
      <c r="F96" s="11" t="s">
        <v>246</v>
      </c>
      <c r="G96" s="11" t="s">
        <v>1576</v>
      </c>
      <c r="H96" s="11" t="s">
        <v>82</v>
      </c>
      <c r="J96" s="11" t="s">
        <v>81</v>
      </c>
      <c r="K96" s="11" t="s">
        <v>1577</v>
      </c>
      <c r="L96" s="11" t="s">
        <v>82</v>
      </c>
      <c r="N96" s="11" t="s">
        <v>84</v>
      </c>
      <c r="O96" s="11" t="s">
        <v>84</v>
      </c>
    </row>
    <row r="97" spans="1:15" ht="25.5" x14ac:dyDescent="0.2">
      <c r="A97" s="11">
        <v>96</v>
      </c>
      <c r="B97" s="11" t="s">
        <v>99</v>
      </c>
      <c r="C97" s="11" t="s">
        <v>80</v>
      </c>
      <c r="D97" s="11" t="s">
        <v>1312</v>
      </c>
      <c r="F97" s="11" t="s">
        <v>81</v>
      </c>
      <c r="H97" s="11" t="s">
        <v>82</v>
      </c>
      <c r="J97" s="11" t="s">
        <v>81</v>
      </c>
      <c r="L97" s="11" t="s">
        <v>84</v>
      </c>
      <c r="M97" s="11" t="s">
        <v>3822</v>
      </c>
      <c r="N97" s="11" t="s">
        <v>84</v>
      </c>
      <c r="O97" s="11" t="s">
        <v>84</v>
      </c>
    </row>
    <row r="98" spans="1:15" ht="25.5" x14ac:dyDescent="0.2">
      <c r="A98" s="11">
        <v>97</v>
      </c>
      <c r="B98" s="11" t="s">
        <v>99</v>
      </c>
      <c r="C98" s="11" t="s">
        <v>80</v>
      </c>
      <c r="D98" s="11" t="s">
        <v>1312</v>
      </c>
      <c r="F98" s="11" t="s">
        <v>81</v>
      </c>
      <c r="H98" s="11" t="s">
        <v>84</v>
      </c>
      <c r="I98" s="11" t="s">
        <v>1601</v>
      </c>
      <c r="L98" s="11" t="s">
        <v>84</v>
      </c>
      <c r="M98" s="11" t="s">
        <v>1602</v>
      </c>
      <c r="N98" s="11" t="s">
        <v>84</v>
      </c>
      <c r="O98" s="11" t="s">
        <v>84</v>
      </c>
    </row>
    <row r="99" spans="1:15" ht="25.5" x14ac:dyDescent="0.2">
      <c r="A99" s="11">
        <v>98</v>
      </c>
      <c r="B99" s="11" t="s">
        <v>118</v>
      </c>
      <c r="C99" s="11" t="s">
        <v>84</v>
      </c>
      <c r="D99" s="11" t="s">
        <v>1312</v>
      </c>
      <c r="F99" s="11" t="s">
        <v>246</v>
      </c>
      <c r="H99" s="11" t="s">
        <v>82</v>
      </c>
      <c r="J99" s="11" t="s">
        <v>81</v>
      </c>
      <c r="L99" s="11" t="s">
        <v>82</v>
      </c>
      <c r="N99" s="11" t="s">
        <v>84</v>
      </c>
      <c r="O99" s="11" t="s">
        <v>82</v>
      </c>
    </row>
    <row r="100" spans="1:15" ht="25.5" x14ac:dyDescent="0.2">
      <c r="A100" s="11">
        <v>99</v>
      </c>
      <c r="B100" s="11" t="s">
        <v>118</v>
      </c>
      <c r="C100" s="11" t="s">
        <v>84</v>
      </c>
      <c r="D100" s="11" t="s">
        <v>1312</v>
      </c>
      <c r="F100" s="11" t="s">
        <v>81</v>
      </c>
      <c r="H100" s="11" t="s">
        <v>82</v>
      </c>
      <c r="J100" s="11" t="s">
        <v>81</v>
      </c>
      <c r="L100" s="11" t="s">
        <v>82</v>
      </c>
      <c r="N100" s="11" t="s">
        <v>84</v>
      </c>
      <c r="O100" s="11" t="s">
        <v>84</v>
      </c>
    </row>
    <row r="101" spans="1:15" x14ac:dyDescent="0.2">
      <c r="A101" s="11">
        <v>100</v>
      </c>
      <c r="B101" s="11" t="s">
        <v>118</v>
      </c>
      <c r="C101" s="11" t="s">
        <v>84</v>
      </c>
      <c r="D101" s="11" t="s">
        <v>97</v>
      </c>
      <c r="F101" s="11" t="s">
        <v>81</v>
      </c>
      <c r="H101" s="11" t="s">
        <v>82</v>
      </c>
      <c r="J101" s="11" t="s">
        <v>246</v>
      </c>
      <c r="L101" s="11" t="s">
        <v>82</v>
      </c>
      <c r="N101" s="11" t="s">
        <v>84</v>
      </c>
      <c r="O101" s="11" t="s">
        <v>84</v>
      </c>
    </row>
    <row r="102" spans="1:15" ht="51" x14ac:dyDescent="0.2">
      <c r="A102" s="11">
        <v>101</v>
      </c>
      <c r="B102" s="11" t="s">
        <v>118</v>
      </c>
      <c r="C102" s="11" t="s">
        <v>82</v>
      </c>
      <c r="D102" s="11" t="s">
        <v>97</v>
      </c>
      <c r="F102" s="11" t="s">
        <v>246</v>
      </c>
      <c r="H102" s="11" t="s">
        <v>84</v>
      </c>
      <c r="I102" s="11" t="s">
        <v>3548</v>
      </c>
      <c r="L102" s="11" t="s">
        <v>84</v>
      </c>
      <c r="M102" s="11" t="s">
        <v>3823</v>
      </c>
      <c r="N102" s="11" t="s">
        <v>84</v>
      </c>
      <c r="O102" s="11" t="s">
        <v>84</v>
      </c>
    </row>
    <row r="103" spans="1:15" ht="25.5" x14ac:dyDescent="0.2">
      <c r="A103" s="11">
        <v>102</v>
      </c>
      <c r="B103" s="11" t="s">
        <v>118</v>
      </c>
      <c r="C103" s="11" t="s">
        <v>84</v>
      </c>
      <c r="D103" s="11" t="s">
        <v>1312</v>
      </c>
      <c r="F103" s="11" t="s">
        <v>246</v>
      </c>
      <c r="H103" s="11" t="s">
        <v>84</v>
      </c>
      <c r="I103" s="11" t="s">
        <v>3549</v>
      </c>
      <c r="L103" s="11" t="s">
        <v>82</v>
      </c>
      <c r="N103" s="11" t="s">
        <v>84</v>
      </c>
      <c r="O103" s="11" t="s">
        <v>84</v>
      </c>
    </row>
    <row r="104" spans="1:15" x14ac:dyDescent="0.2">
      <c r="A104" s="11">
        <v>103</v>
      </c>
      <c r="B104" s="11" t="s">
        <v>97</v>
      </c>
      <c r="C104" s="11" t="s">
        <v>84</v>
      </c>
      <c r="D104" s="11" t="s">
        <v>97</v>
      </c>
      <c r="F104" s="11" t="s">
        <v>246</v>
      </c>
      <c r="H104" s="11" t="s">
        <v>82</v>
      </c>
      <c r="J104" s="11" t="s">
        <v>246</v>
      </c>
      <c r="L104" s="11" t="s">
        <v>82</v>
      </c>
      <c r="N104" s="11" t="s">
        <v>84</v>
      </c>
      <c r="O104" s="11" t="s">
        <v>82</v>
      </c>
    </row>
    <row r="105" spans="1:15" x14ac:dyDescent="0.2">
      <c r="A105" s="11">
        <v>104</v>
      </c>
      <c r="B105" s="11" t="s">
        <v>118</v>
      </c>
      <c r="C105" s="11" t="s">
        <v>84</v>
      </c>
      <c r="H105" s="11" t="s">
        <v>84</v>
      </c>
      <c r="L105" s="11" t="s">
        <v>82</v>
      </c>
      <c r="N105" s="11" t="s">
        <v>84</v>
      </c>
      <c r="O105" s="11" t="s">
        <v>84</v>
      </c>
    </row>
    <row r="106" spans="1:15" ht="25.5" x14ac:dyDescent="0.2">
      <c r="A106" s="11">
        <v>105</v>
      </c>
      <c r="B106" s="11" t="s">
        <v>99</v>
      </c>
      <c r="C106" s="11" t="s">
        <v>80</v>
      </c>
      <c r="D106" s="11" t="s">
        <v>97</v>
      </c>
      <c r="F106" s="11" t="s">
        <v>246</v>
      </c>
      <c r="H106" s="11" t="s">
        <v>82</v>
      </c>
      <c r="J106" s="11" t="s">
        <v>81</v>
      </c>
      <c r="L106" s="11" t="s">
        <v>84</v>
      </c>
      <c r="M106" s="11" t="s">
        <v>1668</v>
      </c>
      <c r="N106" s="11" t="s">
        <v>84</v>
      </c>
      <c r="O106" s="11" t="s">
        <v>84</v>
      </c>
    </row>
    <row r="107" spans="1:15" ht="25.5" x14ac:dyDescent="0.2">
      <c r="A107" s="11">
        <v>106</v>
      </c>
      <c r="B107" s="11" t="s">
        <v>99</v>
      </c>
      <c r="C107" s="11" t="s">
        <v>80</v>
      </c>
      <c r="D107" s="11" t="s">
        <v>1312</v>
      </c>
      <c r="F107" s="11" t="s">
        <v>81</v>
      </c>
      <c r="H107" s="11" t="s">
        <v>84</v>
      </c>
      <c r="L107" s="11" t="s">
        <v>84</v>
      </c>
      <c r="N107" s="11" t="s">
        <v>84</v>
      </c>
      <c r="O107" s="11" t="s">
        <v>84</v>
      </c>
    </row>
    <row r="108" spans="1:15" ht="25.5" x14ac:dyDescent="0.2">
      <c r="A108" s="11">
        <v>107</v>
      </c>
      <c r="B108" s="11" t="s">
        <v>99</v>
      </c>
      <c r="C108" s="11" t="s">
        <v>80</v>
      </c>
      <c r="D108" s="11" t="s">
        <v>1312</v>
      </c>
      <c r="F108" s="11" t="s">
        <v>246</v>
      </c>
      <c r="H108" s="11" t="s">
        <v>82</v>
      </c>
      <c r="J108" s="11" t="s">
        <v>81</v>
      </c>
      <c r="L108" s="11" t="s">
        <v>82</v>
      </c>
      <c r="N108" s="11" t="s">
        <v>84</v>
      </c>
      <c r="O108" s="11" t="s">
        <v>84</v>
      </c>
    </row>
    <row r="109" spans="1:15" ht="38.25" x14ac:dyDescent="0.2">
      <c r="A109" s="11">
        <v>108</v>
      </c>
      <c r="B109" s="11" t="s">
        <v>118</v>
      </c>
      <c r="C109" s="11" t="s">
        <v>84</v>
      </c>
      <c r="D109" s="11" t="s">
        <v>1312</v>
      </c>
      <c r="E109" s="11" t="s">
        <v>1685</v>
      </c>
      <c r="F109" s="11" t="s">
        <v>81</v>
      </c>
      <c r="G109" s="11" t="s">
        <v>1686</v>
      </c>
      <c r="H109" s="11" t="s">
        <v>84</v>
      </c>
      <c r="I109" s="11" t="s">
        <v>1687</v>
      </c>
      <c r="L109" s="11" t="s">
        <v>82</v>
      </c>
      <c r="N109" s="11" t="s">
        <v>84</v>
      </c>
      <c r="O109" s="11" t="s">
        <v>84</v>
      </c>
    </row>
    <row r="110" spans="1:15" ht="25.5" x14ac:dyDescent="0.2">
      <c r="A110" s="11">
        <v>109</v>
      </c>
      <c r="B110" s="11" t="s">
        <v>99</v>
      </c>
      <c r="C110" s="11" t="s">
        <v>80</v>
      </c>
      <c r="D110" s="11" t="s">
        <v>1312</v>
      </c>
      <c r="F110" s="11" t="s">
        <v>246</v>
      </c>
      <c r="H110" s="11" t="s">
        <v>82</v>
      </c>
      <c r="J110" s="11" t="s">
        <v>246</v>
      </c>
      <c r="L110" s="11" t="s">
        <v>82</v>
      </c>
      <c r="N110" s="11" t="s">
        <v>84</v>
      </c>
      <c r="O110" s="11" t="s">
        <v>84</v>
      </c>
    </row>
    <row r="111" spans="1:15" ht="25.5" x14ac:dyDescent="0.2">
      <c r="A111" s="11">
        <v>110</v>
      </c>
      <c r="B111" s="11" t="s">
        <v>118</v>
      </c>
      <c r="C111" s="11" t="s">
        <v>84</v>
      </c>
      <c r="D111" s="11" t="s">
        <v>1312</v>
      </c>
      <c r="F111" s="11" t="s">
        <v>81</v>
      </c>
      <c r="H111" s="11" t="s">
        <v>84</v>
      </c>
      <c r="L111" s="11" t="s">
        <v>82</v>
      </c>
      <c r="N111" s="11" t="s">
        <v>84</v>
      </c>
      <c r="O111" s="11" t="s">
        <v>84</v>
      </c>
    </row>
    <row r="112" spans="1:15" ht="51" x14ac:dyDescent="0.2">
      <c r="A112" s="11">
        <v>111</v>
      </c>
      <c r="B112" s="11" t="s">
        <v>99</v>
      </c>
      <c r="C112" s="11" t="s">
        <v>80</v>
      </c>
      <c r="D112" s="11" t="s">
        <v>99</v>
      </c>
      <c r="H112" s="11" t="s">
        <v>84</v>
      </c>
      <c r="I112" s="11" t="s">
        <v>3550</v>
      </c>
      <c r="L112" s="11" t="s">
        <v>82</v>
      </c>
      <c r="N112" s="11" t="s">
        <v>84</v>
      </c>
      <c r="O112" s="11" t="s">
        <v>84</v>
      </c>
    </row>
    <row r="113" spans="1:15" ht="38.25" x14ac:dyDescent="0.2">
      <c r="A113" s="11">
        <v>112</v>
      </c>
      <c r="B113" s="11" t="s">
        <v>118</v>
      </c>
      <c r="C113" s="11" t="s">
        <v>84</v>
      </c>
      <c r="D113" s="11" t="s">
        <v>1312</v>
      </c>
      <c r="E113" s="11" t="s">
        <v>1718</v>
      </c>
      <c r="F113" s="11" t="s">
        <v>81</v>
      </c>
      <c r="H113" s="11" t="s">
        <v>82</v>
      </c>
      <c r="J113" s="11" t="s">
        <v>81</v>
      </c>
      <c r="L113" s="11" t="s">
        <v>82</v>
      </c>
      <c r="N113" s="11" t="s">
        <v>84</v>
      </c>
      <c r="O113" s="11" t="s">
        <v>84</v>
      </c>
    </row>
    <row r="114" spans="1:15" x14ac:dyDescent="0.2">
      <c r="A114" s="11">
        <v>113</v>
      </c>
      <c r="B114" s="33"/>
      <c r="C114" s="33" t="s">
        <v>80</v>
      </c>
      <c r="D114" s="33"/>
      <c r="E114" s="33"/>
      <c r="F114" s="33"/>
      <c r="G114" s="33"/>
      <c r="H114" s="33" t="s">
        <v>80</v>
      </c>
      <c r="I114" s="33"/>
      <c r="J114" s="33"/>
      <c r="K114" s="33"/>
      <c r="L114" s="33" t="s">
        <v>80</v>
      </c>
      <c r="M114" s="33"/>
      <c r="N114" s="33" t="s">
        <v>80</v>
      </c>
      <c r="O114" s="33" t="s">
        <v>80</v>
      </c>
    </row>
    <row r="115" spans="1:15" x14ac:dyDescent="0.2">
      <c r="A115" s="11">
        <v>114</v>
      </c>
      <c r="B115" s="11" t="s">
        <v>97</v>
      </c>
      <c r="C115" s="11" t="s">
        <v>84</v>
      </c>
      <c r="H115" s="11" t="s">
        <v>82</v>
      </c>
      <c r="J115" s="11" t="s">
        <v>81</v>
      </c>
      <c r="L115" s="11" t="s">
        <v>82</v>
      </c>
      <c r="N115" s="11" t="s">
        <v>84</v>
      </c>
      <c r="O115" s="11" t="s">
        <v>84</v>
      </c>
    </row>
    <row r="116" spans="1:15" ht="38.25" x14ac:dyDescent="0.2">
      <c r="A116" s="11">
        <v>115</v>
      </c>
      <c r="B116" s="11" t="s">
        <v>97</v>
      </c>
      <c r="C116" s="11" t="s">
        <v>84</v>
      </c>
      <c r="D116" s="11" t="s">
        <v>97</v>
      </c>
      <c r="E116" s="11" t="s">
        <v>1734</v>
      </c>
      <c r="F116" s="11" t="s">
        <v>81</v>
      </c>
      <c r="H116" s="11" t="s">
        <v>82</v>
      </c>
      <c r="J116" s="11" t="s">
        <v>81</v>
      </c>
      <c r="L116" s="11" t="s">
        <v>82</v>
      </c>
      <c r="N116" s="11" t="s">
        <v>84</v>
      </c>
      <c r="O116" s="11" t="s">
        <v>82</v>
      </c>
    </row>
    <row r="117" spans="1:15" ht="127.5" x14ac:dyDescent="0.2">
      <c r="A117" s="11">
        <v>116</v>
      </c>
      <c r="B117" s="11" t="s">
        <v>118</v>
      </c>
      <c r="C117" s="11" t="s">
        <v>84</v>
      </c>
      <c r="D117" s="11" t="s">
        <v>1312</v>
      </c>
      <c r="F117" s="11" t="s">
        <v>81</v>
      </c>
      <c r="H117" s="11" t="s">
        <v>84</v>
      </c>
      <c r="I117" s="11" t="s">
        <v>3551</v>
      </c>
      <c r="L117" s="11" t="s">
        <v>82</v>
      </c>
      <c r="N117" s="11" t="s">
        <v>84</v>
      </c>
      <c r="O117" s="11" t="s">
        <v>84</v>
      </c>
    </row>
    <row r="118" spans="1:15" ht="25.5" x14ac:dyDescent="0.2">
      <c r="A118" s="11">
        <v>117</v>
      </c>
      <c r="B118" s="11" t="s">
        <v>97</v>
      </c>
      <c r="C118" s="11" t="s">
        <v>84</v>
      </c>
      <c r="D118" s="11" t="s">
        <v>97</v>
      </c>
      <c r="F118" s="11" t="s">
        <v>246</v>
      </c>
      <c r="H118" s="11" t="s">
        <v>82</v>
      </c>
      <c r="J118" s="11" t="s">
        <v>81</v>
      </c>
      <c r="K118" s="64" t="s">
        <v>1753</v>
      </c>
      <c r="L118" s="11" t="s">
        <v>82</v>
      </c>
      <c r="N118" s="11" t="s">
        <v>84</v>
      </c>
      <c r="O118" s="11" t="s">
        <v>82</v>
      </c>
    </row>
    <row r="119" spans="1:15" ht="25.5" x14ac:dyDescent="0.2">
      <c r="A119" s="11">
        <v>118</v>
      </c>
      <c r="B119" s="11" t="s">
        <v>99</v>
      </c>
      <c r="C119" s="11" t="s">
        <v>80</v>
      </c>
      <c r="D119" s="11" t="s">
        <v>1312</v>
      </c>
      <c r="F119" s="11" t="s">
        <v>246</v>
      </c>
      <c r="H119" s="11" t="s">
        <v>82</v>
      </c>
      <c r="J119" s="11" t="s">
        <v>246</v>
      </c>
      <c r="L119" s="11" t="s">
        <v>82</v>
      </c>
      <c r="N119" s="11" t="s">
        <v>84</v>
      </c>
      <c r="O119" s="11" t="s">
        <v>84</v>
      </c>
    </row>
    <row r="120" spans="1:15" ht="229.5" x14ac:dyDescent="0.2">
      <c r="A120" s="11">
        <v>119</v>
      </c>
      <c r="B120" s="11" t="s">
        <v>118</v>
      </c>
      <c r="C120" s="11" t="s">
        <v>84</v>
      </c>
      <c r="D120" s="11" t="s">
        <v>1312</v>
      </c>
      <c r="F120" s="11" t="s">
        <v>246</v>
      </c>
      <c r="H120" s="11" t="s">
        <v>82</v>
      </c>
      <c r="J120" s="11" t="s">
        <v>81</v>
      </c>
      <c r="L120" s="11" t="s">
        <v>84</v>
      </c>
      <c r="M120" s="11" t="s">
        <v>4142</v>
      </c>
      <c r="N120" s="11" t="s">
        <v>84</v>
      </c>
      <c r="O120" s="11" t="s">
        <v>84</v>
      </c>
    </row>
    <row r="121" spans="1:15" ht="38.25" x14ac:dyDescent="0.2">
      <c r="A121" s="11">
        <v>120</v>
      </c>
      <c r="B121" s="11" t="s">
        <v>99</v>
      </c>
      <c r="C121" s="11" t="s">
        <v>80</v>
      </c>
      <c r="D121" s="11" t="s">
        <v>1312</v>
      </c>
      <c r="F121" s="11" t="s">
        <v>81</v>
      </c>
      <c r="H121" s="11" t="s">
        <v>82</v>
      </c>
      <c r="J121" s="11" t="s">
        <v>81</v>
      </c>
      <c r="K121" s="11" t="s">
        <v>1781</v>
      </c>
      <c r="L121" s="11" t="s">
        <v>82</v>
      </c>
      <c r="N121" s="11" t="s">
        <v>84</v>
      </c>
      <c r="O121" s="11" t="s">
        <v>84</v>
      </c>
    </row>
    <row r="122" spans="1:15" ht="191.25" x14ac:dyDescent="0.2">
      <c r="A122" s="11">
        <v>121</v>
      </c>
      <c r="B122" s="11" t="s">
        <v>118</v>
      </c>
      <c r="C122" s="11" t="s">
        <v>84</v>
      </c>
      <c r="D122" s="11" t="s">
        <v>97</v>
      </c>
      <c r="F122" s="11" t="s">
        <v>246</v>
      </c>
      <c r="H122" s="11" t="s">
        <v>84</v>
      </c>
      <c r="I122" s="11" t="s">
        <v>3552</v>
      </c>
      <c r="L122" s="11" t="s">
        <v>82</v>
      </c>
      <c r="N122" s="11" t="s">
        <v>84</v>
      </c>
      <c r="O122" s="11" t="s">
        <v>84</v>
      </c>
    </row>
    <row r="123" spans="1:15" x14ac:dyDescent="0.2">
      <c r="A123" s="11">
        <v>122</v>
      </c>
      <c r="B123" s="11" t="s">
        <v>99</v>
      </c>
      <c r="C123" s="11" t="s">
        <v>80</v>
      </c>
      <c r="D123" s="11" t="s">
        <v>99</v>
      </c>
      <c r="H123" s="11" t="s">
        <v>82</v>
      </c>
      <c r="J123" s="11" t="s">
        <v>81</v>
      </c>
      <c r="L123" s="11" t="s">
        <v>82</v>
      </c>
      <c r="N123" s="11" t="s">
        <v>84</v>
      </c>
      <c r="O123" s="11" t="s">
        <v>84</v>
      </c>
    </row>
    <row r="124" spans="1:15" ht="25.5" x14ac:dyDescent="0.2">
      <c r="A124" s="11">
        <v>123</v>
      </c>
      <c r="B124" s="11" t="s">
        <v>118</v>
      </c>
      <c r="C124" s="11" t="s">
        <v>84</v>
      </c>
      <c r="D124" s="11" t="s">
        <v>1312</v>
      </c>
      <c r="E124" s="11" t="s">
        <v>1809</v>
      </c>
      <c r="F124" s="11" t="s">
        <v>246</v>
      </c>
      <c r="G124" s="11" t="s">
        <v>1810</v>
      </c>
      <c r="H124" s="11" t="s">
        <v>82</v>
      </c>
      <c r="J124" s="11" t="s">
        <v>81</v>
      </c>
      <c r="L124" s="11" t="s">
        <v>82</v>
      </c>
      <c r="N124" s="11" t="s">
        <v>84</v>
      </c>
      <c r="O124" s="11" t="s">
        <v>84</v>
      </c>
    </row>
    <row r="125" spans="1:15" ht="38.25" x14ac:dyDescent="0.2">
      <c r="A125" s="11">
        <v>124</v>
      </c>
      <c r="B125" s="11" t="s">
        <v>99</v>
      </c>
      <c r="C125" s="11" t="s">
        <v>80</v>
      </c>
      <c r="D125" s="11" t="s">
        <v>97</v>
      </c>
      <c r="F125" s="11" t="s">
        <v>246</v>
      </c>
      <c r="G125" s="11" t="s">
        <v>1821</v>
      </c>
      <c r="H125" s="11" t="s">
        <v>84</v>
      </c>
      <c r="I125" s="11" t="s">
        <v>1822</v>
      </c>
      <c r="L125" s="11" t="s">
        <v>84</v>
      </c>
      <c r="M125" s="11" t="s">
        <v>3824</v>
      </c>
      <c r="N125" s="11" t="s">
        <v>84</v>
      </c>
      <c r="O125" s="11" t="s">
        <v>84</v>
      </c>
    </row>
    <row r="126" spans="1:15" ht="25.5" x14ac:dyDescent="0.2">
      <c r="A126" s="11">
        <v>125</v>
      </c>
      <c r="B126" s="11" t="s">
        <v>118</v>
      </c>
      <c r="C126" s="11" t="s">
        <v>84</v>
      </c>
      <c r="D126" s="11" t="s">
        <v>1312</v>
      </c>
      <c r="F126" s="11" t="s">
        <v>246</v>
      </c>
      <c r="H126" s="11" t="s">
        <v>84</v>
      </c>
      <c r="L126" s="11" t="s">
        <v>82</v>
      </c>
      <c r="N126" s="11" t="s">
        <v>84</v>
      </c>
      <c r="O126" s="11" t="s">
        <v>84</v>
      </c>
    </row>
    <row r="127" spans="1:15" ht="63.75" x14ac:dyDescent="0.2">
      <c r="A127" s="11">
        <v>126</v>
      </c>
      <c r="B127" s="11" t="s">
        <v>97</v>
      </c>
      <c r="C127" s="11" t="s">
        <v>84</v>
      </c>
      <c r="D127" s="11" t="s">
        <v>1312</v>
      </c>
      <c r="E127" s="11" t="s">
        <v>4143</v>
      </c>
      <c r="F127" s="11" t="s">
        <v>81</v>
      </c>
      <c r="H127" s="11" t="s">
        <v>82</v>
      </c>
      <c r="J127" s="11" t="s">
        <v>246</v>
      </c>
      <c r="K127" s="11" t="s">
        <v>4144</v>
      </c>
      <c r="L127" s="11" t="s">
        <v>82</v>
      </c>
      <c r="N127" s="11" t="s">
        <v>84</v>
      </c>
      <c r="O127" s="11" t="s">
        <v>84</v>
      </c>
    </row>
    <row r="128" spans="1:15" x14ac:dyDescent="0.2">
      <c r="A128" s="11">
        <v>127</v>
      </c>
      <c r="B128" s="11" t="s">
        <v>97</v>
      </c>
      <c r="C128" s="11" t="s">
        <v>84</v>
      </c>
      <c r="D128" s="11" t="s">
        <v>97</v>
      </c>
      <c r="F128" s="11" t="s">
        <v>246</v>
      </c>
      <c r="H128" s="11" t="s">
        <v>82</v>
      </c>
      <c r="J128" s="11" t="s">
        <v>81</v>
      </c>
      <c r="L128" s="11" t="s">
        <v>82</v>
      </c>
      <c r="N128" s="11" t="s">
        <v>84</v>
      </c>
      <c r="O128" s="11" t="s">
        <v>84</v>
      </c>
    </row>
    <row r="129" spans="1:15" ht="63.75" x14ac:dyDescent="0.2">
      <c r="A129" s="11">
        <v>128</v>
      </c>
      <c r="B129" s="11" t="s">
        <v>97</v>
      </c>
      <c r="C129" s="11" t="s">
        <v>84</v>
      </c>
      <c r="D129" s="11" t="s">
        <v>97</v>
      </c>
      <c r="F129" s="11" t="s">
        <v>246</v>
      </c>
      <c r="G129" s="11" t="s">
        <v>1856</v>
      </c>
      <c r="H129" s="11" t="s">
        <v>82</v>
      </c>
      <c r="J129" s="11" t="s">
        <v>246</v>
      </c>
      <c r="K129" s="11" t="s">
        <v>1857</v>
      </c>
      <c r="L129" s="11" t="s">
        <v>82</v>
      </c>
      <c r="N129" s="11" t="s">
        <v>84</v>
      </c>
      <c r="O129" s="11" t="s">
        <v>84</v>
      </c>
    </row>
    <row r="130" spans="1:15" x14ac:dyDescent="0.2">
      <c r="A130" s="11">
        <v>129</v>
      </c>
      <c r="B130" s="11" t="s">
        <v>118</v>
      </c>
      <c r="C130" s="11" t="s">
        <v>84</v>
      </c>
      <c r="H130" s="11" t="s">
        <v>82</v>
      </c>
      <c r="J130" s="11" t="s">
        <v>81</v>
      </c>
      <c r="L130" s="11" t="s">
        <v>82</v>
      </c>
      <c r="N130" s="11" t="s">
        <v>82</v>
      </c>
      <c r="O130" s="11" t="s">
        <v>82</v>
      </c>
    </row>
    <row r="131" spans="1:15" ht="76.5" x14ac:dyDescent="0.2">
      <c r="A131" s="11">
        <v>130</v>
      </c>
      <c r="B131" s="11" t="s">
        <v>97</v>
      </c>
      <c r="C131" s="11" t="s">
        <v>84</v>
      </c>
      <c r="D131" s="11" t="s">
        <v>1312</v>
      </c>
      <c r="F131" s="11" t="s">
        <v>81</v>
      </c>
      <c r="H131" s="11" t="s">
        <v>82</v>
      </c>
      <c r="J131" s="11" t="s">
        <v>81</v>
      </c>
      <c r="K131" s="11" t="s">
        <v>1883</v>
      </c>
      <c r="L131" s="11" t="s">
        <v>82</v>
      </c>
      <c r="N131" s="11" t="s">
        <v>84</v>
      </c>
      <c r="O131" s="11" t="s">
        <v>82</v>
      </c>
    </row>
    <row r="132" spans="1:15" x14ac:dyDescent="0.2">
      <c r="A132" s="11">
        <v>131</v>
      </c>
      <c r="B132" s="11" t="s">
        <v>97</v>
      </c>
      <c r="C132" s="11" t="s">
        <v>84</v>
      </c>
      <c r="D132" s="11" t="s">
        <v>97</v>
      </c>
      <c r="F132" s="11" t="s">
        <v>246</v>
      </c>
      <c r="H132" s="11" t="s">
        <v>82</v>
      </c>
      <c r="J132" s="11" t="s">
        <v>246</v>
      </c>
      <c r="L132" s="11" t="s">
        <v>82</v>
      </c>
      <c r="N132" s="11" t="s">
        <v>84</v>
      </c>
      <c r="O132" s="11" t="s">
        <v>82</v>
      </c>
    </row>
    <row r="133" spans="1:15" ht="25.5" x14ac:dyDescent="0.2">
      <c r="A133" s="11">
        <v>132</v>
      </c>
      <c r="B133" s="11" t="s">
        <v>97</v>
      </c>
      <c r="C133" s="11" t="s">
        <v>84</v>
      </c>
      <c r="D133" s="11" t="s">
        <v>97</v>
      </c>
      <c r="E133" s="11" t="s">
        <v>1898</v>
      </c>
      <c r="F133" s="11" t="s">
        <v>246</v>
      </c>
      <c r="G133" s="11" t="s">
        <v>1898</v>
      </c>
      <c r="H133" s="11" t="s">
        <v>82</v>
      </c>
      <c r="J133" s="11" t="s">
        <v>81</v>
      </c>
      <c r="K133" s="11" t="s">
        <v>1899</v>
      </c>
      <c r="L133" s="11" t="s">
        <v>82</v>
      </c>
      <c r="N133" s="11" t="s">
        <v>82</v>
      </c>
      <c r="O133" s="11" t="s">
        <v>82</v>
      </c>
    </row>
    <row r="134" spans="1:15" x14ac:dyDescent="0.2">
      <c r="A134" s="11">
        <v>133</v>
      </c>
      <c r="B134" s="11" t="s">
        <v>99</v>
      </c>
      <c r="C134" s="11" t="s">
        <v>80</v>
      </c>
      <c r="D134" s="11" t="s">
        <v>97</v>
      </c>
      <c r="F134" s="11" t="s">
        <v>81</v>
      </c>
      <c r="G134" s="11" t="s">
        <v>1905</v>
      </c>
      <c r="H134" s="11" t="s">
        <v>84</v>
      </c>
      <c r="L134" s="11" t="s">
        <v>84</v>
      </c>
      <c r="N134" s="11" t="s">
        <v>84</v>
      </c>
      <c r="O134" s="11" t="s">
        <v>84</v>
      </c>
    </row>
    <row r="135" spans="1:15" ht="25.5" x14ac:dyDescent="0.2">
      <c r="A135" s="11">
        <v>134</v>
      </c>
      <c r="B135" s="11" t="s">
        <v>97</v>
      </c>
      <c r="C135" s="11" t="s">
        <v>84</v>
      </c>
      <c r="D135" s="11" t="s">
        <v>1312</v>
      </c>
      <c r="F135" s="11" t="s">
        <v>81</v>
      </c>
      <c r="H135" s="11" t="s">
        <v>84</v>
      </c>
      <c r="I135" s="19" t="s">
        <v>1907</v>
      </c>
      <c r="L135" s="11" t="s">
        <v>82</v>
      </c>
      <c r="N135" s="11" t="s">
        <v>84</v>
      </c>
      <c r="O135" s="11" t="s">
        <v>84</v>
      </c>
    </row>
    <row r="136" spans="1:15" ht="76.5" x14ac:dyDescent="0.2">
      <c r="A136" s="11">
        <v>135</v>
      </c>
      <c r="B136" s="11" t="s">
        <v>118</v>
      </c>
      <c r="C136" s="11" t="s">
        <v>84</v>
      </c>
      <c r="D136" s="11" t="s">
        <v>1312</v>
      </c>
      <c r="F136" s="11" t="s">
        <v>81</v>
      </c>
      <c r="H136" s="11" t="s">
        <v>82</v>
      </c>
      <c r="J136" s="11" t="s">
        <v>81</v>
      </c>
      <c r="K136" s="11" t="s">
        <v>2193</v>
      </c>
      <c r="L136" s="11" t="s">
        <v>82</v>
      </c>
      <c r="N136" s="11" t="s">
        <v>84</v>
      </c>
      <c r="O136" s="11" t="s">
        <v>84</v>
      </c>
    </row>
    <row r="137" spans="1:15" ht="63.75" x14ac:dyDescent="0.2">
      <c r="A137" s="11">
        <v>136</v>
      </c>
      <c r="B137" s="11" t="s">
        <v>97</v>
      </c>
      <c r="C137" s="11" t="s">
        <v>84</v>
      </c>
      <c r="D137" s="11" t="s">
        <v>97</v>
      </c>
      <c r="F137" s="11" t="s">
        <v>246</v>
      </c>
      <c r="H137" s="11" t="s">
        <v>82</v>
      </c>
      <c r="J137" s="11" t="s">
        <v>246</v>
      </c>
      <c r="K137" s="19" t="s">
        <v>2194</v>
      </c>
      <c r="L137" s="11" t="s">
        <v>82</v>
      </c>
      <c r="N137" s="11" t="s">
        <v>84</v>
      </c>
      <c r="O137" s="11" t="s">
        <v>84</v>
      </c>
    </row>
    <row r="138" spans="1:15" x14ac:dyDescent="0.2">
      <c r="A138" s="11">
        <v>137</v>
      </c>
      <c r="B138" s="11" t="s">
        <v>118</v>
      </c>
      <c r="C138" s="11" t="s">
        <v>84</v>
      </c>
      <c r="D138" s="11" t="s">
        <v>97</v>
      </c>
      <c r="F138" s="11" t="s">
        <v>246</v>
      </c>
      <c r="H138" s="11" t="s">
        <v>82</v>
      </c>
      <c r="J138" s="11" t="s">
        <v>246</v>
      </c>
      <c r="L138" s="11" t="s">
        <v>82</v>
      </c>
      <c r="N138" s="11" t="s">
        <v>84</v>
      </c>
      <c r="O138" s="11" t="s">
        <v>84</v>
      </c>
    </row>
    <row r="139" spans="1:15" x14ac:dyDescent="0.2">
      <c r="A139" s="11">
        <v>138</v>
      </c>
      <c r="B139" s="33"/>
      <c r="C139" s="33" t="s">
        <v>80</v>
      </c>
      <c r="D139" s="33"/>
      <c r="E139" s="33"/>
      <c r="F139" s="33"/>
      <c r="G139" s="33"/>
      <c r="H139" s="33" t="s">
        <v>80</v>
      </c>
      <c r="I139" s="33"/>
      <c r="J139" s="33"/>
      <c r="K139" s="33"/>
      <c r="L139" s="33" t="s">
        <v>80</v>
      </c>
      <c r="M139" s="33"/>
      <c r="N139" s="33" t="s">
        <v>80</v>
      </c>
      <c r="O139" s="33" t="s">
        <v>80</v>
      </c>
    </row>
    <row r="140" spans="1:15" ht="242.25" x14ac:dyDescent="0.2">
      <c r="A140" s="11">
        <v>139</v>
      </c>
      <c r="B140" s="11" t="s">
        <v>118</v>
      </c>
      <c r="C140" s="11" t="s">
        <v>84</v>
      </c>
      <c r="D140" s="11" t="s">
        <v>1312</v>
      </c>
      <c r="E140" s="11" t="s">
        <v>2195</v>
      </c>
      <c r="F140" s="11" t="s">
        <v>81</v>
      </c>
      <c r="G140" s="11" t="s">
        <v>2196</v>
      </c>
      <c r="H140" s="11" t="s">
        <v>82</v>
      </c>
      <c r="J140" s="11" t="s">
        <v>81</v>
      </c>
      <c r="K140" s="11" t="s">
        <v>2197</v>
      </c>
      <c r="L140" s="11" t="s">
        <v>84</v>
      </c>
      <c r="M140" s="11" t="s">
        <v>2198</v>
      </c>
      <c r="N140" s="11" t="s">
        <v>84</v>
      </c>
      <c r="O140" s="11" t="s">
        <v>84</v>
      </c>
    </row>
    <row r="141" spans="1:15" ht="76.5" x14ac:dyDescent="0.2">
      <c r="A141" s="11">
        <v>140</v>
      </c>
      <c r="B141" s="11" t="s">
        <v>118</v>
      </c>
      <c r="C141" s="11" t="s">
        <v>84</v>
      </c>
      <c r="D141" s="11" t="s">
        <v>97</v>
      </c>
      <c r="F141" s="11" t="s">
        <v>246</v>
      </c>
      <c r="H141" s="11" t="s">
        <v>82</v>
      </c>
      <c r="J141" s="11" t="s">
        <v>246</v>
      </c>
      <c r="L141" s="11" t="s">
        <v>84</v>
      </c>
      <c r="M141" s="11" t="s">
        <v>3825</v>
      </c>
      <c r="N141" s="11" t="s">
        <v>84</v>
      </c>
      <c r="O141" s="11" t="s">
        <v>84</v>
      </c>
    </row>
    <row r="142" spans="1:15" ht="51" x14ac:dyDescent="0.2">
      <c r="A142" s="11">
        <v>141</v>
      </c>
      <c r="B142" s="11" t="s">
        <v>97</v>
      </c>
      <c r="C142" s="11" t="s">
        <v>84</v>
      </c>
      <c r="D142" s="11" t="s">
        <v>97</v>
      </c>
      <c r="F142" s="11" t="s">
        <v>246</v>
      </c>
      <c r="H142" s="11" t="s">
        <v>82</v>
      </c>
      <c r="J142" s="11" t="s">
        <v>81</v>
      </c>
      <c r="K142" s="11" t="s">
        <v>3811</v>
      </c>
      <c r="L142" s="11" t="s">
        <v>82</v>
      </c>
      <c r="N142" s="11" t="s">
        <v>84</v>
      </c>
      <c r="O142" s="11" t="s">
        <v>84</v>
      </c>
    </row>
    <row r="143" spans="1:15" x14ac:dyDescent="0.2">
      <c r="A143" s="11">
        <v>142</v>
      </c>
      <c r="B143" s="33" t="s">
        <v>97</v>
      </c>
      <c r="C143" s="33" t="s">
        <v>84</v>
      </c>
      <c r="D143" s="33" t="s">
        <v>702</v>
      </c>
      <c r="E143" s="33"/>
      <c r="F143" s="33"/>
      <c r="G143" s="33"/>
      <c r="H143" s="33" t="s">
        <v>84</v>
      </c>
      <c r="I143" s="33" t="s">
        <v>246</v>
      </c>
      <c r="J143" s="33"/>
      <c r="K143" s="33"/>
      <c r="L143" s="33" t="s">
        <v>82</v>
      </c>
      <c r="M143" s="33"/>
      <c r="N143" s="33" t="s">
        <v>84</v>
      </c>
      <c r="O143" s="33" t="s">
        <v>84</v>
      </c>
    </row>
    <row r="144" spans="1:15" x14ac:dyDescent="0.2">
      <c r="A144" s="11">
        <v>143</v>
      </c>
      <c r="B144" s="11" t="s">
        <v>97</v>
      </c>
      <c r="C144" s="11" t="s">
        <v>84</v>
      </c>
      <c r="D144" s="11" t="s">
        <v>97</v>
      </c>
      <c r="F144" s="11" t="s">
        <v>246</v>
      </c>
      <c r="H144" s="11" t="s">
        <v>82</v>
      </c>
      <c r="J144" s="11" t="s">
        <v>246</v>
      </c>
      <c r="L144" s="11" t="s">
        <v>82</v>
      </c>
      <c r="N144" s="11" t="s">
        <v>84</v>
      </c>
      <c r="O144" s="11" t="s">
        <v>84</v>
      </c>
    </row>
    <row r="145" spans="1:15" x14ac:dyDescent="0.2">
      <c r="A145" s="11">
        <v>144</v>
      </c>
      <c r="B145" s="11" t="s">
        <v>97</v>
      </c>
      <c r="C145" s="11" t="s">
        <v>84</v>
      </c>
      <c r="D145" s="11" t="s">
        <v>97</v>
      </c>
      <c r="F145" s="11" t="s">
        <v>246</v>
      </c>
      <c r="H145" s="11" t="s">
        <v>82</v>
      </c>
      <c r="J145" s="11" t="s">
        <v>81</v>
      </c>
      <c r="L145" s="11" t="s">
        <v>82</v>
      </c>
      <c r="N145" s="11" t="s">
        <v>84</v>
      </c>
      <c r="O145" s="11" t="s">
        <v>84</v>
      </c>
    </row>
    <row r="146" spans="1:15" ht="89.25" x14ac:dyDescent="0.2">
      <c r="A146" s="11">
        <v>145</v>
      </c>
      <c r="B146" s="11" t="s">
        <v>118</v>
      </c>
      <c r="C146" s="11" t="s">
        <v>84</v>
      </c>
      <c r="D146" s="11" t="s">
        <v>1312</v>
      </c>
      <c r="E146" s="11" t="s">
        <v>2201</v>
      </c>
      <c r="F146" s="11" t="s">
        <v>81</v>
      </c>
      <c r="G146" s="11" t="s">
        <v>2202</v>
      </c>
      <c r="H146" s="11" t="s">
        <v>82</v>
      </c>
      <c r="J146" s="11" t="s">
        <v>81</v>
      </c>
      <c r="K146" s="11" t="s">
        <v>2203</v>
      </c>
      <c r="L146" s="11" t="s">
        <v>82</v>
      </c>
      <c r="N146" s="11" t="s">
        <v>84</v>
      </c>
      <c r="O146" s="11" t="s">
        <v>84</v>
      </c>
    </row>
    <row r="147" spans="1:15" x14ac:dyDescent="0.2">
      <c r="A147" s="11">
        <v>146</v>
      </c>
      <c r="B147" s="11" t="s">
        <v>97</v>
      </c>
      <c r="C147" s="11" t="s">
        <v>84</v>
      </c>
      <c r="D147" s="11" t="s">
        <v>97</v>
      </c>
      <c r="F147" s="11" t="s">
        <v>246</v>
      </c>
      <c r="H147" s="11" t="s">
        <v>82</v>
      </c>
      <c r="J147" s="11" t="s">
        <v>81</v>
      </c>
      <c r="L147" s="11" t="s">
        <v>82</v>
      </c>
      <c r="N147" s="11" t="s">
        <v>84</v>
      </c>
      <c r="O147" s="11" t="s">
        <v>84</v>
      </c>
    </row>
    <row r="148" spans="1:15" x14ac:dyDescent="0.2">
      <c r="A148" s="11">
        <v>147</v>
      </c>
      <c r="B148" s="11" t="s">
        <v>97</v>
      </c>
      <c r="C148" s="11" t="s">
        <v>84</v>
      </c>
      <c r="D148" s="11" t="s">
        <v>97</v>
      </c>
      <c r="F148" s="11" t="s">
        <v>81</v>
      </c>
      <c r="H148" s="11" t="s">
        <v>82</v>
      </c>
      <c r="J148" s="11" t="s">
        <v>81</v>
      </c>
      <c r="L148" s="11" t="s">
        <v>82</v>
      </c>
      <c r="N148" s="11" t="s">
        <v>84</v>
      </c>
      <c r="O148" s="11" t="s">
        <v>84</v>
      </c>
    </row>
    <row r="149" spans="1:15" ht="25.5" x14ac:dyDescent="0.2">
      <c r="A149" s="11">
        <v>148</v>
      </c>
      <c r="B149" s="11" t="s">
        <v>97</v>
      </c>
      <c r="C149" s="11" t="s">
        <v>84</v>
      </c>
      <c r="D149" s="11" t="s">
        <v>97</v>
      </c>
      <c r="E149" s="11" t="s">
        <v>2205</v>
      </c>
      <c r="F149" s="11" t="s">
        <v>246</v>
      </c>
      <c r="G149" s="11" t="s">
        <v>2206</v>
      </c>
      <c r="H149" s="11" t="s">
        <v>82</v>
      </c>
      <c r="J149" s="11" t="s">
        <v>246</v>
      </c>
      <c r="K149" s="11" t="s">
        <v>2207</v>
      </c>
      <c r="L149" s="11" t="s">
        <v>82</v>
      </c>
      <c r="N149" s="11" t="s">
        <v>84</v>
      </c>
      <c r="O149" s="11" t="s">
        <v>82</v>
      </c>
    </row>
    <row r="150" spans="1:15" ht="63.75" x14ac:dyDescent="0.2">
      <c r="A150" s="11">
        <v>149</v>
      </c>
      <c r="B150" s="11" t="s">
        <v>118</v>
      </c>
      <c r="C150" s="11" t="s">
        <v>84</v>
      </c>
      <c r="D150" s="11" t="s">
        <v>1312</v>
      </c>
      <c r="E150" s="11" t="s">
        <v>2208</v>
      </c>
      <c r="F150" s="11" t="s">
        <v>246</v>
      </c>
      <c r="H150" s="11" t="s">
        <v>84</v>
      </c>
      <c r="I150" s="64" t="s">
        <v>3569</v>
      </c>
      <c r="L150" s="11" t="s">
        <v>82</v>
      </c>
      <c r="N150" s="11" t="s">
        <v>84</v>
      </c>
      <c r="O150" s="11" t="s">
        <v>84</v>
      </c>
    </row>
    <row r="151" spans="1:15" ht="38.25" x14ac:dyDescent="0.2">
      <c r="A151" s="11">
        <v>150</v>
      </c>
      <c r="B151" s="11" t="s">
        <v>118</v>
      </c>
      <c r="C151" s="11" t="s">
        <v>82</v>
      </c>
      <c r="D151" s="11" t="s">
        <v>97</v>
      </c>
      <c r="E151" s="11" t="s">
        <v>4145</v>
      </c>
      <c r="F151" s="11" t="s">
        <v>81</v>
      </c>
      <c r="G151" s="11" t="s">
        <v>2211</v>
      </c>
      <c r="H151" s="11" t="s">
        <v>82</v>
      </c>
      <c r="J151" s="11" t="s">
        <v>81</v>
      </c>
      <c r="L151" s="11" t="s">
        <v>82</v>
      </c>
      <c r="N151" s="11" t="s">
        <v>84</v>
      </c>
      <c r="O151" s="11" t="s">
        <v>82</v>
      </c>
    </row>
    <row r="152" spans="1:15" x14ac:dyDescent="0.2">
      <c r="A152" s="11">
        <v>151</v>
      </c>
      <c r="B152" s="33" t="s">
        <v>97</v>
      </c>
      <c r="C152" s="33" t="s">
        <v>82</v>
      </c>
      <c r="D152" s="33" t="s">
        <v>97</v>
      </c>
      <c r="E152" s="33"/>
      <c r="F152" s="33" t="s">
        <v>246</v>
      </c>
      <c r="G152" s="33"/>
      <c r="H152" s="33" t="s">
        <v>82</v>
      </c>
      <c r="I152" s="33"/>
      <c r="J152" s="33" t="s">
        <v>81</v>
      </c>
      <c r="K152" s="33"/>
      <c r="L152" s="33" t="s">
        <v>82</v>
      </c>
      <c r="M152" s="33"/>
      <c r="N152" s="33" t="s">
        <v>84</v>
      </c>
      <c r="O152" s="33" t="s">
        <v>84</v>
      </c>
    </row>
    <row r="153" spans="1:15" ht="63.75" x14ac:dyDescent="0.2">
      <c r="A153" s="11">
        <v>152</v>
      </c>
      <c r="B153" s="11" t="s">
        <v>97</v>
      </c>
      <c r="C153" s="11" t="s">
        <v>84</v>
      </c>
      <c r="D153" s="11" t="s">
        <v>97</v>
      </c>
      <c r="E153" s="11" t="s">
        <v>2212</v>
      </c>
      <c r="F153" s="11" t="s">
        <v>81</v>
      </c>
      <c r="G153" s="11" t="s">
        <v>2213</v>
      </c>
      <c r="H153" s="11" t="s">
        <v>82</v>
      </c>
      <c r="J153" s="11" t="s">
        <v>81</v>
      </c>
      <c r="L153" s="11" t="s">
        <v>82</v>
      </c>
      <c r="N153" s="11" t="s">
        <v>84</v>
      </c>
      <c r="O153" s="11" t="s">
        <v>84</v>
      </c>
    </row>
    <row r="154" spans="1:15" ht="25.5" x14ac:dyDescent="0.2">
      <c r="A154" s="11">
        <v>153</v>
      </c>
      <c r="B154" s="11" t="s">
        <v>118</v>
      </c>
      <c r="C154" s="11" t="s">
        <v>84</v>
      </c>
      <c r="D154" s="11" t="s">
        <v>1312</v>
      </c>
      <c r="F154" s="11" t="s">
        <v>81</v>
      </c>
      <c r="H154" s="11" t="s">
        <v>84</v>
      </c>
      <c r="L154" s="11" t="s">
        <v>84</v>
      </c>
      <c r="N154" s="11" t="s">
        <v>84</v>
      </c>
      <c r="O154" s="11" t="s">
        <v>84</v>
      </c>
    </row>
    <row r="155" spans="1:15" x14ac:dyDescent="0.2">
      <c r="A155" s="11">
        <v>154</v>
      </c>
      <c r="B155" s="11" t="s">
        <v>118</v>
      </c>
      <c r="C155" s="11" t="s">
        <v>84</v>
      </c>
      <c r="D155" s="11" t="s">
        <v>97</v>
      </c>
      <c r="F155" s="11" t="s">
        <v>246</v>
      </c>
      <c r="H155" s="11" t="s">
        <v>84</v>
      </c>
      <c r="L155" s="11" t="s">
        <v>82</v>
      </c>
      <c r="N155" s="11" t="s">
        <v>84</v>
      </c>
      <c r="O155" s="11" t="s">
        <v>84</v>
      </c>
    </row>
    <row r="156" spans="1:15" x14ac:dyDescent="0.2">
      <c r="A156" s="11">
        <v>155</v>
      </c>
      <c r="B156" s="11" t="s">
        <v>97</v>
      </c>
      <c r="C156" s="11" t="s">
        <v>84</v>
      </c>
      <c r="D156" s="11" t="s">
        <v>97</v>
      </c>
      <c r="F156" s="11" t="s">
        <v>246</v>
      </c>
      <c r="H156" s="11" t="s">
        <v>82</v>
      </c>
      <c r="J156" s="11" t="s">
        <v>246</v>
      </c>
      <c r="L156" s="11" t="s">
        <v>82</v>
      </c>
      <c r="N156" s="11" t="s">
        <v>82</v>
      </c>
      <c r="O156" s="11" t="s">
        <v>82</v>
      </c>
    </row>
    <row r="157" spans="1:15" ht="63.75" x14ac:dyDescent="0.2">
      <c r="A157" s="11">
        <v>156</v>
      </c>
      <c r="B157" s="11" t="s">
        <v>97</v>
      </c>
      <c r="C157" s="11" t="s">
        <v>84</v>
      </c>
      <c r="E157" s="11" t="s">
        <v>2216</v>
      </c>
      <c r="H157" s="11" t="s">
        <v>82</v>
      </c>
      <c r="J157" s="11" t="s">
        <v>246</v>
      </c>
      <c r="K157" s="11" t="s">
        <v>2217</v>
      </c>
      <c r="L157" s="11" t="s">
        <v>82</v>
      </c>
      <c r="N157" s="11" t="s">
        <v>82</v>
      </c>
      <c r="O157" s="11" t="s">
        <v>82</v>
      </c>
    </row>
    <row r="158" spans="1:15" ht="63.75" x14ac:dyDescent="0.2">
      <c r="A158" s="11">
        <v>157</v>
      </c>
      <c r="B158" s="11" t="s">
        <v>97</v>
      </c>
      <c r="C158" s="11" t="s">
        <v>84</v>
      </c>
      <c r="D158" s="11" t="s">
        <v>97</v>
      </c>
      <c r="E158" s="11" t="s">
        <v>2218</v>
      </c>
      <c r="F158" s="11" t="s">
        <v>81</v>
      </c>
      <c r="G158" s="11" t="s">
        <v>2219</v>
      </c>
      <c r="H158" s="11" t="s">
        <v>82</v>
      </c>
      <c r="J158" s="11" t="s">
        <v>81</v>
      </c>
      <c r="K158" s="64" t="s">
        <v>2220</v>
      </c>
      <c r="L158" s="11" t="s">
        <v>82</v>
      </c>
      <c r="N158" s="11" t="s">
        <v>84</v>
      </c>
      <c r="O158" s="11" t="s">
        <v>84</v>
      </c>
    </row>
    <row r="159" spans="1:15" ht="25.5" x14ac:dyDescent="0.2">
      <c r="A159" s="11">
        <v>158</v>
      </c>
      <c r="B159" s="11" t="s">
        <v>118</v>
      </c>
      <c r="C159" s="11" t="s">
        <v>84</v>
      </c>
      <c r="D159" s="11" t="s">
        <v>1312</v>
      </c>
      <c r="E159" s="11" t="s">
        <v>2222</v>
      </c>
      <c r="F159" s="11" t="s">
        <v>81</v>
      </c>
      <c r="G159" s="11" t="s">
        <v>2222</v>
      </c>
      <c r="H159" s="11" t="s">
        <v>82</v>
      </c>
      <c r="J159" s="11" t="s">
        <v>246</v>
      </c>
      <c r="K159" s="11" t="s">
        <v>2223</v>
      </c>
      <c r="L159" s="11" t="s">
        <v>82</v>
      </c>
      <c r="N159" s="11" t="s">
        <v>82</v>
      </c>
      <c r="O159" s="11" t="s">
        <v>82</v>
      </c>
    </row>
    <row r="160" spans="1:15" ht="25.5" x14ac:dyDescent="0.2">
      <c r="A160" s="11">
        <v>159</v>
      </c>
      <c r="B160" s="11" t="s">
        <v>118</v>
      </c>
      <c r="C160" s="11" t="s">
        <v>84</v>
      </c>
      <c r="D160" s="11" t="s">
        <v>1312</v>
      </c>
      <c r="F160" s="11" t="s">
        <v>81</v>
      </c>
      <c r="H160" s="11" t="s">
        <v>82</v>
      </c>
      <c r="J160" s="11" t="s">
        <v>81</v>
      </c>
      <c r="L160" s="11" t="s">
        <v>82</v>
      </c>
      <c r="N160" s="11" t="s">
        <v>84</v>
      </c>
      <c r="O160" s="11" t="s">
        <v>82</v>
      </c>
    </row>
    <row r="161" spans="1:15" ht="25.5" x14ac:dyDescent="0.2">
      <c r="A161" s="11">
        <v>160</v>
      </c>
      <c r="B161" s="11" t="s">
        <v>97</v>
      </c>
      <c r="C161" s="11" t="s">
        <v>84</v>
      </c>
      <c r="D161" s="11" t="s">
        <v>97</v>
      </c>
      <c r="F161" s="11" t="s">
        <v>81</v>
      </c>
      <c r="G161" s="11" t="s">
        <v>2225</v>
      </c>
      <c r="H161" s="11" t="s">
        <v>82</v>
      </c>
      <c r="J161" s="11" t="s">
        <v>81</v>
      </c>
      <c r="L161" s="11" t="s">
        <v>82</v>
      </c>
      <c r="N161" s="11" t="s">
        <v>82</v>
      </c>
      <c r="O161" s="11" t="s">
        <v>82</v>
      </c>
    </row>
    <row r="162" spans="1:15" ht="25.5" x14ac:dyDescent="0.2">
      <c r="A162" s="11">
        <v>161</v>
      </c>
      <c r="B162" s="11" t="s">
        <v>118</v>
      </c>
      <c r="C162" s="11" t="s">
        <v>84</v>
      </c>
      <c r="D162" s="11" t="s">
        <v>702</v>
      </c>
      <c r="E162" s="11" t="s">
        <v>2226</v>
      </c>
      <c r="H162" s="11" t="s">
        <v>82</v>
      </c>
      <c r="J162" s="11" t="s">
        <v>246</v>
      </c>
      <c r="K162" s="11" t="s">
        <v>2227</v>
      </c>
      <c r="L162" s="11" t="s">
        <v>82</v>
      </c>
      <c r="N162" s="11" t="s">
        <v>84</v>
      </c>
      <c r="O162" s="11" t="s">
        <v>84</v>
      </c>
    </row>
    <row r="163" spans="1:15" x14ac:dyDescent="0.2">
      <c r="A163" s="11">
        <v>162</v>
      </c>
      <c r="B163" s="11" t="s">
        <v>99</v>
      </c>
      <c r="C163" s="11" t="s">
        <v>80</v>
      </c>
      <c r="H163" s="11" t="s">
        <v>82</v>
      </c>
      <c r="J163" s="11" t="s">
        <v>81</v>
      </c>
      <c r="L163" s="11" t="s">
        <v>82</v>
      </c>
      <c r="N163" s="11" t="s">
        <v>84</v>
      </c>
      <c r="O163" s="11" t="s">
        <v>84</v>
      </c>
    </row>
    <row r="164" spans="1:15" ht="25.5" x14ac:dyDescent="0.2">
      <c r="A164" s="11">
        <v>163</v>
      </c>
      <c r="B164" s="11" t="s">
        <v>118</v>
      </c>
      <c r="C164" s="11" t="s">
        <v>84</v>
      </c>
      <c r="D164" s="11" t="s">
        <v>1312</v>
      </c>
      <c r="F164" s="11" t="s">
        <v>81</v>
      </c>
      <c r="H164" s="11" t="s">
        <v>84</v>
      </c>
      <c r="I164" s="64" t="s">
        <v>2228</v>
      </c>
      <c r="L164" s="11" t="s">
        <v>84</v>
      </c>
      <c r="M164" s="7" t="s">
        <v>3826</v>
      </c>
      <c r="N164" s="11" t="s">
        <v>84</v>
      </c>
      <c r="O164" s="11" t="s">
        <v>84</v>
      </c>
    </row>
    <row r="165" spans="1:15" ht="51" x14ac:dyDescent="0.2">
      <c r="A165" s="11">
        <v>164</v>
      </c>
      <c r="B165" s="11" t="s">
        <v>118</v>
      </c>
      <c r="C165" s="11" t="s">
        <v>84</v>
      </c>
      <c r="D165" s="11" t="s">
        <v>1312</v>
      </c>
      <c r="F165" s="11" t="s">
        <v>81</v>
      </c>
      <c r="H165" s="11" t="s">
        <v>84</v>
      </c>
      <c r="I165" s="11" t="s">
        <v>3555</v>
      </c>
      <c r="L165" s="11" t="s">
        <v>82</v>
      </c>
      <c r="N165" s="11" t="s">
        <v>84</v>
      </c>
      <c r="O165" s="11" t="s">
        <v>84</v>
      </c>
    </row>
    <row r="166" spans="1:15" ht="63.75" x14ac:dyDescent="0.2">
      <c r="A166" s="11">
        <v>165</v>
      </c>
      <c r="B166" s="11" t="s">
        <v>118</v>
      </c>
      <c r="C166" s="11" t="s">
        <v>84</v>
      </c>
      <c r="D166" s="11" t="s">
        <v>1312</v>
      </c>
      <c r="F166" s="11" t="s">
        <v>81</v>
      </c>
      <c r="H166" s="11" t="s">
        <v>84</v>
      </c>
      <c r="I166" s="64" t="s">
        <v>4146</v>
      </c>
      <c r="L166" s="11" t="s">
        <v>84</v>
      </c>
      <c r="M166" s="11" t="s">
        <v>3827</v>
      </c>
      <c r="N166" s="11" t="s">
        <v>84</v>
      </c>
      <c r="O166" s="11" t="s">
        <v>84</v>
      </c>
    </row>
    <row r="167" spans="1:15" ht="76.5" x14ac:dyDescent="0.2">
      <c r="A167" s="11">
        <v>166</v>
      </c>
      <c r="B167" s="11" t="s">
        <v>97</v>
      </c>
      <c r="C167" s="11" t="s">
        <v>84</v>
      </c>
      <c r="D167" s="11" t="s">
        <v>97</v>
      </c>
      <c r="F167" s="11" t="s">
        <v>246</v>
      </c>
      <c r="H167" s="11" t="s">
        <v>82</v>
      </c>
      <c r="J167" s="11" t="s">
        <v>81</v>
      </c>
      <c r="K167" s="11" t="s">
        <v>2235</v>
      </c>
      <c r="L167" s="11" t="s">
        <v>82</v>
      </c>
      <c r="N167" s="11" t="s">
        <v>84</v>
      </c>
      <c r="O167" s="11" t="s">
        <v>82</v>
      </c>
    </row>
    <row r="168" spans="1:15" x14ac:dyDescent="0.2">
      <c r="A168" s="11">
        <v>167</v>
      </c>
      <c r="B168" s="11" t="s">
        <v>97</v>
      </c>
      <c r="C168" s="11" t="s">
        <v>84</v>
      </c>
      <c r="D168" s="11" t="s">
        <v>97</v>
      </c>
      <c r="E168" s="11" t="s">
        <v>2236</v>
      </c>
      <c r="F168" s="11" t="s">
        <v>246</v>
      </c>
      <c r="H168" s="11" t="s">
        <v>82</v>
      </c>
      <c r="J168" s="11" t="s">
        <v>246</v>
      </c>
      <c r="L168" s="11" t="s">
        <v>82</v>
      </c>
      <c r="N168" s="11" t="s">
        <v>84</v>
      </c>
      <c r="O168" s="11" t="s">
        <v>82</v>
      </c>
    </row>
    <row r="169" spans="1:15" x14ac:dyDescent="0.2">
      <c r="A169" s="11">
        <v>168</v>
      </c>
      <c r="B169" s="11" t="s">
        <v>97</v>
      </c>
      <c r="C169" s="11" t="s">
        <v>84</v>
      </c>
      <c r="D169" s="11" t="s">
        <v>97</v>
      </c>
      <c r="F169" s="11" t="s">
        <v>81</v>
      </c>
      <c r="H169" s="11" t="s">
        <v>84</v>
      </c>
      <c r="L169" s="11" t="s">
        <v>84</v>
      </c>
      <c r="N169" s="11" t="s">
        <v>84</v>
      </c>
      <c r="O169" s="11" t="s">
        <v>82</v>
      </c>
    </row>
    <row r="170" spans="1:15" ht="102" x14ac:dyDescent="0.2">
      <c r="A170" s="11">
        <v>169</v>
      </c>
      <c r="B170" s="11" t="s">
        <v>99</v>
      </c>
      <c r="C170" s="11" t="s">
        <v>80</v>
      </c>
      <c r="D170" s="11" t="s">
        <v>97</v>
      </c>
      <c r="E170" s="11" t="s">
        <v>2237</v>
      </c>
      <c r="F170" s="11" t="s">
        <v>81</v>
      </c>
      <c r="H170" s="11" t="s">
        <v>82</v>
      </c>
      <c r="J170" s="11" t="s">
        <v>81</v>
      </c>
      <c r="K170" s="11" t="s">
        <v>2238</v>
      </c>
      <c r="L170" s="11" t="s">
        <v>82</v>
      </c>
      <c r="N170" s="11" t="s">
        <v>84</v>
      </c>
      <c r="O170" s="11" t="s">
        <v>84</v>
      </c>
    </row>
    <row r="171" spans="1:15" ht="51" x14ac:dyDescent="0.2">
      <c r="A171" s="11">
        <v>170</v>
      </c>
      <c r="B171" s="11" t="s">
        <v>97</v>
      </c>
      <c r="C171" s="11" t="s">
        <v>84</v>
      </c>
      <c r="D171" s="11" t="s">
        <v>97</v>
      </c>
      <c r="E171" s="11" t="s">
        <v>2239</v>
      </c>
      <c r="F171" s="11" t="s">
        <v>246</v>
      </c>
      <c r="G171" s="11" t="s">
        <v>2240</v>
      </c>
      <c r="H171" s="11" t="s">
        <v>82</v>
      </c>
      <c r="J171" s="11" t="s">
        <v>81</v>
      </c>
      <c r="K171" s="11" t="s">
        <v>2241</v>
      </c>
      <c r="L171" s="11" t="s">
        <v>82</v>
      </c>
      <c r="N171" s="11" t="s">
        <v>82</v>
      </c>
      <c r="O171" s="11" t="s">
        <v>82</v>
      </c>
    </row>
    <row r="172" spans="1:15" ht="25.5" x14ac:dyDescent="0.2">
      <c r="A172" s="11">
        <v>171</v>
      </c>
      <c r="B172" s="11" t="s">
        <v>118</v>
      </c>
      <c r="C172" s="11" t="s">
        <v>84</v>
      </c>
      <c r="D172" s="11" t="s">
        <v>1312</v>
      </c>
      <c r="F172" s="11" t="s">
        <v>81</v>
      </c>
      <c r="H172" s="11" t="s">
        <v>82</v>
      </c>
      <c r="J172" s="11" t="s">
        <v>81</v>
      </c>
      <c r="L172" s="11" t="s">
        <v>82</v>
      </c>
      <c r="N172" s="11" t="s">
        <v>84</v>
      </c>
      <c r="O172" s="11" t="s">
        <v>84</v>
      </c>
    </row>
    <row r="173" spans="1:15" ht="38.25" x14ac:dyDescent="0.2">
      <c r="A173" s="11">
        <v>172</v>
      </c>
      <c r="B173" s="11" t="s">
        <v>99</v>
      </c>
      <c r="C173" s="11" t="s">
        <v>80</v>
      </c>
      <c r="D173" s="11" t="s">
        <v>1312</v>
      </c>
      <c r="E173" s="11" t="s">
        <v>2244</v>
      </c>
      <c r="F173" s="11" t="s">
        <v>81</v>
      </c>
      <c r="H173" s="11" t="s">
        <v>84</v>
      </c>
      <c r="I173" s="11" t="s">
        <v>3556</v>
      </c>
      <c r="L173" s="11" t="s">
        <v>82</v>
      </c>
      <c r="N173" s="11" t="s">
        <v>84</v>
      </c>
      <c r="O173" s="11" t="s">
        <v>84</v>
      </c>
    </row>
    <row r="174" spans="1:15" ht="153" x14ac:dyDescent="0.2">
      <c r="A174" s="11">
        <v>173</v>
      </c>
      <c r="B174" s="11" t="s">
        <v>118</v>
      </c>
      <c r="C174" s="11" t="s">
        <v>84</v>
      </c>
      <c r="D174" s="11" t="s">
        <v>97</v>
      </c>
      <c r="E174" s="11" t="s">
        <v>2246</v>
      </c>
      <c r="F174" s="11" t="s">
        <v>246</v>
      </c>
      <c r="G174" s="11" t="s">
        <v>2247</v>
      </c>
      <c r="H174" s="11" t="s">
        <v>82</v>
      </c>
      <c r="J174" s="11" t="s">
        <v>246</v>
      </c>
      <c r="K174" s="64" t="s">
        <v>2248</v>
      </c>
      <c r="L174" s="11" t="s">
        <v>84</v>
      </c>
      <c r="M174" s="11" t="s">
        <v>3828</v>
      </c>
      <c r="N174" s="11" t="s">
        <v>84</v>
      </c>
      <c r="O174" s="11" t="s">
        <v>84</v>
      </c>
    </row>
    <row r="175" spans="1:15" x14ac:dyDescent="0.2">
      <c r="A175" s="11">
        <v>174</v>
      </c>
      <c r="B175" s="11" t="s">
        <v>97</v>
      </c>
      <c r="C175" s="11" t="s">
        <v>84</v>
      </c>
      <c r="D175" s="11" t="s">
        <v>97</v>
      </c>
      <c r="F175" s="11" t="s">
        <v>246</v>
      </c>
      <c r="H175" s="11" t="s">
        <v>82</v>
      </c>
      <c r="J175" s="11" t="s">
        <v>81</v>
      </c>
      <c r="L175" s="11" t="s">
        <v>82</v>
      </c>
      <c r="N175" s="11" t="s">
        <v>82</v>
      </c>
      <c r="O175" s="11" t="s">
        <v>82</v>
      </c>
    </row>
    <row r="176" spans="1:15" ht="165.75" x14ac:dyDescent="0.2">
      <c r="A176" s="11">
        <v>175</v>
      </c>
      <c r="B176" s="11" t="s">
        <v>99</v>
      </c>
      <c r="C176" s="11" t="s">
        <v>80</v>
      </c>
      <c r="D176" s="11" t="s">
        <v>97</v>
      </c>
      <c r="F176" s="11" t="s">
        <v>246</v>
      </c>
      <c r="H176" s="11" t="s">
        <v>82</v>
      </c>
      <c r="J176" s="11" t="s">
        <v>246</v>
      </c>
      <c r="K176" s="64" t="s">
        <v>2250</v>
      </c>
      <c r="L176" s="11" t="s">
        <v>82</v>
      </c>
      <c r="N176" s="11" t="s">
        <v>84</v>
      </c>
      <c r="O176" s="11" t="s">
        <v>84</v>
      </c>
    </row>
    <row r="177" spans="1:15" x14ac:dyDescent="0.2">
      <c r="A177" s="11">
        <v>176</v>
      </c>
      <c r="B177" s="11" t="s">
        <v>97</v>
      </c>
      <c r="C177" s="11" t="s">
        <v>82</v>
      </c>
      <c r="D177" s="11" t="s">
        <v>97</v>
      </c>
      <c r="F177" s="11" t="s">
        <v>246</v>
      </c>
      <c r="H177" s="11" t="s">
        <v>82</v>
      </c>
      <c r="J177" s="11" t="s">
        <v>246</v>
      </c>
      <c r="L177" s="11" t="s">
        <v>82</v>
      </c>
      <c r="N177" s="11" t="s">
        <v>84</v>
      </c>
      <c r="O177" s="11" t="s">
        <v>84</v>
      </c>
    </row>
    <row r="178" spans="1:15" ht="25.5" x14ac:dyDescent="0.2">
      <c r="A178" s="11">
        <v>177</v>
      </c>
      <c r="B178" s="11" t="s">
        <v>97</v>
      </c>
      <c r="C178" s="11" t="s">
        <v>84</v>
      </c>
      <c r="D178" s="11" t="s">
        <v>97</v>
      </c>
      <c r="F178" s="11" t="s">
        <v>246</v>
      </c>
      <c r="H178" s="11" t="s">
        <v>82</v>
      </c>
      <c r="J178" s="11" t="s">
        <v>246</v>
      </c>
      <c r="K178" s="11" t="s">
        <v>2251</v>
      </c>
      <c r="L178" s="11" t="s">
        <v>82</v>
      </c>
      <c r="N178" s="11" t="s">
        <v>82</v>
      </c>
      <c r="O178" s="11" t="s">
        <v>82</v>
      </c>
    </row>
    <row r="179" spans="1:15" ht="63.75" x14ac:dyDescent="0.2">
      <c r="A179" s="11">
        <v>178</v>
      </c>
      <c r="B179" s="11" t="s">
        <v>118</v>
      </c>
      <c r="C179" s="11" t="s">
        <v>84</v>
      </c>
      <c r="D179" s="11" t="s">
        <v>97</v>
      </c>
      <c r="E179" s="11" t="s">
        <v>2253</v>
      </c>
      <c r="F179" s="11" t="s">
        <v>246</v>
      </c>
      <c r="H179" s="11" t="s">
        <v>82</v>
      </c>
      <c r="J179" s="11" t="s">
        <v>246</v>
      </c>
      <c r="K179" s="11" t="s">
        <v>2254</v>
      </c>
      <c r="L179" s="11" t="s">
        <v>82</v>
      </c>
      <c r="N179" s="11" t="s">
        <v>84</v>
      </c>
      <c r="O179" s="11" t="s">
        <v>82</v>
      </c>
    </row>
    <row r="180" spans="1:15" ht="38.25" x14ac:dyDescent="0.2">
      <c r="A180" s="11">
        <v>179</v>
      </c>
      <c r="B180" s="11" t="s">
        <v>99</v>
      </c>
      <c r="C180" s="11" t="s">
        <v>80</v>
      </c>
      <c r="D180" s="11" t="s">
        <v>1312</v>
      </c>
      <c r="F180" s="11" t="s">
        <v>246</v>
      </c>
      <c r="G180" s="11" t="s">
        <v>2257</v>
      </c>
      <c r="H180" s="11" t="s">
        <v>82</v>
      </c>
      <c r="J180" s="11" t="s">
        <v>246</v>
      </c>
      <c r="K180" s="11" t="s">
        <v>2258</v>
      </c>
      <c r="L180" s="11" t="s">
        <v>82</v>
      </c>
      <c r="N180" s="11" t="s">
        <v>84</v>
      </c>
      <c r="O180" s="11" t="s">
        <v>84</v>
      </c>
    </row>
    <row r="181" spans="1:15" x14ac:dyDescent="0.2">
      <c r="A181" s="11">
        <v>180</v>
      </c>
      <c r="B181" s="11" t="s">
        <v>97</v>
      </c>
      <c r="C181" s="11" t="s">
        <v>84</v>
      </c>
      <c r="D181" s="11" t="s">
        <v>97</v>
      </c>
      <c r="F181" s="11" t="s">
        <v>246</v>
      </c>
      <c r="H181" s="11" t="s">
        <v>82</v>
      </c>
      <c r="J181" s="11" t="s">
        <v>81</v>
      </c>
      <c r="L181" s="11" t="s">
        <v>82</v>
      </c>
      <c r="N181" s="11" t="s">
        <v>84</v>
      </c>
      <c r="O181" s="11" t="s">
        <v>84</v>
      </c>
    </row>
    <row r="182" spans="1:15" x14ac:dyDescent="0.2">
      <c r="A182" s="11">
        <v>181</v>
      </c>
      <c r="B182" s="11" t="s">
        <v>118</v>
      </c>
      <c r="C182" s="11" t="s">
        <v>82</v>
      </c>
      <c r="H182" s="11" t="s">
        <v>82</v>
      </c>
      <c r="J182" s="11" t="s">
        <v>246</v>
      </c>
      <c r="K182" s="11" t="s">
        <v>2260</v>
      </c>
      <c r="L182" s="11" t="s">
        <v>82</v>
      </c>
      <c r="N182" s="11" t="s">
        <v>82</v>
      </c>
      <c r="O182" s="11" t="s">
        <v>82</v>
      </c>
    </row>
    <row r="183" spans="1:15" ht="63.75" x14ac:dyDescent="0.2">
      <c r="A183" s="11">
        <v>182</v>
      </c>
      <c r="B183" s="11" t="s">
        <v>118</v>
      </c>
      <c r="C183" s="11" t="s">
        <v>82</v>
      </c>
      <c r="D183" s="11" t="s">
        <v>1312</v>
      </c>
      <c r="E183" s="11" t="s">
        <v>4147</v>
      </c>
      <c r="F183" s="11" t="s">
        <v>81</v>
      </c>
      <c r="G183" s="11" t="s">
        <v>2263</v>
      </c>
      <c r="H183" s="11" t="s">
        <v>82</v>
      </c>
      <c r="J183" s="11" t="s">
        <v>81</v>
      </c>
      <c r="L183" s="11" t="s">
        <v>82</v>
      </c>
      <c r="N183" s="11" t="s">
        <v>82</v>
      </c>
      <c r="O183" s="11" t="s">
        <v>82</v>
      </c>
    </row>
    <row r="184" spans="1:15" ht="63.75" x14ac:dyDescent="0.2">
      <c r="A184" s="11">
        <v>183</v>
      </c>
      <c r="B184" s="11" t="s">
        <v>99</v>
      </c>
      <c r="C184" s="11" t="s">
        <v>80</v>
      </c>
      <c r="D184" s="11" t="s">
        <v>97</v>
      </c>
      <c r="F184" s="11" t="s">
        <v>246</v>
      </c>
      <c r="H184" s="11" t="s">
        <v>84</v>
      </c>
      <c r="I184" s="11" t="s">
        <v>2264</v>
      </c>
      <c r="L184" s="11" t="s">
        <v>82</v>
      </c>
      <c r="N184" s="11" t="s">
        <v>84</v>
      </c>
      <c r="O184" s="11" t="s">
        <v>84</v>
      </c>
    </row>
    <row r="185" spans="1:15" ht="51" x14ac:dyDescent="0.2">
      <c r="A185" s="11">
        <v>184</v>
      </c>
      <c r="B185" s="11" t="s">
        <v>97</v>
      </c>
      <c r="C185" s="11" t="s">
        <v>84</v>
      </c>
      <c r="D185" s="11" t="s">
        <v>97</v>
      </c>
      <c r="F185" s="11" t="s">
        <v>246</v>
      </c>
      <c r="H185" s="11" t="s">
        <v>82</v>
      </c>
      <c r="J185" s="11" t="s">
        <v>81</v>
      </c>
      <c r="K185" s="11" t="s">
        <v>2266</v>
      </c>
      <c r="L185" s="11" t="s">
        <v>84</v>
      </c>
      <c r="M185" s="11" t="s">
        <v>3829</v>
      </c>
      <c r="N185" s="11" t="s">
        <v>84</v>
      </c>
      <c r="O185" s="11" t="s">
        <v>84</v>
      </c>
    </row>
    <row r="186" spans="1:15" x14ac:dyDescent="0.2">
      <c r="A186" s="11">
        <v>185</v>
      </c>
      <c r="B186" s="11" t="s">
        <v>99</v>
      </c>
      <c r="C186" s="11" t="s">
        <v>80</v>
      </c>
      <c r="H186" s="11" t="s">
        <v>84</v>
      </c>
      <c r="L186" s="11" t="s">
        <v>82</v>
      </c>
      <c r="N186" s="11" t="s">
        <v>84</v>
      </c>
      <c r="O186" s="11" t="s">
        <v>84</v>
      </c>
    </row>
    <row r="187" spans="1:15" x14ac:dyDescent="0.2">
      <c r="A187" s="11">
        <v>186</v>
      </c>
      <c r="B187" s="11" t="s">
        <v>99</v>
      </c>
      <c r="C187" s="11" t="s">
        <v>80</v>
      </c>
      <c r="D187" s="11" t="s">
        <v>97</v>
      </c>
      <c r="F187" s="11" t="s">
        <v>246</v>
      </c>
      <c r="H187" s="11" t="s">
        <v>82</v>
      </c>
      <c r="J187" s="11" t="s">
        <v>81</v>
      </c>
      <c r="L187" s="11" t="s">
        <v>82</v>
      </c>
      <c r="N187" s="11" t="s">
        <v>84</v>
      </c>
      <c r="O187" s="11" t="s">
        <v>84</v>
      </c>
    </row>
    <row r="188" spans="1:15" ht="25.5" x14ac:dyDescent="0.2">
      <c r="A188" s="11">
        <v>187</v>
      </c>
      <c r="B188" s="11" t="s">
        <v>118</v>
      </c>
      <c r="C188" s="11" t="s">
        <v>84</v>
      </c>
      <c r="D188" s="11" t="s">
        <v>1312</v>
      </c>
      <c r="F188" s="11" t="s">
        <v>81</v>
      </c>
      <c r="H188" s="11" t="s">
        <v>84</v>
      </c>
      <c r="L188" s="11" t="s">
        <v>84</v>
      </c>
      <c r="N188" s="11" t="s">
        <v>84</v>
      </c>
      <c r="O188" s="11" t="s">
        <v>84</v>
      </c>
    </row>
    <row r="189" spans="1:15" ht="25.5" x14ac:dyDescent="0.2">
      <c r="A189" s="11">
        <v>188</v>
      </c>
      <c r="B189" s="11" t="s">
        <v>118</v>
      </c>
      <c r="C189" s="11" t="s">
        <v>84</v>
      </c>
      <c r="D189" s="11" t="s">
        <v>1312</v>
      </c>
      <c r="E189" s="11" t="s">
        <v>2268</v>
      </c>
      <c r="F189" s="11" t="s">
        <v>81</v>
      </c>
      <c r="G189" s="11" t="s">
        <v>2269</v>
      </c>
      <c r="H189" s="11" t="s">
        <v>82</v>
      </c>
      <c r="J189" s="11" t="s">
        <v>246</v>
      </c>
      <c r="K189" s="11" t="s">
        <v>2270</v>
      </c>
      <c r="L189" s="11" t="s">
        <v>82</v>
      </c>
      <c r="N189" s="11" t="s">
        <v>82</v>
      </c>
      <c r="O189" s="11" t="s">
        <v>82</v>
      </c>
    </row>
    <row r="190" spans="1:15" x14ac:dyDescent="0.2">
      <c r="A190" s="11">
        <v>189</v>
      </c>
      <c r="B190" s="11" t="s">
        <v>99</v>
      </c>
      <c r="C190" s="11" t="s">
        <v>80</v>
      </c>
      <c r="D190" s="11" t="s">
        <v>99</v>
      </c>
      <c r="H190" s="11" t="s">
        <v>84</v>
      </c>
      <c r="I190" s="66" t="s">
        <v>2271</v>
      </c>
      <c r="L190" s="11" t="s">
        <v>82</v>
      </c>
      <c r="N190" s="11" t="s">
        <v>84</v>
      </c>
      <c r="O190" s="11" t="s">
        <v>82</v>
      </c>
    </row>
    <row r="191" spans="1:15" ht="51" x14ac:dyDescent="0.2">
      <c r="A191" s="11">
        <v>190</v>
      </c>
      <c r="B191" s="11" t="s">
        <v>99</v>
      </c>
      <c r="C191" s="11" t="s">
        <v>80</v>
      </c>
      <c r="D191" s="11" t="s">
        <v>99</v>
      </c>
      <c r="H191" s="11" t="s">
        <v>82</v>
      </c>
      <c r="J191" s="11" t="s">
        <v>81</v>
      </c>
      <c r="L191" s="11" t="s">
        <v>84</v>
      </c>
      <c r="M191" s="11" t="s">
        <v>2273</v>
      </c>
      <c r="N191" s="11" t="s">
        <v>84</v>
      </c>
      <c r="O191" s="11" t="s">
        <v>84</v>
      </c>
    </row>
    <row r="192" spans="1:15" x14ac:dyDescent="0.2">
      <c r="A192" s="11">
        <v>191</v>
      </c>
      <c r="B192" s="11" t="s">
        <v>99</v>
      </c>
      <c r="C192" s="11" t="s">
        <v>80</v>
      </c>
      <c r="D192" s="11" t="s">
        <v>99</v>
      </c>
      <c r="H192" s="11" t="s">
        <v>82</v>
      </c>
      <c r="J192" s="11" t="s">
        <v>81</v>
      </c>
      <c r="L192" s="11" t="s">
        <v>82</v>
      </c>
      <c r="N192" s="11" t="s">
        <v>84</v>
      </c>
      <c r="O192" s="11" t="s">
        <v>82</v>
      </c>
    </row>
    <row r="193" spans="1:15" x14ac:dyDescent="0.2">
      <c r="A193" s="11">
        <v>192</v>
      </c>
      <c r="B193" s="11" t="s">
        <v>99</v>
      </c>
      <c r="C193" s="11" t="s">
        <v>80</v>
      </c>
      <c r="D193" s="11" t="s">
        <v>99</v>
      </c>
      <c r="H193" s="11" t="s">
        <v>82</v>
      </c>
      <c r="J193" s="11" t="s">
        <v>81</v>
      </c>
      <c r="L193" s="11" t="s">
        <v>82</v>
      </c>
      <c r="N193" s="11" t="s">
        <v>84</v>
      </c>
      <c r="O193" s="11" t="s">
        <v>84</v>
      </c>
    </row>
    <row r="194" spans="1:15" ht="89.25" x14ac:dyDescent="0.2">
      <c r="A194" s="11">
        <v>193</v>
      </c>
      <c r="B194" s="11" t="s">
        <v>118</v>
      </c>
      <c r="C194" s="11" t="s">
        <v>84</v>
      </c>
      <c r="D194" s="11" t="s">
        <v>1312</v>
      </c>
      <c r="E194" s="11" t="s">
        <v>4148</v>
      </c>
      <c r="F194" s="11" t="s">
        <v>81</v>
      </c>
      <c r="G194" s="11" t="s">
        <v>2275</v>
      </c>
      <c r="H194" s="11" t="s">
        <v>84</v>
      </c>
      <c r="I194" s="11" t="s">
        <v>3557</v>
      </c>
      <c r="L194" s="11" t="s">
        <v>82</v>
      </c>
      <c r="N194" s="11" t="s">
        <v>84</v>
      </c>
      <c r="O194" s="11" t="s">
        <v>84</v>
      </c>
    </row>
    <row r="195" spans="1:15" ht="25.5" x14ac:dyDescent="0.2">
      <c r="A195" s="11">
        <v>194</v>
      </c>
      <c r="B195" s="11" t="s">
        <v>99</v>
      </c>
      <c r="C195" s="11" t="s">
        <v>80</v>
      </c>
      <c r="D195" s="11" t="s">
        <v>1312</v>
      </c>
      <c r="F195" s="11" t="s">
        <v>246</v>
      </c>
      <c r="H195" s="11" t="s">
        <v>82</v>
      </c>
      <c r="J195" s="11" t="s">
        <v>81</v>
      </c>
      <c r="L195" s="11" t="s">
        <v>82</v>
      </c>
      <c r="N195" s="11" t="s">
        <v>84</v>
      </c>
      <c r="O195" s="11" t="s">
        <v>84</v>
      </c>
    </row>
    <row r="196" spans="1:15" ht="102" x14ac:dyDescent="0.2">
      <c r="A196" s="11">
        <v>195</v>
      </c>
      <c r="B196" s="11" t="s">
        <v>99</v>
      </c>
      <c r="C196" s="11" t="s">
        <v>80</v>
      </c>
      <c r="D196" s="11" t="s">
        <v>99</v>
      </c>
      <c r="H196" s="11" t="s">
        <v>82</v>
      </c>
      <c r="J196" s="11" t="s">
        <v>81</v>
      </c>
      <c r="L196" s="11" t="s">
        <v>84</v>
      </c>
      <c r="M196" s="11" t="s">
        <v>2497</v>
      </c>
      <c r="N196" s="11" t="s">
        <v>84</v>
      </c>
      <c r="O196" s="11" t="s">
        <v>84</v>
      </c>
    </row>
    <row r="197" spans="1:15" ht="51" x14ac:dyDescent="0.2">
      <c r="A197" s="11">
        <v>196</v>
      </c>
      <c r="B197" s="11" t="s">
        <v>99</v>
      </c>
      <c r="C197" s="11" t="s">
        <v>80</v>
      </c>
      <c r="D197" s="11" t="s">
        <v>99</v>
      </c>
      <c r="E197" s="11" t="s">
        <v>2508</v>
      </c>
      <c r="H197" s="11" t="s">
        <v>84</v>
      </c>
      <c r="L197" s="11" t="s">
        <v>84</v>
      </c>
      <c r="M197" s="11" t="s">
        <v>4149</v>
      </c>
      <c r="N197" s="11" t="s">
        <v>84</v>
      </c>
      <c r="O197" s="11" t="s">
        <v>84</v>
      </c>
    </row>
    <row r="198" spans="1:15" ht="25.5" x14ac:dyDescent="0.2">
      <c r="A198" s="11">
        <v>197</v>
      </c>
      <c r="B198" s="33" t="s">
        <v>118</v>
      </c>
      <c r="C198" s="33" t="s">
        <v>84</v>
      </c>
      <c r="D198" s="33" t="s">
        <v>1312</v>
      </c>
      <c r="E198" s="33"/>
      <c r="F198" s="33" t="s">
        <v>81</v>
      </c>
      <c r="G198" s="33"/>
      <c r="H198" s="33" t="s">
        <v>82</v>
      </c>
      <c r="I198" s="33"/>
      <c r="J198" s="33" t="s">
        <v>81</v>
      </c>
      <c r="K198" s="33"/>
      <c r="L198" s="33" t="s">
        <v>82</v>
      </c>
      <c r="M198" s="33"/>
      <c r="N198" s="33" t="s">
        <v>84</v>
      </c>
      <c r="O198" s="33" t="s">
        <v>84</v>
      </c>
    </row>
    <row r="199" spans="1:15" x14ac:dyDescent="0.2">
      <c r="A199" s="11">
        <v>198</v>
      </c>
      <c r="B199" s="33"/>
      <c r="C199" s="33" t="s">
        <v>80</v>
      </c>
      <c r="D199" s="33"/>
      <c r="E199" s="33"/>
      <c r="F199" s="33"/>
      <c r="G199" s="33"/>
      <c r="H199" s="33" t="s">
        <v>80</v>
      </c>
      <c r="I199" s="33"/>
      <c r="J199" s="33"/>
      <c r="K199" s="33"/>
      <c r="L199" s="33" t="s">
        <v>80</v>
      </c>
      <c r="M199" s="33"/>
      <c r="N199" s="33" t="s">
        <v>80</v>
      </c>
      <c r="O199" s="33" t="s">
        <v>80</v>
      </c>
    </row>
    <row r="200" spans="1:15" x14ac:dyDescent="0.2">
      <c r="A200" s="11">
        <v>199</v>
      </c>
      <c r="B200" s="11" t="s">
        <v>99</v>
      </c>
      <c r="C200" s="11" t="s">
        <v>80</v>
      </c>
      <c r="D200" s="11" t="s">
        <v>99</v>
      </c>
      <c r="H200" s="11" t="s">
        <v>84</v>
      </c>
      <c r="L200" s="11" t="s">
        <v>84</v>
      </c>
      <c r="N200" s="11" t="s">
        <v>84</v>
      </c>
      <c r="O200" s="11" t="s">
        <v>84</v>
      </c>
    </row>
    <row r="201" spans="1:15" ht="63.75" x14ac:dyDescent="0.2">
      <c r="A201" s="11">
        <v>200</v>
      </c>
      <c r="B201" s="11" t="s">
        <v>99</v>
      </c>
      <c r="C201" s="11" t="s">
        <v>80</v>
      </c>
      <c r="D201" s="11" t="s">
        <v>1312</v>
      </c>
      <c r="F201" s="11" t="s">
        <v>81</v>
      </c>
      <c r="G201" s="11" t="s">
        <v>2532</v>
      </c>
      <c r="H201" s="11" t="s">
        <v>82</v>
      </c>
      <c r="J201" s="11" t="s">
        <v>81</v>
      </c>
      <c r="K201" s="64" t="s">
        <v>3553</v>
      </c>
      <c r="L201" s="11" t="s">
        <v>82</v>
      </c>
      <c r="N201" s="11" t="s">
        <v>84</v>
      </c>
      <c r="O201" s="11" t="s">
        <v>82</v>
      </c>
    </row>
    <row r="202" spans="1:15" x14ac:dyDescent="0.2">
      <c r="A202" s="11">
        <v>201</v>
      </c>
      <c r="B202" s="11" t="s">
        <v>118</v>
      </c>
      <c r="C202" s="11" t="s">
        <v>84</v>
      </c>
      <c r="D202" s="11" t="s">
        <v>97</v>
      </c>
      <c r="F202" s="11" t="s">
        <v>246</v>
      </c>
      <c r="H202" s="11" t="s">
        <v>82</v>
      </c>
      <c r="J202" s="11" t="s">
        <v>246</v>
      </c>
      <c r="L202" s="11" t="s">
        <v>82</v>
      </c>
      <c r="N202" s="11" t="s">
        <v>84</v>
      </c>
      <c r="O202" s="11" t="s">
        <v>84</v>
      </c>
    </row>
    <row r="203" spans="1:15" ht="25.5" x14ac:dyDescent="0.2">
      <c r="A203" s="11">
        <v>202</v>
      </c>
      <c r="B203" s="11" t="s">
        <v>118</v>
      </c>
      <c r="C203" s="11" t="s">
        <v>84</v>
      </c>
      <c r="D203" s="11" t="s">
        <v>1312</v>
      </c>
      <c r="F203" s="11" t="s">
        <v>81</v>
      </c>
      <c r="H203" s="11" t="s">
        <v>84</v>
      </c>
      <c r="I203" s="11" t="s">
        <v>3558</v>
      </c>
      <c r="L203" s="11" t="s">
        <v>82</v>
      </c>
      <c r="N203" s="11" t="s">
        <v>84</v>
      </c>
      <c r="O203" s="11" t="s">
        <v>84</v>
      </c>
    </row>
    <row r="204" spans="1:15" x14ac:dyDescent="0.2">
      <c r="A204" s="11">
        <v>203</v>
      </c>
      <c r="B204" s="11" t="s">
        <v>97</v>
      </c>
      <c r="C204" s="11" t="s">
        <v>82</v>
      </c>
      <c r="D204" s="11" t="s">
        <v>97</v>
      </c>
      <c r="F204" s="11" t="s">
        <v>246</v>
      </c>
      <c r="H204" s="11" t="s">
        <v>82</v>
      </c>
      <c r="J204" s="11" t="s">
        <v>81</v>
      </c>
      <c r="K204" s="11" t="s">
        <v>2557</v>
      </c>
      <c r="L204" s="11" t="s">
        <v>82</v>
      </c>
      <c r="N204" s="11" t="s">
        <v>84</v>
      </c>
      <c r="O204" s="11" t="s">
        <v>84</v>
      </c>
    </row>
    <row r="205" spans="1:15" x14ac:dyDescent="0.2">
      <c r="A205" s="11">
        <v>204</v>
      </c>
      <c r="B205" s="11" t="s">
        <v>97</v>
      </c>
      <c r="C205" s="11" t="s">
        <v>84</v>
      </c>
      <c r="D205" s="11" t="s">
        <v>97</v>
      </c>
      <c r="F205" s="11" t="s">
        <v>246</v>
      </c>
      <c r="H205" s="11" t="s">
        <v>82</v>
      </c>
      <c r="J205" s="11" t="s">
        <v>246</v>
      </c>
      <c r="L205" s="11" t="s">
        <v>82</v>
      </c>
      <c r="N205" s="11" t="s">
        <v>84</v>
      </c>
      <c r="O205" s="11" t="s">
        <v>82</v>
      </c>
    </row>
    <row r="206" spans="1:15" x14ac:dyDescent="0.2">
      <c r="A206" s="11">
        <v>205</v>
      </c>
      <c r="B206" s="11" t="s">
        <v>118</v>
      </c>
      <c r="C206" s="11" t="s">
        <v>84</v>
      </c>
      <c r="D206" s="11" t="s">
        <v>97</v>
      </c>
      <c r="F206" s="11" t="s">
        <v>246</v>
      </c>
      <c r="H206" s="11" t="s">
        <v>82</v>
      </c>
      <c r="J206" s="11" t="s">
        <v>81</v>
      </c>
      <c r="L206" s="11" t="s">
        <v>82</v>
      </c>
      <c r="N206" s="11" t="s">
        <v>84</v>
      </c>
      <c r="O206" s="11" t="s">
        <v>84</v>
      </c>
    </row>
    <row r="207" spans="1:15" x14ac:dyDescent="0.2">
      <c r="A207" s="11">
        <v>206</v>
      </c>
      <c r="B207" s="33" t="s">
        <v>99</v>
      </c>
      <c r="C207" s="33" t="s">
        <v>80</v>
      </c>
      <c r="D207" s="33" t="s">
        <v>99</v>
      </c>
      <c r="E207" s="33"/>
      <c r="F207" s="33"/>
      <c r="G207" s="33"/>
      <c r="H207" s="33" t="s">
        <v>84</v>
      </c>
      <c r="I207" s="52" t="s">
        <v>3559</v>
      </c>
      <c r="J207" s="33"/>
      <c r="K207" s="33"/>
      <c r="L207" s="33" t="s">
        <v>84</v>
      </c>
      <c r="M207" s="33" t="s">
        <v>2565</v>
      </c>
      <c r="N207" s="33" t="s">
        <v>84</v>
      </c>
      <c r="O207" s="33" t="s">
        <v>84</v>
      </c>
    </row>
    <row r="208" spans="1:15" ht="25.5" x14ac:dyDescent="0.2">
      <c r="A208" s="11">
        <v>207</v>
      </c>
      <c r="B208" s="11" t="s">
        <v>99</v>
      </c>
      <c r="C208" s="11" t="s">
        <v>80</v>
      </c>
      <c r="D208" s="11" t="s">
        <v>1312</v>
      </c>
      <c r="F208" s="11" t="s">
        <v>81</v>
      </c>
      <c r="H208" s="11" t="s">
        <v>82</v>
      </c>
      <c r="J208" s="11" t="s">
        <v>81</v>
      </c>
      <c r="L208" s="11" t="s">
        <v>84</v>
      </c>
      <c r="N208" s="11" t="s">
        <v>84</v>
      </c>
      <c r="O208" s="11" t="s">
        <v>82</v>
      </c>
    </row>
    <row r="209" spans="1:15" ht="51" x14ac:dyDescent="0.2">
      <c r="A209" s="11">
        <v>208</v>
      </c>
      <c r="B209" s="11" t="s">
        <v>118</v>
      </c>
      <c r="C209" s="11" t="s">
        <v>82</v>
      </c>
      <c r="H209" s="11" t="s">
        <v>82</v>
      </c>
      <c r="J209" s="11" t="s">
        <v>246</v>
      </c>
      <c r="K209" s="11" t="s">
        <v>2568</v>
      </c>
      <c r="L209" s="11" t="s">
        <v>82</v>
      </c>
      <c r="N209" s="11" t="s">
        <v>84</v>
      </c>
      <c r="O209" s="11" t="s">
        <v>84</v>
      </c>
    </row>
    <row r="210" spans="1:15" ht="63.75" x14ac:dyDescent="0.2">
      <c r="A210" s="11">
        <v>209</v>
      </c>
      <c r="B210" s="11" t="s">
        <v>99</v>
      </c>
      <c r="C210" s="11" t="s">
        <v>80</v>
      </c>
      <c r="D210" s="11" t="s">
        <v>99</v>
      </c>
      <c r="H210" s="11" t="s">
        <v>84</v>
      </c>
      <c r="L210" s="11" t="s">
        <v>84</v>
      </c>
      <c r="M210" s="11" t="s">
        <v>3830</v>
      </c>
      <c r="N210" s="11" t="s">
        <v>84</v>
      </c>
      <c r="O210" s="11" t="s">
        <v>84</v>
      </c>
    </row>
    <row r="211" spans="1:15" ht="25.5" x14ac:dyDescent="0.2">
      <c r="A211" s="11">
        <v>210</v>
      </c>
      <c r="B211" s="11" t="s">
        <v>118</v>
      </c>
      <c r="C211" s="11" t="s">
        <v>84</v>
      </c>
      <c r="D211" s="11" t="s">
        <v>1312</v>
      </c>
      <c r="F211" s="11" t="s">
        <v>246</v>
      </c>
      <c r="H211" s="11" t="s">
        <v>82</v>
      </c>
      <c r="J211" s="11" t="s">
        <v>81</v>
      </c>
      <c r="L211" s="11" t="s">
        <v>82</v>
      </c>
      <c r="N211" s="11" t="s">
        <v>84</v>
      </c>
      <c r="O211" s="11" t="s">
        <v>84</v>
      </c>
    </row>
    <row r="212" spans="1:15" ht="165.75" x14ac:dyDescent="0.2">
      <c r="A212" s="11">
        <v>211</v>
      </c>
      <c r="B212" s="11" t="s">
        <v>118</v>
      </c>
      <c r="C212" s="11" t="s">
        <v>84</v>
      </c>
      <c r="D212" s="11" t="s">
        <v>1312</v>
      </c>
      <c r="E212" s="11" t="s">
        <v>2604</v>
      </c>
      <c r="F212" s="11" t="s">
        <v>81</v>
      </c>
      <c r="G212" s="11" t="s">
        <v>2605</v>
      </c>
      <c r="H212" s="11" t="s">
        <v>84</v>
      </c>
      <c r="I212" s="11" t="s">
        <v>3560</v>
      </c>
      <c r="L212" s="11" t="s">
        <v>82</v>
      </c>
      <c r="N212" s="11" t="s">
        <v>84</v>
      </c>
      <c r="O212" s="11" t="s">
        <v>84</v>
      </c>
    </row>
    <row r="213" spans="1:15" x14ac:dyDescent="0.2">
      <c r="A213" s="11">
        <v>212</v>
      </c>
      <c r="B213" s="11" t="s">
        <v>97</v>
      </c>
      <c r="C213" s="11" t="s">
        <v>84</v>
      </c>
      <c r="D213" s="11" t="s">
        <v>97</v>
      </c>
      <c r="E213" s="11" t="s">
        <v>2620</v>
      </c>
      <c r="F213" s="11" t="s">
        <v>81</v>
      </c>
      <c r="G213" s="11" t="s">
        <v>2621</v>
      </c>
      <c r="H213" s="11" t="s">
        <v>84</v>
      </c>
      <c r="I213" s="11" t="s">
        <v>2622</v>
      </c>
      <c r="L213" s="11" t="s">
        <v>82</v>
      </c>
      <c r="N213" s="11" t="s">
        <v>84</v>
      </c>
      <c r="O213" s="11" t="s">
        <v>84</v>
      </c>
    </row>
    <row r="214" spans="1:15" x14ac:dyDescent="0.2">
      <c r="A214" s="11">
        <v>213</v>
      </c>
      <c r="B214" s="11" t="s">
        <v>118</v>
      </c>
      <c r="C214" s="11" t="s">
        <v>84</v>
      </c>
      <c r="D214" s="11" t="s">
        <v>97</v>
      </c>
      <c r="F214" s="11" t="s">
        <v>246</v>
      </c>
      <c r="H214" s="11" t="s">
        <v>82</v>
      </c>
      <c r="J214" s="11" t="s">
        <v>246</v>
      </c>
      <c r="L214" s="11" t="s">
        <v>84</v>
      </c>
      <c r="M214" s="11" t="s">
        <v>3831</v>
      </c>
      <c r="N214" s="11" t="s">
        <v>84</v>
      </c>
      <c r="O214" s="11" t="s">
        <v>84</v>
      </c>
    </row>
    <row r="215" spans="1:15" x14ac:dyDescent="0.2">
      <c r="A215" s="11">
        <v>214</v>
      </c>
      <c r="B215" s="11" t="s">
        <v>97</v>
      </c>
      <c r="C215" s="11" t="s">
        <v>84</v>
      </c>
      <c r="D215" s="11" t="s">
        <v>97</v>
      </c>
      <c r="F215" s="11" t="s">
        <v>246</v>
      </c>
      <c r="H215" s="11" t="s">
        <v>82</v>
      </c>
      <c r="J215" s="11" t="s">
        <v>81</v>
      </c>
      <c r="L215" s="11" t="s">
        <v>82</v>
      </c>
      <c r="N215" s="11" t="s">
        <v>82</v>
      </c>
      <c r="O215" s="11" t="s">
        <v>82</v>
      </c>
    </row>
    <row r="216" spans="1:15" x14ac:dyDescent="0.2">
      <c r="A216" s="11">
        <v>215</v>
      </c>
      <c r="B216" s="33"/>
      <c r="C216" s="33" t="s">
        <v>80</v>
      </c>
      <c r="D216" s="33"/>
      <c r="E216" s="33"/>
      <c r="F216" s="33"/>
      <c r="G216" s="33"/>
      <c r="H216" s="33" t="s">
        <v>80</v>
      </c>
      <c r="I216" s="33"/>
      <c r="J216" s="33"/>
      <c r="K216" s="33"/>
      <c r="L216" s="33" t="s">
        <v>80</v>
      </c>
      <c r="M216" s="33"/>
      <c r="N216" s="33" t="s">
        <v>80</v>
      </c>
      <c r="O216" s="33" t="s">
        <v>80</v>
      </c>
    </row>
    <row r="217" spans="1:15" ht="114.75" x14ac:dyDescent="0.2">
      <c r="A217" s="11">
        <v>216</v>
      </c>
      <c r="B217" s="11" t="s">
        <v>99</v>
      </c>
      <c r="C217" s="11" t="s">
        <v>80</v>
      </c>
      <c r="D217" s="11" t="s">
        <v>702</v>
      </c>
      <c r="E217" s="11" t="s">
        <v>2647</v>
      </c>
      <c r="H217" s="11" t="s">
        <v>82</v>
      </c>
      <c r="J217" s="11" t="s">
        <v>246</v>
      </c>
      <c r="L217" s="11" t="s">
        <v>84</v>
      </c>
      <c r="M217" s="11" t="s">
        <v>3832</v>
      </c>
      <c r="N217" s="11" t="s">
        <v>84</v>
      </c>
      <c r="O217" s="11" t="s">
        <v>84</v>
      </c>
    </row>
    <row r="218" spans="1:15" x14ac:dyDescent="0.2">
      <c r="A218" s="11">
        <v>217</v>
      </c>
      <c r="B218" s="11" t="s">
        <v>97</v>
      </c>
      <c r="C218" s="11" t="s">
        <v>84</v>
      </c>
      <c r="D218" s="11" t="s">
        <v>97</v>
      </c>
      <c r="F218" s="11" t="s">
        <v>246</v>
      </c>
      <c r="H218" s="11" t="s">
        <v>84</v>
      </c>
      <c r="L218" s="11" t="s">
        <v>84</v>
      </c>
      <c r="N218" s="11" t="s">
        <v>84</v>
      </c>
      <c r="O218" s="11" t="s">
        <v>84</v>
      </c>
    </row>
    <row r="219" spans="1:15" ht="25.5" x14ac:dyDescent="0.2">
      <c r="A219" s="11">
        <v>218</v>
      </c>
      <c r="B219" s="11" t="s">
        <v>118</v>
      </c>
      <c r="C219" s="11" t="s">
        <v>84</v>
      </c>
      <c r="D219" s="11" t="s">
        <v>1312</v>
      </c>
      <c r="F219" s="11" t="s">
        <v>246</v>
      </c>
      <c r="H219" s="11" t="s">
        <v>82</v>
      </c>
      <c r="J219" s="11" t="s">
        <v>81</v>
      </c>
      <c r="L219" s="11" t="s">
        <v>82</v>
      </c>
      <c r="N219" s="11" t="s">
        <v>82</v>
      </c>
      <c r="O219" s="11" t="s">
        <v>82</v>
      </c>
    </row>
    <row r="220" spans="1:15" x14ac:dyDescent="0.2">
      <c r="A220" s="11">
        <v>219</v>
      </c>
      <c r="B220" s="11" t="s">
        <v>99</v>
      </c>
      <c r="C220" s="11" t="s">
        <v>80</v>
      </c>
      <c r="D220" s="11" t="s">
        <v>99</v>
      </c>
      <c r="H220" s="11" t="s">
        <v>82</v>
      </c>
      <c r="J220" s="11" t="s">
        <v>81</v>
      </c>
      <c r="L220" s="11" t="s">
        <v>82</v>
      </c>
      <c r="N220" s="11" t="s">
        <v>84</v>
      </c>
      <c r="O220" s="11" t="s">
        <v>84</v>
      </c>
    </row>
    <row r="221" spans="1:15" x14ac:dyDescent="0.2">
      <c r="A221" s="11">
        <v>220</v>
      </c>
      <c r="B221" s="11" t="s">
        <v>99</v>
      </c>
      <c r="C221" s="11" t="s">
        <v>80</v>
      </c>
      <c r="D221" s="11" t="s">
        <v>99</v>
      </c>
      <c r="H221" s="11" t="s">
        <v>82</v>
      </c>
      <c r="J221" s="11" t="s">
        <v>81</v>
      </c>
      <c r="L221" s="11" t="s">
        <v>82</v>
      </c>
      <c r="N221" s="11" t="s">
        <v>84</v>
      </c>
      <c r="O221" s="11" t="s">
        <v>84</v>
      </c>
    </row>
    <row r="222" spans="1:15" x14ac:dyDescent="0.2">
      <c r="A222" s="11">
        <v>221</v>
      </c>
      <c r="B222" s="11" t="s">
        <v>97</v>
      </c>
      <c r="C222" s="11" t="s">
        <v>84</v>
      </c>
      <c r="D222" s="11" t="s">
        <v>97</v>
      </c>
      <c r="F222" s="11" t="s">
        <v>246</v>
      </c>
      <c r="H222" s="11" t="s">
        <v>82</v>
      </c>
      <c r="J222" s="11" t="s">
        <v>246</v>
      </c>
      <c r="L222" s="11" t="s">
        <v>84</v>
      </c>
      <c r="N222" s="11" t="s">
        <v>84</v>
      </c>
      <c r="O222" s="11" t="s">
        <v>82</v>
      </c>
    </row>
    <row r="223" spans="1:15" ht="63.75" x14ac:dyDescent="0.2">
      <c r="A223" s="11">
        <v>222</v>
      </c>
      <c r="B223" s="11" t="s">
        <v>97</v>
      </c>
      <c r="C223" s="11" t="s">
        <v>84</v>
      </c>
      <c r="D223" s="11" t="s">
        <v>97</v>
      </c>
      <c r="E223" s="11" t="s">
        <v>2686</v>
      </c>
      <c r="F223" s="11" t="s">
        <v>81</v>
      </c>
      <c r="H223" s="11" t="s">
        <v>82</v>
      </c>
      <c r="J223" s="11" t="s">
        <v>81</v>
      </c>
      <c r="L223" s="11" t="s">
        <v>82</v>
      </c>
      <c r="N223" s="11" t="s">
        <v>82</v>
      </c>
      <c r="O223" s="11" t="s">
        <v>82</v>
      </c>
    </row>
    <row r="224" spans="1:15" ht="63.75" x14ac:dyDescent="0.2">
      <c r="A224" s="11">
        <v>223</v>
      </c>
      <c r="B224" s="33" t="s">
        <v>118</v>
      </c>
      <c r="C224" s="33" t="s">
        <v>84</v>
      </c>
      <c r="D224" s="33" t="s">
        <v>702</v>
      </c>
      <c r="E224" s="33" t="s">
        <v>4150</v>
      </c>
      <c r="F224" s="33"/>
      <c r="G224" s="33"/>
      <c r="H224" s="33" t="s">
        <v>84</v>
      </c>
      <c r="I224" s="33"/>
      <c r="J224" s="33"/>
      <c r="K224" s="33"/>
      <c r="L224" s="33" t="s">
        <v>84</v>
      </c>
      <c r="M224" s="33" t="s">
        <v>2694</v>
      </c>
      <c r="N224" s="33" t="s">
        <v>84</v>
      </c>
      <c r="O224" s="33" t="s">
        <v>84</v>
      </c>
    </row>
    <row r="225" spans="1:15" x14ac:dyDescent="0.2">
      <c r="A225" s="11">
        <v>224</v>
      </c>
      <c r="B225" s="11" t="s">
        <v>97</v>
      </c>
      <c r="C225" s="11" t="s">
        <v>82</v>
      </c>
      <c r="H225" s="11" t="s">
        <v>82</v>
      </c>
      <c r="J225" s="11" t="s">
        <v>246</v>
      </c>
      <c r="L225" s="11" t="s">
        <v>82</v>
      </c>
      <c r="N225" s="11" t="s">
        <v>82</v>
      </c>
      <c r="O225" s="11" t="s">
        <v>82</v>
      </c>
    </row>
    <row r="226" spans="1:15" ht="51" x14ac:dyDescent="0.2">
      <c r="A226" s="11">
        <v>225</v>
      </c>
      <c r="B226" s="11" t="s">
        <v>99</v>
      </c>
      <c r="C226" s="11" t="s">
        <v>80</v>
      </c>
      <c r="D226" s="11" t="s">
        <v>1312</v>
      </c>
      <c r="E226" s="11" t="s">
        <v>2712</v>
      </c>
      <c r="F226" s="11" t="s">
        <v>81</v>
      </c>
      <c r="G226" s="11" t="s">
        <v>2713</v>
      </c>
      <c r="H226" s="11" t="s">
        <v>84</v>
      </c>
      <c r="I226" s="11" t="s">
        <v>3561</v>
      </c>
      <c r="L226" s="11" t="s">
        <v>82</v>
      </c>
      <c r="N226" s="11" t="s">
        <v>84</v>
      </c>
      <c r="O226" s="11" t="s">
        <v>84</v>
      </c>
    </row>
    <row r="227" spans="1:15" ht="38.25" x14ac:dyDescent="0.2">
      <c r="A227" s="11">
        <v>226</v>
      </c>
      <c r="B227" s="11" t="s">
        <v>118</v>
      </c>
      <c r="C227" s="11" t="s">
        <v>84</v>
      </c>
      <c r="D227" s="11" t="s">
        <v>1312</v>
      </c>
      <c r="F227" s="11" t="s">
        <v>81</v>
      </c>
      <c r="H227" s="11" t="s">
        <v>82</v>
      </c>
      <c r="J227" s="11" t="s">
        <v>81</v>
      </c>
      <c r="K227" s="11" t="s">
        <v>2722</v>
      </c>
      <c r="L227" s="11" t="s">
        <v>84</v>
      </c>
      <c r="M227" s="11" t="s">
        <v>3833</v>
      </c>
      <c r="N227" s="11" t="s">
        <v>84</v>
      </c>
      <c r="O227" s="11" t="s">
        <v>84</v>
      </c>
    </row>
    <row r="228" spans="1:15" ht="25.5" x14ac:dyDescent="0.2">
      <c r="A228" s="11">
        <v>227</v>
      </c>
      <c r="B228" s="11" t="s">
        <v>99</v>
      </c>
      <c r="C228" s="11" t="s">
        <v>80</v>
      </c>
      <c r="E228" s="11" t="s">
        <v>2731</v>
      </c>
      <c r="H228" s="11" t="s">
        <v>82</v>
      </c>
      <c r="J228" s="11" t="s">
        <v>246</v>
      </c>
      <c r="K228" s="11" t="s">
        <v>2732</v>
      </c>
      <c r="L228" s="11" t="s">
        <v>82</v>
      </c>
      <c r="N228" s="11" t="s">
        <v>84</v>
      </c>
      <c r="O228" s="11" t="s">
        <v>84</v>
      </c>
    </row>
    <row r="229" spans="1:15" x14ac:dyDescent="0.2">
      <c r="A229" s="11">
        <v>228</v>
      </c>
      <c r="B229" s="11" t="s">
        <v>118</v>
      </c>
      <c r="C229" s="11" t="s">
        <v>84</v>
      </c>
      <c r="D229" s="11" t="s">
        <v>97</v>
      </c>
      <c r="F229" s="11" t="s">
        <v>246</v>
      </c>
      <c r="H229" s="11" t="s">
        <v>84</v>
      </c>
      <c r="L229" s="11" t="s">
        <v>84</v>
      </c>
      <c r="N229" s="11" t="s">
        <v>84</v>
      </c>
      <c r="O229" s="11" t="s">
        <v>84</v>
      </c>
    </row>
    <row r="230" spans="1:15" x14ac:dyDescent="0.2">
      <c r="A230" s="11">
        <v>229</v>
      </c>
      <c r="B230" s="11" t="s">
        <v>118</v>
      </c>
      <c r="C230" s="11" t="s">
        <v>82</v>
      </c>
      <c r="D230" s="11" t="s">
        <v>97</v>
      </c>
      <c r="F230" s="11" t="s">
        <v>246</v>
      </c>
      <c r="H230" s="11" t="s">
        <v>82</v>
      </c>
      <c r="J230" s="11" t="s">
        <v>81</v>
      </c>
      <c r="L230" s="11" t="s">
        <v>82</v>
      </c>
      <c r="N230" s="11" t="s">
        <v>84</v>
      </c>
      <c r="O230" s="11" t="s">
        <v>82</v>
      </c>
    </row>
    <row r="231" spans="1:15" ht="25.5" x14ac:dyDescent="0.2">
      <c r="A231" s="11">
        <v>230</v>
      </c>
      <c r="B231" s="11" t="s">
        <v>118</v>
      </c>
      <c r="C231" s="11" t="s">
        <v>84</v>
      </c>
      <c r="D231" s="11" t="s">
        <v>1312</v>
      </c>
      <c r="F231" s="11" t="s">
        <v>81</v>
      </c>
      <c r="H231" s="11" t="s">
        <v>82</v>
      </c>
      <c r="J231" s="11" t="s">
        <v>81</v>
      </c>
      <c r="L231" s="11" t="s">
        <v>84</v>
      </c>
      <c r="M231" s="11" t="s">
        <v>2744</v>
      </c>
      <c r="N231" s="11" t="s">
        <v>84</v>
      </c>
      <c r="O231" s="11" t="s">
        <v>82</v>
      </c>
    </row>
    <row r="232" spans="1:15" ht="191.25" x14ac:dyDescent="0.2">
      <c r="A232" s="11">
        <v>231</v>
      </c>
      <c r="B232" s="11" t="s">
        <v>97</v>
      </c>
      <c r="C232" s="11" t="s">
        <v>84</v>
      </c>
      <c r="D232" s="11" t="s">
        <v>97</v>
      </c>
      <c r="E232" s="11" t="s">
        <v>2756</v>
      </c>
      <c r="F232" s="11" t="s">
        <v>81</v>
      </c>
      <c r="G232" s="11" t="s">
        <v>2757</v>
      </c>
      <c r="H232" s="11" t="s">
        <v>84</v>
      </c>
      <c r="I232" s="11" t="s">
        <v>3562</v>
      </c>
      <c r="L232" s="11" t="s">
        <v>84</v>
      </c>
      <c r="M232" s="11" t="s">
        <v>2759</v>
      </c>
      <c r="N232" s="11" t="s">
        <v>84</v>
      </c>
      <c r="O232" s="11" t="s">
        <v>84</v>
      </c>
    </row>
    <row r="233" spans="1:15" ht="25.5" x14ac:dyDescent="0.2">
      <c r="A233" s="11">
        <v>232</v>
      </c>
      <c r="B233" s="11" t="s">
        <v>99</v>
      </c>
      <c r="C233" s="11" t="s">
        <v>80</v>
      </c>
      <c r="D233" s="11" t="s">
        <v>1312</v>
      </c>
      <c r="F233" s="11" t="s">
        <v>81</v>
      </c>
      <c r="H233" s="11" t="s">
        <v>84</v>
      </c>
      <c r="L233" s="11" t="s">
        <v>84</v>
      </c>
      <c r="N233" s="11" t="s">
        <v>84</v>
      </c>
      <c r="O233" s="11" t="s">
        <v>84</v>
      </c>
    </row>
    <row r="234" spans="1:15" ht="51" x14ac:dyDescent="0.2">
      <c r="A234" s="11">
        <v>233</v>
      </c>
      <c r="B234" s="11" t="s">
        <v>118</v>
      </c>
      <c r="C234" s="11" t="s">
        <v>84</v>
      </c>
      <c r="D234" s="11" t="s">
        <v>1312</v>
      </c>
      <c r="F234" s="11" t="s">
        <v>81</v>
      </c>
      <c r="H234" s="11" t="s">
        <v>84</v>
      </c>
      <c r="I234" s="11" t="s">
        <v>3563</v>
      </c>
      <c r="L234" s="11" t="s">
        <v>82</v>
      </c>
      <c r="N234" s="11" t="s">
        <v>84</v>
      </c>
      <c r="O234" s="11" t="s">
        <v>82</v>
      </c>
    </row>
    <row r="235" spans="1:15" ht="25.5" x14ac:dyDescent="0.2">
      <c r="A235" s="11">
        <v>234</v>
      </c>
      <c r="B235" s="11" t="s">
        <v>118</v>
      </c>
      <c r="C235" s="11" t="s">
        <v>84</v>
      </c>
      <c r="D235" s="11" t="s">
        <v>1312</v>
      </c>
      <c r="F235" s="11" t="s">
        <v>81</v>
      </c>
      <c r="H235" s="11" t="s">
        <v>84</v>
      </c>
      <c r="L235" s="11" t="s">
        <v>84</v>
      </c>
      <c r="N235" s="11" t="s">
        <v>84</v>
      </c>
      <c r="O235" s="11" t="s">
        <v>84</v>
      </c>
    </row>
    <row r="236" spans="1:15" ht="140.25" x14ac:dyDescent="0.2">
      <c r="A236" s="11">
        <v>235</v>
      </c>
      <c r="B236" s="11" t="s">
        <v>99</v>
      </c>
      <c r="C236" s="11" t="s">
        <v>80</v>
      </c>
      <c r="D236" s="11" t="s">
        <v>1312</v>
      </c>
      <c r="E236" s="11" t="s">
        <v>2787</v>
      </c>
      <c r="F236" s="11" t="s">
        <v>246</v>
      </c>
      <c r="G236" s="11" t="s">
        <v>2788</v>
      </c>
      <c r="H236" s="11" t="s">
        <v>84</v>
      </c>
      <c r="I236" s="11" t="s">
        <v>3564</v>
      </c>
      <c r="L236" s="11" t="s">
        <v>84</v>
      </c>
      <c r="M236" s="11" t="s">
        <v>2790</v>
      </c>
      <c r="N236" s="11" t="s">
        <v>84</v>
      </c>
      <c r="O236" s="11" t="s">
        <v>84</v>
      </c>
    </row>
    <row r="237" spans="1:15" ht="25.5" x14ac:dyDescent="0.2">
      <c r="A237" s="11">
        <v>236</v>
      </c>
      <c r="B237" s="11" t="s">
        <v>99</v>
      </c>
      <c r="C237" s="11" t="s">
        <v>80</v>
      </c>
      <c r="D237" s="11" t="s">
        <v>1312</v>
      </c>
      <c r="F237" s="11" t="s">
        <v>81</v>
      </c>
      <c r="H237" s="11" t="s">
        <v>84</v>
      </c>
      <c r="I237" s="7" t="s">
        <v>3565</v>
      </c>
      <c r="L237" s="11" t="s">
        <v>84</v>
      </c>
      <c r="M237" s="11" t="s">
        <v>2802</v>
      </c>
      <c r="N237" s="11" t="s">
        <v>84</v>
      </c>
      <c r="O237" s="11" t="s">
        <v>82</v>
      </c>
    </row>
    <row r="238" spans="1:15" ht="38.25" x14ac:dyDescent="0.2">
      <c r="A238" s="11">
        <v>237</v>
      </c>
      <c r="B238" s="11" t="s">
        <v>99</v>
      </c>
      <c r="C238" s="11" t="s">
        <v>80</v>
      </c>
      <c r="D238" s="11" t="s">
        <v>1312</v>
      </c>
      <c r="E238" s="11" t="s">
        <v>4151</v>
      </c>
      <c r="F238" s="11" t="s">
        <v>246</v>
      </c>
      <c r="H238" s="11" t="s">
        <v>84</v>
      </c>
      <c r="I238" s="11" t="s">
        <v>4152</v>
      </c>
      <c r="L238" s="11" t="s">
        <v>82</v>
      </c>
      <c r="N238" s="11" t="s">
        <v>84</v>
      </c>
      <c r="O238" s="11" t="s">
        <v>82</v>
      </c>
    </row>
    <row r="239" spans="1:15" x14ac:dyDescent="0.2">
      <c r="A239" s="11">
        <v>238</v>
      </c>
      <c r="B239" s="11" t="s">
        <v>97</v>
      </c>
      <c r="C239" s="11" t="s">
        <v>84</v>
      </c>
      <c r="D239" s="11" t="s">
        <v>97</v>
      </c>
      <c r="F239" s="11" t="s">
        <v>81</v>
      </c>
      <c r="H239" s="11" t="s">
        <v>82</v>
      </c>
      <c r="J239" s="11" t="s">
        <v>81</v>
      </c>
      <c r="L239" s="11" t="s">
        <v>82</v>
      </c>
      <c r="N239" s="11" t="s">
        <v>84</v>
      </c>
      <c r="O239" s="11" t="s">
        <v>82</v>
      </c>
    </row>
    <row r="240" spans="1:15" x14ac:dyDescent="0.2">
      <c r="A240" s="11">
        <v>239</v>
      </c>
      <c r="B240" s="11" t="s">
        <v>118</v>
      </c>
      <c r="C240" s="11" t="s">
        <v>84</v>
      </c>
      <c r="D240" s="11" t="s">
        <v>97</v>
      </c>
      <c r="F240" s="11" t="s">
        <v>246</v>
      </c>
      <c r="H240" s="11" t="s">
        <v>82</v>
      </c>
      <c r="J240" s="11" t="s">
        <v>81</v>
      </c>
      <c r="K240" s="11" t="s">
        <v>2837</v>
      </c>
      <c r="L240" s="11" t="s">
        <v>82</v>
      </c>
      <c r="N240" s="11" t="s">
        <v>84</v>
      </c>
      <c r="O240" s="11" t="s">
        <v>84</v>
      </c>
    </row>
    <row r="241" spans="1:15" x14ac:dyDescent="0.2">
      <c r="A241" s="11">
        <v>240</v>
      </c>
      <c r="B241" s="33"/>
      <c r="C241" s="33" t="s">
        <v>80</v>
      </c>
      <c r="D241" s="33"/>
      <c r="E241" s="33"/>
      <c r="F241" s="33"/>
      <c r="G241" s="33"/>
      <c r="H241" s="33" t="s">
        <v>80</v>
      </c>
      <c r="I241" s="33"/>
      <c r="J241" s="33"/>
      <c r="K241" s="33"/>
      <c r="L241" s="33" t="s">
        <v>80</v>
      </c>
      <c r="M241" s="33"/>
      <c r="N241" s="33" t="s">
        <v>80</v>
      </c>
      <c r="O241" s="33" t="s">
        <v>80</v>
      </c>
    </row>
    <row r="242" spans="1:15" ht="63.75" x14ac:dyDescent="0.2">
      <c r="A242" s="11">
        <v>241</v>
      </c>
      <c r="B242" s="11" t="s">
        <v>99</v>
      </c>
      <c r="C242" s="11" t="s">
        <v>80</v>
      </c>
      <c r="D242" s="11" t="s">
        <v>1312</v>
      </c>
      <c r="E242" s="11" t="s">
        <v>2864</v>
      </c>
      <c r="F242" s="11" t="s">
        <v>81</v>
      </c>
      <c r="G242" s="11" t="s">
        <v>4153</v>
      </c>
      <c r="H242" s="11" t="s">
        <v>84</v>
      </c>
      <c r="I242" s="7" t="s">
        <v>3566</v>
      </c>
      <c r="L242" s="11" t="s">
        <v>84</v>
      </c>
      <c r="M242" s="11" t="s">
        <v>2867</v>
      </c>
      <c r="N242" s="11" t="s">
        <v>84</v>
      </c>
      <c r="O242" s="11" t="s">
        <v>84</v>
      </c>
    </row>
    <row r="243" spans="1:15" ht="140.25" x14ac:dyDescent="0.2">
      <c r="A243" s="11">
        <v>242</v>
      </c>
      <c r="B243" s="11" t="s">
        <v>99</v>
      </c>
      <c r="C243" s="11" t="s">
        <v>80</v>
      </c>
      <c r="D243" s="11" t="s">
        <v>1312</v>
      </c>
      <c r="E243" s="11" t="s">
        <v>2882</v>
      </c>
      <c r="F243" s="11" t="s">
        <v>81</v>
      </c>
      <c r="G243" s="11" t="s">
        <v>2883</v>
      </c>
      <c r="H243" s="11" t="s">
        <v>82</v>
      </c>
      <c r="J243" s="11" t="s">
        <v>81</v>
      </c>
      <c r="K243" s="11" t="s">
        <v>2884</v>
      </c>
      <c r="L243" s="11" t="s">
        <v>84</v>
      </c>
      <c r="M243" s="11" t="s">
        <v>3834</v>
      </c>
      <c r="N243" s="11" t="s">
        <v>84</v>
      </c>
      <c r="O243" s="11" t="s">
        <v>84</v>
      </c>
    </row>
    <row r="244" spans="1:15" x14ac:dyDescent="0.2">
      <c r="A244" s="11">
        <v>243</v>
      </c>
      <c r="B244" s="11" t="s">
        <v>99</v>
      </c>
      <c r="C244" s="11" t="s">
        <v>80</v>
      </c>
      <c r="D244" s="11" t="s">
        <v>97</v>
      </c>
      <c r="F244" s="11" t="s">
        <v>246</v>
      </c>
      <c r="H244" s="11" t="s">
        <v>84</v>
      </c>
      <c r="L244" s="11" t="s">
        <v>82</v>
      </c>
      <c r="N244" s="11" t="s">
        <v>84</v>
      </c>
      <c r="O244" s="11" t="s">
        <v>84</v>
      </c>
    </row>
    <row r="245" spans="1:15" ht="178.5" x14ac:dyDescent="0.2">
      <c r="A245" s="11">
        <v>244</v>
      </c>
      <c r="B245" s="11" t="s">
        <v>99</v>
      </c>
      <c r="C245" s="11" t="s">
        <v>80</v>
      </c>
      <c r="D245" s="11" t="s">
        <v>1312</v>
      </c>
      <c r="E245" s="11" t="s">
        <v>2902</v>
      </c>
      <c r="F245" s="11" t="s">
        <v>81</v>
      </c>
      <c r="G245" s="11" t="s">
        <v>2903</v>
      </c>
      <c r="H245" s="11" t="s">
        <v>84</v>
      </c>
      <c r="I245" s="11" t="s">
        <v>4154</v>
      </c>
      <c r="L245" s="11" t="s">
        <v>84</v>
      </c>
      <c r="M245" s="11" t="s">
        <v>3835</v>
      </c>
      <c r="N245" s="11" t="s">
        <v>84</v>
      </c>
      <c r="O245" s="11" t="s">
        <v>82</v>
      </c>
    </row>
    <row r="246" spans="1:15" x14ac:dyDescent="0.2">
      <c r="A246" s="11">
        <v>245</v>
      </c>
      <c r="B246" s="11" t="s">
        <v>118</v>
      </c>
      <c r="C246" s="11" t="s">
        <v>82</v>
      </c>
      <c r="H246" s="11" t="s">
        <v>82</v>
      </c>
      <c r="J246" s="11" t="s">
        <v>81</v>
      </c>
      <c r="L246" s="11" t="s">
        <v>82</v>
      </c>
      <c r="N246" s="11" t="s">
        <v>84</v>
      </c>
      <c r="O246" s="11" t="s">
        <v>84</v>
      </c>
    </row>
    <row r="247" spans="1:15" x14ac:dyDescent="0.2">
      <c r="A247" s="11">
        <v>246</v>
      </c>
      <c r="B247" s="11" t="s">
        <v>97</v>
      </c>
      <c r="C247" s="11" t="s">
        <v>84</v>
      </c>
      <c r="D247" s="11" t="s">
        <v>97</v>
      </c>
      <c r="F247" s="11" t="s">
        <v>246</v>
      </c>
      <c r="H247" s="11" t="s">
        <v>82</v>
      </c>
      <c r="J247" s="11" t="s">
        <v>246</v>
      </c>
      <c r="L247" s="11" t="s">
        <v>84</v>
      </c>
      <c r="N247" s="11" t="s">
        <v>84</v>
      </c>
      <c r="O247" s="11" t="s">
        <v>84</v>
      </c>
    </row>
    <row r="248" spans="1:15" ht="25.5" x14ac:dyDescent="0.2">
      <c r="A248" s="11">
        <v>247</v>
      </c>
      <c r="B248" s="11" t="s">
        <v>118</v>
      </c>
      <c r="C248" s="11" t="s">
        <v>84</v>
      </c>
      <c r="D248" s="11" t="s">
        <v>1312</v>
      </c>
      <c r="F248" s="11" t="s">
        <v>246</v>
      </c>
      <c r="H248" s="11" t="s">
        <v>84</v>
      </c>
      <c r="I248" s="11" t="s">
        <v>3567</v>
      </c>
      <c r="L248" s="11" t="s">
        <v>82</v>
      </c>
      <c r="N248" s="11" t="s">
        <v>84</v>
      </c>
      <c r="O248" s="11" t="s">
        <v>84</v>
      </c>
    </row>
    <row r="249" spans="1:15" ht="25.5" x14ac:dyDescent="0.2">
      <c r="A249" s="11">
        <v>248</v>
      </c>
      <c r="B249" s="11" t="s">
        <v>97</v>
      </c>
      <c r="C249" s="11" t="s">
        <v>84</v>
      </c>
      <c r="D249" s="11" t="s">
        <v>1312</v>
      </c>
      <c r="F249" s="11" t="s">
        <v>81</v>
      </c>
      <c r="H249" s="11" t="s">
        <v>82</v>
      </c>
      <c r="J249" s="11" t="s">
        <v>246</v>
      </c>
      <c r="L249" s="11" t="s">
        <v>82</v>
      </c>
      <c r="N249" s="11" t="s">
        <v>84</v>
      </c>
      <c r="O249" s="11" t="s">
        <v>84</v>
      </c>
    </row>
    <row r="250" spans="1:15" x14ac:dyDescent="0.2">
      <c r="A250" s="11">
        <v>249</v>
      </c>
      <c r="B250" s="11" t="s">
        <v>97</v>
      </c>
      <c r="C250" s="11" t="s">
        <v>84</v>
      </c>
      <c r="D250" s="11" t="s">
        <v>99</v>
      </c>
      <c r="H250" s="11" t="s">
        <v>82</v>
      </c>
      <c r="J250" s="11" t="s">
        <v>81</v>
      </c>
      <c r="L250" s="11" t="s">
        <v>82</v>
      </c>
      <c r="N250" s="11" t="s">
        <v>84</v>
      </c>
      <c r="O250" s="11" t="s">
        <v>84</v>
      </c>
    </row>
    <row r="251" spans="1:15" x14ac:dyDescent="0.2">
      <c r="A251" s="11">
        <v>250</v>
      </c>
      <c r="B251" s="11" t="s">
        <v>99</v>
      </c>
      <c r="C251" s="11" t="s">
        <v>80</v>
      </c>
      <c r="D251" s="11" t="s">
        <v>99</v>
      </c>
      <c r="H251" s="11" t="s">
        <v>82</v>
      </c>
      <c r="J251" s="11" t="s">
        <v>246</v>
      </c>
      <c r="L251" s="11" t="s">
        <v>82</v>
      </c>
      <c r="N251" s="11" t="s">
        <v>84</v>
      </c>
      <c r="O251" s="11" t="s">
        <v>84</v>
      </c>
    </row>
    <row r="252" spans="1:15" x14ac:dyDescent="0.2">
      <c r="A252" s="11">
        <v>251</v>
      </c>
      <c r="B252" s="11" t="s">
        <v>97</v>
      </c>
      <c r="C252" s="11" t="s">
        <v>84</v>
      </c>
      <c r="D252" s="11" t="s">
        <v>97</v>
      </c>
      <c r="F252" s="11" t="s">
        <v>81</v>
      </c>
      <c r="H252" s="11" t="s">
        <v>82</v>
      </c>
      <c r="J252" s="11" t="s">
        <v>81</v>
      </c>
      <c r="L252" s="11" t="s">
        <v>82</v>
      </c>
      <c r="N252" s="11" t="s">
        <v>84</v>
      </c>
      <c r="O252" s="11" t="s">
        <v>84</v>
      </c>
    </row>
    <row r="253" spans="1:15" ht="127.5" x14ac:dyDescent="0.2">
      <c r="A253" s="11">
        <v>252</v>
      </c>
      <c r="B253" s="11" t="s">
        <v>97</v>
      </c>
      <c r="C253" s="11" t="s">
        <v>84</v>
      </c>
      <c r="D253" s="11" t="s">
        <v>1312</v>
      </c>
      <c r="E253" s="11" t="s">
        <v>2954</v>
      </c>
      <c r="F253" s="11" t="s">
        <v>246</v>
      </c>
      <c r="G253" s="11" t="s">
        <v>2955</v>
      </c>
      <c r="H253" s="11" t="s">
        <v>82</v>
      </c>
      <c r="J253" s="11" t="s">
        <v>81</v>
      </c>
      <c r="K253" s="11" t="s">
        <v>4155</v>
      </c>
      <c r="L253" s="11" t="s">
        <v>84</v>
      </c>
      <c r="M253" s="11" t="s">
        <v>4156</v>
      </c>
      <c r="N253" s="11" t="s">
        <v>84</v>
      </c>
      <c r="O253" s="11" t="s">
        <v>84</v>
      </c>
    </row>
    <row r="254" spans="1:15" ht="25.5" x14ac:dyDescent="0.2">
      <c r="A254" s="11">
        <v>253</v>
      </c>
      <c r="B254" s="11" t="s">
        <v>118</v>
      </c>
      <c r="C254" s="11" t="s">
        <v>84</v>
      </c>
      <c r="D254" s="11" t="s">
        <v>1312</v>
      </c>
      <c r="F254" s="11" t="s">
        <v>246</v>
      </c>
      <c r="H254" s="11" t="s">
        <v>82</v>
      </c>
      <c r="J254" s="11" t="s">
        <v>81</v>
      </c>
      <c r="L254" s="11" t="s">
        <v>84</v>
      </c>
      <c r="M254" s="11" t="s">
        <v>2967</v>
      </c>
      <c r="N254" s="11" t="s">
        <v>84</v>
      </c>
      <c r="O254" s="11" t="s">
        <v>82</v>
      </c>
    </row>
    <row r="255" spans="1:15" ht="38.25" x14ac:dyDescent="0.2">
      <c r="A255" s="11">
        <v>254</v>
      </c>
      <c r="B255" s="11" t="s">
        <v>99</v>
      </c>
      <c r="C255" s="11" t="s">
        <v>80</v>
      </c>
      <c r="D255" s="11" t="s">
        <v>99</v>
      </c>
      <c r="H255" s="11" t="s">
        <v>84</v>
      </c>
      <c r="I255" s="11" t="s">
        <v>4157</v>
      </c>
      <c r="L255" s="11" t="s">
        <v>82</v>
      </c>
      <c r="N255" s="11" t="s">
        <v>84</v>
      </c>
      <c r="O255" s="11" t="s">
        <v>84</v>
      </c>
    </row>
    <row r="256" spans="1:15" x14ac:dyDescent="0.2">
      <c r="A256" s="11">
        <v>255</v>
      </c>
      <c r="B256" s="33"/>
      <c r="C256" s="33" t="s">
        <v>80</v>
      </c>
      <c r="D256" s="33"/>
      <c r="E256" s="33"/>
      <c r="F256" s="33"/>
      <c r="G256" s="33"/>
      <c r="H256" s="33" t="s">
        <v>80</v>
      </c>
      <c r="I256" s="33"/>
      <c r="J256" s="33"/>
      <c r="K256" s="33"/>
      <c r="L256" s="33" t="s">
        <v>80</v>
      </c>
      <c r="M256" s="33"/>
      <c r="N256" s="33" t="s">
        <v>80</v>
      </c>
      <c r="O256" s="33" t="s">
        <v>80</v>
      </c>
    </row>
    <row r="257" spans="1:15" x14ac:dyDescent="0.2">
      <c r="A257" s="11">
        <v>256</v>
      </c>
      <c r="B257" s="33"/>
      <c r="C257" s="33" t="s">
        <v>80</v>
      </c>
      <c r="D257" s="33"/>
      <c r="E257" s="33"/>
      <c r="F257" s="33"/>
      <c r="G257" s="33"/>
      <c r="H257" s="33" t="s">
        <v>80</v>
      </c>
      <c r="I257" s="33"/>
      <c r="J257" s="33"/>
      <c r="K257" s="33"/>
      <c r="L257" s="33" t="s">
        <v>80</v>
      </c>
      <c r="M257" s="33"/>
      <c r="N257" s="33" t="s">
        <v>80</v>
      </c>
      <c r="O257" s="33" t="s">
        <v>80</v>
      </c>
    </row>
    <row r="258" spans="1:15" ht="25.5" x14ac:dyDescent="0.2">
      <c r="A258" s="11">
        <v>257</v>
      </c>
      <c r="B258" s="11" t="s">
        <v>118</v>
      </c>
      <c r="C258" s="11" t="s">
        <v>84</v>
      </c>
      <c r="D258" s="11" t="s">
        <v>1312</v>
      </c>
      <c r="F258" s="11" t="s">
        <v>81</v>
      </c>
      <c r="H258" s="11" t="s">
        <v>82</v>
      </c>
      <c r="J258" s="11" t="s">
        <v>81</v>
      </c>
      <c r="L258" s="11" t="s">
        <v>82</v>
      </c>
      <c r="N258" s="11" t="s">
        <v>84</v>
      </c>
      <c r="O258" s="11" t="s">
        <v>84</v>
      </c>
    </row>
    <row r="259" spans="1:15" x14ac:dyDescent="0.2">
      <c r="A259" s="11">
        <v>258</v>
      </c>
      <c r="B259" s="11" t="s">
        <v>97</v>
      </c>
      <c r="C259" s="11" t="s">
        <v>84</v>
      </c>
      <c r="D259" s="11" t="s">
        <v>97</v>
      </c>
      <c r="F259" s="11" t="s">
        <v>246</v>
      </c>
      <c r="H259" s="11" t="s">
        <v>82</v>
      </c>
      <c r="J259" s="11" t="s">
        <v>81</v>
      </c>
      <c r="L259" s="11" t="s">
        <v>82</v>
      </c>
      <c r="N259" s="11" t="s">
        <v>84</v>
      </c>
      <c r="O259" s="11" t="s">
        <v>84</v>
      </c>
    </row>
    <row r="260" spans="1:15" ht="127.5" x14ac:dyDescent="0.2">
      <c r="A260" s="11">
        <v>259</v>
      </c>
      <c r="B260" s="11" t="s">
        <v>118</v>
      </c>
      <c r="C260" s="11" t="s">
        <v>84</v>
      </c>
      <c r="D260" s="11" t="s">
        <v>1312</v>
      </c>
      <c r="E260" s="11" t="s">
        <v>3056</v>
      </c>
      <c r="F260" s="11" t="s">
        <v>81</v>
      </c>
      <c r="G260" s="11" t="s">
        <v>3057</v>
      </c>
      <c r="H260" s="11" t="s">
        <v>82</v>
      </c>
      <c r="J260" s="11" t="s">
        <v>81</v>
      </c>
      <c r="L260" s="11" t="s">
        <v>82</v>
      </c>
      <c r="N260" s="11" t="s">
        <v>84</v>
      </c>
      <c r="O260" s="11" t="s">
        <v>82</v>
      </c>
    </row>
    <row r="261" spans="1:15" ht="38.25" x14ac:dyDescent="0.2">
      <c r="A261" s="11">
        <v>260</v>
      </c>
      <c r="B261" s="11" t="s">
        <v>118</v>
      </c>
      <c r="C261" s="11" t="s">
        <v>84</v>
      </c>
      <c r="D261" s="11" t="s">
        <v>1312</v>
      </c>
      <c r="F261" s="11" t="s">
        <v>81</v>
      </c>
      <c r="H261" s="11" t="s">
        <v>82</v>
      </c>
      <c r="J261" s="11" t="s">
        <v>81</v>
      </c>
      <c r="K261" s="11" t="s">
        <v>3071</v>
      </c>
      <c r="L261" s="11" t="s">
        <v>82</v>
      </c>
      <c r="N261" s="11" t="s">
        <v>82</v>
      </c>
      <c r="O261" s="11" t="s">
        <v>84</v>
      </c>
    </row>
    <row r="262" spans="1:15" ht="25.5" x14ac:dyDescent="0.2">
      <c r="A262" s="11">
        <v>261</v>
      </c>
      <c r="B262" s="11" t="s">
        <v>99</v>
      </c>
      <c r="C262" s="11" t="s">
        <v>80</v>
      </c>
      <c r="D262" s="11" t="s">
        <v>1312</v>
      </c>
      <c r="E262" s="11" t="s">
        <v>3081</v>
      </c>
      <c r="F262" s="11" t="s">
        <v>246</v>
      </c>
      <c r="G262" s="11" t="s">
        <v>3082</v>
      </c>
      <c r="H262" s="11" t="s">
        <v>82</v>
      </c>
      <c r="J262" s="11" t="s">
        <v>81</v>
      </c>
      <c r="K262" s="64" t="s">
        <v>3083</v>
      </c>
      <c r="L262" s="11" t="s">
        <v>84</v>
      </c>
      <c r="M262" s="11" t="s">
        <v>3084</v>
      </c>
      <c r="N262" s="11" t="s">
        <v>84</v>
      </c>
      <c r="O262" s="11" t="s">
        <v>84</v>
      </c>
    </row>
    <row r="263" spans="1:15" ht="38.25" x14ac:dyDescent="0.2">
      <c r="A263" s="11">
        <v>262</v>
      </c>
      <c r="B263" s="11" t="s">
        <v>118</v>
      </c>
      <c r="C263" s="11" t="s">
        <v>84</v>
      </c>
      <c r="D263" s="11" t="s">
        <v>1312</v>
      </c>
      <c r="E263" s="11" t="s">
        <v>3097</v>
      </c>
      <c r="F263" s="11" t="s">
        <v>81</v>
      </c>
      <c r="H263" s="11" t="s">
        <v>82</v>
      </c>
      <c r="J263" s="11" t="s">
        <v>81</v>
      </c>
      <c r="L263" s="11" t="s">
        <v>82</v>
      </c>
      <c r="N263" s="11" t="s">
        <v>82</v>
      </c>
      <c r="O263" s="11" t="s">
        <v>82</v>
      </c>
    </row>
    <row r="264" spans="1:15" x14ac:dyDescent="0.2">
      <c r="A264" s="11">
        <v>263</v>
      </c>
      <c r="B264" s="11" t="s">
        <v>97</v>
      </c>
      <c r="C264" s="11" t="s">
        <v>84</v>
      </c>
      <c r="D264" s="11" t="s">
        <v>97</v>
      </c>
      <c r="F264" s="11" t="s">
        <v>246</v>
      </c>
      <c r="H264" s="11" t="s">
        <v>82</v>
      </c>
      <c r="J264" s="11" t="s">
        <v>81</v>
      </c>
      <c r="L264" s="11" t="s">
        <v>82</v>
      </c>
      <c r="N264" s="11" t="s">
        <v>84</v>
      </c>
      <c r="O264" s="11" t="s">
        <v>82</v>
      </c>
    </row>
    <row r="265" spans="1:15" ht="76.5" x14ac:dyDescent="0.2">
      <c r="A265" s="11">
        <v>264</v>
      </c>
      <c r="B265" s="11" t="s">
        <v>99</v>
      </c>
      <c r="C265" s="11" t="s">
        <v>80</v>
      </c>
      <c r="D265" s="11" t="s">
        <v>1312</v>
      </c>
      <c r="E265" s="11" t="s">
        <v>3109</v>
      </c>
      <c r="F265" s="11" t="s">
        <v>81</v>
      </c>
      <c r="H265" s="11" t="s">
        <v>82</v>
      </c>
      <c r="J265" s="11" t="s">
        <v>81</v>
      </c>
      <c r="K265" s="11" t="s">
        <v>3812</v>
      </c>
      <c r="L265" s="11" t="s">
        <v>84</v>
      </c>
      <c r="M265" s="11" t="s">
        <v>3111</v>
      </c>
      <c r="N265" s="11" t="s">
        <v>84</v>
      </c>
      <c r="O265" s="11" t="s">
        <v>82</v>
      </c>
    </row>
    <row r="266" spans="1:15" ht="25.5" x14ac:dyDescent="0.2">
      <c r="A266" s="11">
        <v>265</v>
      </c>
      <c r="B266" s="11" t="s">
        <v>118</v>
      </c>
      <c r="C266" s="11" t="s">
        <v>84</v>
      </c>
      <c r="D266" s="11" t="s">
        <v>1312</v>
      </c>
      <c r="F266" s="11" t="s">
        <v>81</v>
      </c>
      <c r="H266" s="11" t="s">
        <v>82</v>
      </c>
      <c r="J266" s="11" t="s">
        <v>81</v>
      </c>
      <c r="L266" s="11" t="s">
        <v>82</v>
      </c>
      <c r="N266" s="11" t="s">
        <v>84</v>
      </c>
      <c r="O266" s="11" t="s">
        <v>84</v>
      </c>
    </row>
    <row r="267" spans="1:15" x14ac:dyDescent="0.2">
      <c r="A267" s="11">
        <v>266</v>
      </c>
      <c r="B267" s="11" t="s">
        <v>118</v>
      </c>
      <c r="C267" s="11" t="s">
        <v>84</v>
      </c>
      <c r="D267" s="11" t="s">
        <v>97</v>
      </c>
      <c r="F267" s="11" t="s">
        <v>246</v>
      </c>
      <c r="H267" s="11" t="s">
        <v>82</v>
      </c>
      <c r="J267" s="11" t="s">
        <v>246</v>
      </c>
      <c r="L267" s="11" t="s">
        <v>82</v>
      </c>
      <c r="N267" s="11" t="s">
        <v>84</v>
      </c>
      <c r="O267" s="11" t="s">
        <v>84</v>
      </c>
    </row>
    <row r="268" spans="1:15" ht="51" x14ac:dyDescent="0.2">
      <c r="A268" s="11">
        <v>267</v>
      </c>
      <c r="B268" s="11" t="s">
        <v>118</v>
      </c>
      <c r="C268" s="11" t="s">
        <v>84</v>
      </c>
      <c r="D268" s="11" t="s">
        <v>1312</v>
      </c>
      <c r="F268" s="11" t="s">
        <v>81</v>
      </c>
      <c r="G268" s="11" t="s">
        <v>3126</v>
      </c>
      <c r="H268" s="11" t="s">
        <v>82</v>
      </c>
      <c r="J268" s="11" t="s">
        <v>81</v>
      </c>
      <c r="K268" s="11" t="s">
        <v>3127</v>
      </c>
      <c r="L268" s="11" t="s">
        <v>82</v>
      </c>
      <c r="N268" s="11" t="s">
        <v>84</v>
      </c>
      <c r="O268" s="11" t="s">
        <v>84</v>
      </c>
    </row>
    <row r="269" spans="1:15" x14ac:dyDescent="0.2">
      <c r="A269" s="11">
        <v>268</v>
      </c>
      <c r="B269" s="11" t="s">
        <v>99</v>
      </c>
      <c r="C269" s="11" t="s">
        <v>80</v>
      </c>
      <c r="D269" s="11" t="s">
        <v>97</v>
      </c>
      <c r="F269" s="11" t="s">
        <v>246</v>
      </c>
      <c r="H269" s="11" t="s">
        <v>82</v>
      </c>
      <c r="J269" s="11" t="s">
        <v>81</v>
      </c>
      <c r="L269" s="11" t="s">
        <v>82</v>
      </c>
      <c r="N269" s="11" t="s">
        <v>84</v>
      </c>
      <c r="O269" s="11" t="s">
        <v>84</v>
      </c>
    </row>
    <row r="270" spans="1:15" ht="38.25" x14ac:dyDescent="0.2">
      <c r="A270" s="11">
        <v>269</v>
      </c>
      <c r="B270" s="11" t="s">
        <v>97</v>
      </c>
      <c r="C270" s="11" t="s">
        <v>82</v>
      </c>
      <c r="H270" s="11" t="s">
        <v>82</v>
      </c>
      <c r="J270" s="11" t="s">
        <v>246</v>
      </c>
      <c r="K270" s="11" t="s">
        <v>3143</v>
      </c>
      <c r="L270" s="11" t="s">
        <v>82</v>
      </c>
      <c r="N270" s="11" t="s">
        <v>82</v>
      </c>
      <c r="O270" s="11" t="s">
        <v>82</v>
      </c>
    </row>
    <row r="271" spans="1:15" x14ac:dyDescent="0.2">
      <c r="A271" s="11">
        <v>270</v>
      </c>
      <c r="B271" s="11" t="s">
        <v>99</v>
      </c>
      <c r="C271" s="11" t="s">
        <v>80</v>
      </c>
      <c r="D271" s="11" t="s">
        <v>97</v>
      </c>
      <c r="F271" s="11" t="s">
        <v>246</v>
      </c>
      <c r="H271" s="11" t="s">
        <v>82</v>
      </c>
      <c r="J271" s="11" t="s">
        <v>246</v>
      </c>
      <c r="L271" s="11" t="s">
        <v>82</v>
      </c>
      <c r="N271" s="11" t="s">
        <v>84</v>
      </c>
      <c r="O271" s="11" t="s">
        <v>84</v>
      </c>
    </row>
    <row r="272" spans="1:15" ht="38.25" x14ac:dyDescent="0.2">
      <c r="A272" s="11">
        <v>271</v>
      </c>
      <c r="B272" s="11" t="s">
        <v>99</v>
      </c>
      <c r="C272" s="11" t="s">
        <v>80</v>
      </c>
      <c r="D272" s="11" t="s">
        <v>1312</v>
      </c>
      <c r="F272" s="11" t="s">
        <v>81</v>
      </c>
      <c r="H272" s="11" t="s">
        <v>82</v>
      </c>
      <c r="J272" s="11" t="s">
        <v>246</v>
      </c>
      <c r="L272" s="11" t="s">
        <v>84</v>
      </c>
      <c r="M272" s="11" t="s">
        <v>3167</v>
      </c>
      <c r="N272" s="11" t="s">
        <v>84</v>
      </c>
      <c r="O272" s="11" t="s">
        <v>84</v>
      </c>
    </row>
    <row r="273" spans="1:15" ht="25.5" x14ac:dyDescent="0.2">
      <c r="A273" s="11">
        <v>272</v>
      </c>
      <c r="B273" s="11" t="s">
        <v>118</v>
      </c>
      <c r="C273" s="11" t="s">
        <v>82</v>
      </c>
      <c r="D273" s="11" t="s">
        <v>702</v>
      </c>
      <c r="E273" s="11" t="s">
        <v>3176</v>
      </c>
      <c r="H273" s="11" t="s">
        <v>84</v>
      </c>
      <c r="I273" s="7" t="s">
        <v>3568</v>
      </c>
      <c r="L273" s="11" t="s">
        <v>82</v>
      </c>
      <c r="N273" s="11" t="s">
        <v>84</v>
      </c>
      <c r="O273" s="11" t="s">
        <v>84</v>
      </c>
    </row>
    <row r="274" spans="1:15" x14ac:dyDescent="0.2">
      <c r="A274" s="11">
        <v>273</v>
      </c>
      <c r="B274" s="11" t="s">
        <v>99</v>
      </c>
      <c r="C274" s="11" t="s">
        <v>80</v>
      </c>
      <c r="D274" s="11" t="s">
        <v>99</v>
      </c>
      <c r="H274" s="11" t="s">
        <v>84</v>
      </c>
      <c r="I274" s="11" t="s">
        <v>3582</v>
      </c>
      <c r="L274" s="11" t="s">
        <v>84</v>
      </c>
      <c r="N274" s="11" t="s">
        <v>84</v>
      </c>
      <c r="O274" s="11" t="s">
        <v>84</v>
      </c>
    </row>
    <row r="275" spans="1:15" ht="76.5" x14ac:dyDescent="0.2">
      <c r="A275" s="11">
        <v>274</v>
      </c>
      <c r="B275" s="11" t="s">
        <v>99</v>
      </c>
      <c r="C275" s="11" t="s">
        <v>80</v>
      </c>
      <c r="D275" s="11" t="s">
        <v>99</v>
      </c>
      <c r="H275" s="11" t="s">
        <v>84</v>
      </c>
      <c r="I275" s="11" t="s">
        <v>3588</v>
      </c>
      <c r="L275" s="11" t="s">
        <v>82</v>
      </c>
      <c r="N275" s="11" t="s">
        <v>84</v>
      </c>
      <c r="O275" s="11" t="s">
        <v>84</v>
      </c>
    </row>
    <row r="276" spans="1:15" ht="25.5" x14ac:dyDescent="0.2">
      <c r="A276" s="11">
        <v>275</v>
      </c>
      <c r="B276" s="11" t="s">
        <v>118</v>
      </c>
      <c r="C276" s="11" t="s">
        <v>84</v>
      </c>
      <c r="D276" s="11" t="s">
        <v>1312</v>
      </c>
      <c r="F276" s="11" t="s">
        <v>81</v>
      </c>
      <c r="H276" s="11" t="s">
        <v>82</v>
      </c>
      <c r="J276" s="11" t="s">
        <v>246</v>
      </c>
      <c r="L276" s="11" t="s">
        <v>82</v>
      </c>
      <c r="N276" s="11" t="s">
        <v>84</v>
      </c>
      <c r="O276" s="11" t="s">
        <v>82</v>
      </c>
    </row>
    <row r="277" spans="1:15" ht="51" x14ac:dyDescent="0.2">
      <c r="A277" s="11">
        <v>276</v>
      </c>
      <c r="B277" s="11" t="s">
        <v>118</v>
      </c>
      <c r="C277" s="11" t="s">
        <v>84</v>
      </c>
      <c r="D277" s="11" t="s">
        <v>1312</v>
      </c>
      <c r="F277" s="11" t="s">
        <v>81</v>
      </c>
      <c r="H277" s="11" t="s">
        <v>82</v>
      </c>
      <c r="J277" s="11" t="s">
        <v>246</v>
      </c>
      <c r="K277" s="11" t="s">
        <v>4005</v>
      </c>
      <c r="L277" s="11" t="s">
        <v>82</v>
      </c>
      <c r="N277" s="11" t="s">
        <v>84</v>
      </c>
      <c r="O277" s="11" t="s">
        <v>84</v>
      </c>
    </row>
  </sheetData>
  <hyperlinks>
    <hyperlink ref="I190" r:id="rId1" xr:uid="{EFA132E2-F59F-4A0C-8487-144F09B09A02}"/>
  </hyperlinks>
  <pageMargins left="0.5" right="0.5" top="1" bottom="1" header="0.5" footer="0.5"/>
  <pageSetup orientation="portrait" useFirstPageNumber="1" r:id="rId2"/>
  <headerFooter>
    <oddHeader>&amp;C&amp;"Times New Roman,Regular"&amp;12&amp;A</oddHeader>
    <oddFooter>&amp;C&amp;"Times New Roman,Regular"&amp;12Page &amp;P</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F5674-2540-467D-99B1-3CE909BDE202}">
  <dimension ref="A1:AU277"/>
  <sheetViews>
    <sheetView topLeftCell="O1" zoomScale="70" zoomScaleNormal="70" workbookViewId="0">
      <pane ySplit="1" topLeftCell="A2" activePane="bottomLeft" state="frozen"/>
      <selection activeCell="F1" sqref="F1"/>
      <selection pane="bottomLeft" activeCell="P1" sqref="P1"/>
    </sheetView>
  </sheetViews>
  <sheetFormatPr defaultColWidth="9.140625" defaultRowHeight="12.75" x14ac:dyDescent="0.2"/>
  <cols>
    <col min="1" max="1" width="9.140625" style="9"/>
    <col min="2" max="2" width="15.140625" style="9" customWidth="1"/>
    <col min="3" max="5" width="17.5703125" style="9" customWidth="1"/>
    <col min="6" max="16" width="18.28515625" style="9" customWidth="1"/>
    <col min="17" max="17" width="20.7109375" style="14" customWidth="1"/>
    <col min="18" max="18" width="14" style="14" customWidth="1"/>
    <col min="19" max="19" width="14.140625" style="14" customWidth="1"/>
    <col min="20" max="20" width="8.85546875" style="14" customWidth="1"/>
    <col min="21" max="21" width="18.28515625" style="9" customWidth="1"/>
    <col min="22" max="22" width="10.28515625" style="9" customWidth="1"/>
    <col min="23" max="23" width="13" style="9" customWidth="1"/>
    <col min="24" max="24" width="8" style="9" customWidth="1"/>
    <col min="25" max="25" width="19.85546875" style="9" customWidth="1"/>
    <col min="26" max="26" width="9.140625" style="9"/>
    <col min="27" max="27" width="12.7109375" style="9" customWidth="1"/>
    <col min="28" max="28" width="8.140625" style="9" customWidth="1"/>
    <col min="29" max="29" width="16.28515625" style="9" customWidth="1"/>
    <col min="30" max="30" width="9.42578125" style="9" customWidth="1"/>
    <col min="31" max="31" width="12.85546875" style="9" customWidth="1"/>
    <col min="32" max="32" width="8.140625" style="9" customWidth="1"/>
    <col min="33" max="33" width="16.28515625" style="9" customWidth="1"/>
    <col min="34" max="34" width="9.140625" style="9"/>
    <col min="35" max="35" width="12.5703125" style="9" customWidth="1"/>
    <col min="36" max="36" width="8" style="9" customWidth="1"/>
    <col min="37" max="37" width="16.7109375" style="9" customWidth="1"/>
    <col min="38" max="38" width="9.140625" style="9"/>
    <col min="39" max="39" width="12.140625" style="9" customWidth="1"/>
    <col min="40" max="40" width="9.140625" style="9"/>
    <col min="41" max="41" width="17.85546875" style="9" bestFit="1" customWidth="1"/>
    <col min="42" max="42" width="19.140625" style="9" customWidth="1"/>
    <col min="43" max="43" width="18.28515625" style="9" customWidth="1"/>
    <col min="44" max="44" width="21" style="9" customWidth="1"/>
    <col min="45" max="45" width="15.7109375" style="9" customWidth="1"/>
    <col min="46" max="46" width="11.42578125" style="9" customWidth="1"/>
    <col min="47" max="47" width="18.28515625" style="9" customWidth="1"/>
    <col min="48" max="16384" width="9.140625" style="9"/>
  </cols>
  <sheetData>
    <row r="1" spans="1:47" s="2" customFormat="1" ht="89.25" x14ac:dyDescent="0.2">
      <c r="B1" s="2" t="s">
        <v>1984</v>
      </c>
      <c r="C1" s="2" t="s">
        <v>1985</v>
      </c>
      <c r="D1" s="2" t="s">
        <v>1986</v>
      </c>
      <c r="E1" s="2" t="s">
        <v>1987</v>
      </c>
      <c r="F1" s="2" t="s">
        <v>678</v>
      </c>
      <c r="G1" s="2" t="s">
        <v>679</v>
      </c>
      <c r="H1" s="2" t="s">
        <v>680</v>
      </c>
      <c r="I1" s="2" t="s">
        <v>681</v>
      </c>
      <c r="J1" s="2" t="s">
        <v>682</v>
      </c>
      <c r="K1" s="2" t="s">
        <v>683</v>
      </c>
      <c r="L1" s="2" t="s">
        <v>684</v>
      </c>
      <c r="M1" s="2" t="s">
        <v>685</v>
      </c>
      <c r="N1" s="2" t="s">
        <v>686</v>
      </c>
      <c r="O1" s="2" t="s">
        <v>687</v>
      </c>
      <c r="Q1" s="8" t="s">
        <v>3571</v>
      </c>
      <c r="R1" s="8" t="s">
        <v>666</v>
      </c>
      <c r="S1" s="8" t="s">
        <v>667</v>
      </c>
      <c r="T1" s="15"/>
      <c r="U1" s="8" t="s">
        <v>703</v>
      </c>
      <c r="V1" s="8" t="s">
        <v>666</v>
      </c>
      <c r="W1" s="8" t="s">
        <v>667</v>
      </c>
      <c r="X1" s="8"/>
      <c r="Y1" s="8" t="s">
        <v>704</v>
      </c>
      <c r="Z1" s="8" t="s">
        <v>666</v>
      </c>
      <c r="AA1" s="8" t="s">
        <v>667</v>
      </c>
      <c r="AB1" s="8"/>
      <c r="AC1" s="8" t="s">
        <v>705</v>
      </c>
      <c r="AD1" s="8" t="s">
        <v>666</v>
      </c>
      <c r="AE1" s="8" t="s">
        <v>667</v>
      </c>
      <c r="AF1" s="8"/>
      <c r="AG1" s="8" t="s">
        <v>706</v>
      </c>
      <c r="AH1" s="8" t="s">
        <v>666</v>
      </c>
      <c r="AI1" s="8" t="s">
        <v>667</v>
      </c>
      <c r="AJ1" s="8"/>
      <c r="AK1" s="8" t="s">
        <v>707</v>
      </c>
      <c r="AL1" s="8" t="s">
        <v>666</v>
      </c>
      <c r="AM1" s="8" t="s">
        <v>667</v>
      </c>
      <c r="AO1" s="8" t="s">
        <v>666</v>
      </c>
      <c r="AP1" s="8" t="s">
        <v>3571</v>
      </c>
      <c r="AQ1" s="8" t="s">
        <v>703</v>
      </c>
      <c r="AR1" s="8" t="s">
        <v>704</v>
      </c>
      <c r="AS1" s="8" t="s">
        <v>705</v>
      </c>
      <c r="AT1" s="8" t="s">
        <v>706</v>
      </c>
      <c r="AU1" s="8" t="s">
        <v>707</v>
      </c>
    </row>
    <row r="2" spans="1:47" x14ac:dyDescent="0.2">
      <c r="A2" s="9">
        <v>1</v>
      </c>
      <c r="B2" s="9">
        <v>5</v>
      </c>
      <c r="C2" s="9">
        <v>3</v>
      </c>
      <c r="F2" s="9">
        <v>1</v>
      </c>
      <c r="G2" s="9">
        <v>3</v>
      </c>
      <c r="H2" s="9">
        <v>3</v>
      </c>
      <c r="I2" s="9">
        <v>3</v>
      </c>
      <c r="J2" s="9">
        <v>1</v>
      </c>
      <c r="K2" s="9">
        <v>3</v>
      </c>
      <c r="L2" s="9">
        <v>1</v>
      </c>
      <c r="M2" s="9">
        <v>3</v>
      </c>
      <c r="N2" s="9">
        <v>3</v>
      </c>
      <c r="O2" s="9">
        <v>3</v>
      </c>
      <c r="Q2" s="9" t="s">
        <v>655</v>
      </c>
      <c r="R2" s="9">
        <f>COUNTIF(D$2:D$496,"5")</f>
        <v>19</v>
      </c>
      <c r="S2" s="9">
        <f>COUNTIF(E$2:E$496,"5")</f>
        <v>27</v>
      </c>
      <c r="U2" s="9" t="s">
        <v>655</v>
      </c>
      <c r="V2" s="11">
        <f>COUNTIF(F$2:F$496,"5")</f>
        <v>25</v>
      </c>
      <c r="W2" s="11">
        <f>COUNTIF(G$2:G$496,"5")</f>
        <v>33</v>
      </c>
      <c r="Y2" s="9" t="s">
        <v>655</v>
      </c>
      <c r="Z2" s="11">
        <f>COUNTIF(H$2:H$496,"5")</f>
        <v>24</v>
      </c>
      <c r="AA2" s="11">
        <f>COUNTIF(I$2:I$496,"5")</f>
        <v>27</v>
      </c>
      <c r="AC2" s="9" t="s">
        <v>655</v>
      </c>
      <c r="AD2" s="11">
        <f>COUNTIF(J$2:J$496,"5")</f>
        <v>19</v>
      </c>
      <c r="AE2" s="11">
        <f>COUNTIF(K$2:K$496,"5")</f>
        <v>31</v>
      </c>
      <c r="AG2" s="9" t="s">
        <v>655</v>
      </c>
      <c r="AH2" s="11">
        <f>COUNTIF(L$2:L$496,"5")</f>
        <v>26</v>
      </c>
      <c r="AI2" s="11">
        <f>COUNTIF(M$2:M$496,"5")</f>
        <v>28</v>
      </c>
      <c r="AK2" s="9" t="s">
        <v>655</v>
      </c>
      <c r="AL2" s="11">
        <f>COUNTIF(N$2:N$496,"5")</f>
        <v>19</v>
      </c>
      <c r="AM2" s="11">
        <f>COUNTIF(O$2:O$496,"5")</f>
        <v>25</v>
      </c>
      <c r="AO2" s="9" t="s">
        <v>655</v>
      </c>
      <c r="AP2" s="9">
        <f>COUNTIF(D$2:D$496,"5")</f>
        <v>19</v>
      </c>
      <c r="AQ2" s="11">
        <f>COUNTIF(F$2:F$496,"5")</f>
        <v>25</v>
      </c>
      <c r="AR2" s="11">
        <f>COUNTIF(H$2:H$496,"5")</f>
        <v>24</v>
      </c>
      <c r="AS2" s="11">
        <f>COUNTIF(J$2:J$496,"5")</f>
        <v>19</v>
      </c>
      <c r="AT2" s="11">
        <f>COUNTIF(L$2:L$496,"5")</f>
        <v>26</v>
      </c>
      <c r="AU2" s="11">
        <f>COUNTIF(N$2:N$496,"5")</f>
        <v>19</v>
      </c>
    </row>
    <row r="3" spans="1:47" x14ac:dyDescent="0.2">
      <c r="A3" s="9">
        <v>2</v>
      </c>
      <c r="B3" s="9">
        <v>5</v>
      </c>
      <c r="C3" s="9">
        <v>3</v>
      </c>
      <c r="F3" s="9">
        <v>1</v>
      </c>
      <c r="G3" s="9">
        <v>3</v>
      </c>
      <c r="H3" s="9">
        <v>1</v>
      </c>
      <c r="I3" s="9">
        <v>3</v>
      </c>
      <c r="J3" s="9">
        <v>1</v>
      </c>
      <c r="K3" s="9">
        <v>3</v>
      </c>
      <c r="L3" s="9">
        <v>2</v>
      </c>
      <c r="M3" s="9">
        <v>3</v>
      </c>
      <c r="N3" s="9">
        <v>1</v>
      </c>
      <c r="O3" s="9">
        <v>3</v>
      </c>
      <c r="Q3" s="9" t="s">
        <v>656</v>
      </c>
      <c r="R3" s="9">
        <f>COUNTIF(D$2:D$496,"4")</f>
        <v>23</v>
      </c>
      <c r="S3" s="9">
        <f>COUNTIF(E$2:E$496,"4")</f>
        <v>16</v>
      </c>
      <c r="U3" s="9" t="s">
        <v>656</v>
      </c>
      <c r="V3" s="11">
        <f>COUNTIF(F$2:F$496,"4")</f>
        <v>37</v>
      </c>
      <c r="W3" s="11">
        <f>COUNTIF(G$2:G$496,"4")</f>
        <v>17</v>
      </c>
      <c r="Y3" s="9" t="s">
        <v>656</v>
      </c>
      <c r="Z3" s="11">
        <f>COUNTIF(H$2:H$496,"4")</f>
        <v>30</v>
      </c>
      <c r="AA3" s="11">
        <f>COUNTIF(I$2:I$496,"4")</f>
        <v>21</v>
      </c>
      <c r="AC3" s="9" t="s">
        <v>656</v>
      </c>
      <c r="AD3" s="11">
        <f>COUNTIF(J$2:J$496,"4")</f>
        <v>18</v>
      </c>
      <c r="AE3" s="11">
        <f>COUNTIF(K$2:K$496,"4")</f>
        <v>18</v>
      </c>
      <c r="AG3" s="9" t="s">
        <v>656</v>
      </c>
      <c r="AH3" s="11">
        <f>COUNTIF(L$2:L$496,"4")</f>
        <v>38</v>
      </c>
      <c r="AI3" s="11">
        <f>COUNTIF(M$2:M$496,"4")</f>
        <v>21</v>
      </c>
      <c r="AK3" s="9" t="s">
        <v>656</v>
      </c>
      <c r="AL3" s="11">
        <f>COUNTIF(N$2:N$496,"4")</f>
        <v>39</v>
      </c>
      <c r="AM3" s="11">
        <f>COUNTIF(O$2:O$496,"4")</f>
        <v>20</v>
      </c>
      <c r="AO3" s="9" t="s">
        <v>656</v>
      </c>
      <c r="AP3" s="9">
        <f>COUNTIF(D$2:D$496,"4")</f>
        <v>23</v>
      </c>
      <c r="AQ3" s="11">
        <f>COUNTIF(F$2:F$496,"4")</f>
        <v>37</v>
      </c>
      <c r="AR3" s="11">
        <f>COUNTIF(H$2:H$496,"4")</f>
        <v>30</v>
      </c>
      <c r="AS3" s="11">
        <f>COUNTIF(J$2:J$496,"4")</f>
        <v>18</v>
      </c>
      <c r="AT3" s="11">
        <f>COUNTIF(L$2:L$496,"4")</f>
        <v>38</v>
      </c>
      <c r="AU3" s="11">
        <f>COUNTIF(N$2:N$496,"4")</f>
        <v>39</v>
      </c>
    </row>
    <row r="4" spans="1:47" x14ac:dyDescent="0.2">
      <c r="A4" s="9">
        <v>3</v>
      </c>
      <c r="B4" s="9">
        <v>2</v>
      </c>
      <c r="C4" s="9">
        <v>3</v>
      </c>
      <c r="F4" s="9">
        <v>4</v>
      </c>
      <c r="G4" s="9">
        <v>3</v>
      </c>
      <c r="H4" s="9">
        <v>3</v>
      </c>
      <c r="I4" s="9">
        <v>3</v>
      </c>
      <c r="J4" s="9">
        <v>2</v>
      </c>
      <c r="K4" s="9">
        <v>3</v>
      </c>
      <c r="L4" s="9">
        <v>4</v>
      </c>
      <c r="M4" s="9">
        <v>3</v>
      </c>
      <c r="N4" s="9">
        <v>4</v>
      </c>
      <c r="O4" s="9">
        <v>3</v>
      </c>
      <c r="Q4" s="9" t="s">
        <v>657</v>
      </c>
      <c r="R4" s="9">
        <f>COUNTIF(D$2:D$496,"3")</f>
        <v>38</v>
      </c>
      <c r="S4" s="9">
        <f>COUNTIF(E$2:E$496,"3")</f>
        <v>29</v>
      </c>
      <c r="U4" s="9" t="s">
        <v>657</v>
      </c>
      <c r="V4" s="11">
        <f>COUNTIF(F$2:F$496,"3")</f>
        <v>55</v>
      </c>
      <c r="W4" s="11">
        <f>COUNTIF(G$2:G$496,"3")</f>
        <v>51</v>
      </c>
      <c r="Y4" s="9" t="s">
        <v>657</v>
      </c>
      <c r="Z4" s="11">
        <f>COUNTIF(H$2:H$496,"3")</f>
        <v>75</v>
      </c>
      <c r="AA4" s="11">
        <f>COUNTIF(I$2:I$496,"3")</f>
        <v>85</v>
      </c>
      <c r="AC4" s="9" t="s">
        <v>657</v>
      </c>
      <c r="AD4" s="11">
        <f>COUNTIF(J$2:J$496,"3")</f>
        <v>48</v>
      </c>
      <c r="AE4" s="11">
        <f>COUNTIF(K$2:K$496,"3")</f>
        <v>69</v>
      </c>
      <c r="AG4" s="9" t="s">
        <v>657</v>
      </c>
      <c r="AH4" s="11">
        <f>COUNTIF(L$2:L$496,"3")</f>
        <v>75</v>
      </c>
      <c r="AI4" s="11">
        <f>COUNTIF(M$2:M$496,"3")</f>
        <v>56</v>
      </c>
      <c r="AK4" s="9" t="s">
        <v>657</v>
      </c>
      <c r="AL4" s="11">
        <f>COUNTIF(N$2:N$496,"3")</f>
        <v>73</v>
      </c>
      <c r="AM4" s="11">
        <f>COUNTIF(O$2:O$496,"3")</f>
        <v>56</v>
      </c>
      <c r="AO4" s="9" t="s">
        <v>657</v>
      </c>
      <c r="AP4" s="9">
        <f>COUNTIF(D$2:D$496,"3")</f>
        <v>38</v>
      </c>
      <c r="AQ4" s="11">
        <f>COUNTIF(F$2:F$496,"3")</f>
        <v>55</v>
      </c>
      <c r="AR4" s="11">
        <f>COUNTIF(H$2:H$496,"3")</f>
        <v>75</v>
      </c>
      <c r="AS4" s="11">
        <f>COUNTIF(J$2:J$496,"3")</f>
        <v>48</v>
      </c>
      <c r="AT4" s="11">
        <f>COUNTIF(L$2:L$496,"3")</f>
        <v>75</v>
      </c>
      <c r="AU4" s="11">
        <f>COUNTIF(N$2:N$496,"3")</f>
        <v>73</v>
      </c>
    </row>
    <row r="5" spans="1:47" x14ac:dyDescent="0.2">
      <c r="A5" s="9">
        <v>4</v>
      </c>
      <c r="B5" s="9">
        <v>5</v>
      </c>
      <c r="C5" s="9">
        <v>5</v>
      </c>
      <c r="F5" s="9">
        <v>3</v>
      </c>
      <c r="G5" s="9">
        <v>2</v>
      </c>
      <c r="H5" s="9">
        <v>1</v>
      </c>
      <c r="I5" s="9">
        <v>1</v>
      </c>
      <c r="J5" s="9">
        <v>3</v>
      </c>
      <c r="K5" s="9">
        <v>3</v>
      </c>
      <c r="L5" s="9">
        <v>4</v>
      </c>
      <c r="M5" s="9">
        <v>2</v>
      </c>
      <c r="N5" s="9">
        <v>1</v>
      </c>
      <c r="O5" s="9">
        <v>1</v>
      </c>
      <c r="Q5" s="9" t="s">
        <v>658</v>
      </c>
      <c r="R5" s="9">
        <f>COUNTIF(D$2:D$496,"2")</f>
        <v>55</v>
      </c>
      <c r="S5" s="9">
        <f>COUNTIF(E$2:E$496,"2")</f>
        <v>32</v>
      </c>
      <c r="U5" s="9" t="s">
        <v>658</v>
      </c>
      <c r="V5" s="11">
        <f>COUNTIF(F$2:F$496,"2")</f>
        <v>59</v>
      </c>
      <c r="W5" s="11">
        <f>COUNTIF(G$2:G$496,"2")</f>
        <v>51</v>
      </c>
      <c r="Y5" s="9" t="s">
        <v>658</v>
      </c>
      <c r="Z5" s="11">
        <f>COUNTIF(H$2:H$496,"2")</f>
        <v>54</v>
      </c>
      <c r="AA5" s="11">
        <f>COUNTIF(I$2:I$496,"2")</f>
        <v>54</v>
      </c>
      <c r="AC5" s="9" t="s">
        <v>658</v>
      </c>
      <c r="AD5" s="11">
        <f>COUNTIF(J$2:J$496,"2")</f>
        <v>68</v>
      </c>
      <c r="AE5" s="11">
        <f>COUNTIF(K$2:K$496,"2")</f>
        <v>54</v>
      </c>
      <c r="AG5" s="9" t="s">
        <v>658</v>
      </c>
      <c r="AH5" s="11">
        <f>COUNTIF(L$2:L$496,"2")</f>
        <v>59</v>
      </c>
      <c r="AI5" s="11">
        <f>COUNTIF(M$2:M$496,"2")</f>
        <v>65</v>
      </c>
      <c r="AK5" s="9" t="s">
        <v>658</v>
      </c>
      <c r="AL5" s="11">
        <f>COUNTIF(N$2:N$496,"2")</f>
        <v>72</v>
      </c>
      <c r="AM5" s="11">
        <f>COUNTIF(O$2:O$496,"2")</f>
        <v>68</v>
      </c>
      <c r="AO5" s="9" t="s">
        <v>658</v>
      </c>
      <c r="AP5" s="9">
        <f>COUNTIF(D$2:D$496,"2")</f>
        <v>55</v>
      </c>
      <c r="AQ5" s="11">
        <f>COUNTIF(F$2:F$496,"2")</f>
        <v>59</v>
      </c>
      <c r="AR5" s="11">
        <f>COUNTIF(H$2:H$496,"2")</f>
        <v>54</v>
      </c>
      <c r="AS5" s="11">
        <f>COUNTIF(J$2:J$496,"2")</f>
        <v>68</v>
      </c>
      <c r="AT5" s="11">
        <f>COUNTIF(L$2:L$496,"2")</f>
        <v>59</v>
      </c>
      <c r="AU5" s="11">
        <f>COUNTIF(N$2:N$496,"2")</f>
        <v>72</v>
      </c>
    </row>
    <row r="6" spans="1:47" x14ac:dyDescent="0.2">
      <c r="A6" s="9">
        <v>5</v>
      </c>
      <c r="B6" s="9">
        <v>2</v>
      </c>
      <c r="C6" s="9">
        <v>2</v>
      </c>
      <c r="F6" s="9">
        <v>3</v>
      </c>
      <c r="G6" s="9">
        <v>3</v>
      </c>
      <c r="H6" s="9">
        <v>2</v>
      </c>
      <c r="I6" s="9">
        <v>2</v>
      </c>
      <c r="J6" s="9">
        <v>2</v>
      </c>
      <c r="K6" s="9">
        <v>2</v>
      </c>
      <c r="L6" s="9">
        <v>2</v>
      </c>
      <c r="M6" s="9">
        <v>2</v>
      </c>
      <c r="N6" s="9">
        <v>2</v>
      </c>
      <c r="O6" s="9">
        <v>2</v>
      </c>
      <c r="Q6" s="9" t="s">
        <v>659</v>
      </c>
      <c r="R6" s="9">
        <f>COUNTIF(D$2:D$496,"1")</f>
        <v>69</v>
      </c>
      <c r="S6" s="9">
        <f>COUNTIF(E$2:E$496,"1")</f>
        <v>100</v>
      </c>
      <c r="U6" s="9" t="s">
        <v>659</v>
      </c>
      <c r="V6" s="11">
        <f>COUNTIF(F$2:F$496,"1")</f>
        <v>85</v>
      </c>
      <c r="W6" s="11">
        <f>COUNTIF(G$2:G$496,"1")</f>
        <v>109</v>
      </c>
      <c r="Y6" s="9" t="s">
        <v>659</v>
      </c>
      <c r="Z6" s="11">
        <f>COUNTIF(H$2:H$496,"1")</f>
        <v>78</v>
      </c>
      <c r="AA6" s="11">
        <f>COUNTIF(I$2:I$496,"1")</f>
        <v>74</v>
      </c>
      <c r="AC6" s="9" t="s">
        <v>659</v>
      </c>
      <c r="AD6" s="11">
        <f>COUNTIF(J$2:J$496,"1")</f>
        <v>108</v>
      </c>
      <c r="AE6" s="11">
        <f>COUNTIF(K$2:K$496,"1")</f>
        <v>89</v>
      </c>
      <c r="AG6" s="9" t="s">
        <v>659</v>
      </c>
      <c r="AH6" s="11">
        <f>COUNTIF(L$2:L$496,"1")</f>
        <v>63</v>
      </c>
      <c r="AI6" s="11">
        <f>COUNTIF(M$2:M$496,"1")</f>
        <v>91</v>
      </c>
      <c r="AK6" s="9" t="s">
        <v>659</v>
      </c>
      <c r="AL6" s="11">
        <f>COUNTIF(N$2:N$496,"1")</f>
        <v>58</v>
      </c>
      <c r="AM6" s="11">
        <f>COUNTIF(O$2:O$496,"1")</f>
        <v>92</v>
      </c>
      <c r="AO6" s="9" t="s">
        <v>659</v>
      </c>
      <c r="AP6" s="9">
        <f>COUNTIF(D$2:D$496,"1")</f>
        <v>69</v>
      </c>
      <c r="AQ6" s="11">
        <f>COUNTIF(F$2:F$496,"1")</f>
        <v>85</v>
      </c>
      <c r="AR6" s="11">
        <f>COUNTIF(H$2:H$496,"1")</f>
        <v>78</v>
      </c>
      <c r="AS6" s="11">
        <f>COUNTIF(J$2:J$496,"1")</f>
        <v>108</v>
      </c>
      <c r="AT6" s="11">
        <f>COUNTIF(L$2:L$496,"1")</f>
        <v>63</v>
      </c>
      <c r="AU6" s="11">
        <f>COUNTIF(N$2:N$496,"1")</f>
        <v>58</v>
      </c>
    </row>
    <row r="7" spans="1:47" x14ac:dyDescent="0.2">
      <c r="A7" s="9">
        <v>6</v>
      </c>
      <c r="B7" s="9">
        <v>4</v>
      </c>
      <c r="C7" s="9">
        <v>4</v>
      </c>
      <c r="F7" s="9">
        <v>2</v>
      </c>
      <c r="G7" s="9">
        <v>4</v>
      </c>
      <c r="H7" s="9">
        <v>4</v>
      </c>
      <c r="I7" s="9">
        <v>2</v>
      </c>
      <c r="J7" s="9">
        <v>2</v>
      </c>
      <c r="K7" s="9">
        <v>4</v>
      </c>
      <c r="L7" s="9">
        <v>3</v>
      </c>
      <c r="M7" s="9">
        <v>2</v>
      </c>
      <c r="N7" s="9">
        <v>2</v>
      </c>
      <c r="O7" s="9">
        <v>4</v>
      </c>
      <c r="Q7" s="9"/>
      <c r="R7" s="9">
        <f>SUM(R2:R6)</f>
        <v>204</v>
      </c>
      <c r="S7" s="9">
        <f>SUM(S2:S6)</f>
        <v>204</v>
      </c>
      <c r="V7" s="9">
        <f>SUM(V2:V6)</f>
        <v>261</v>
      </c>
      <c r="W7" s="9">
        <f>SUM(W2:W6)</f>
        <v>261</v>
      </c>
      <c r="Z7" s="9">
        <f>SUM(Z2:Z6)</f>
        <v>261</v>
      </c>
      <c r="AA7" s="9">
        <f>SUM(AA2:AA6)</f>
        <v>261</v>
      </c>
      <c r="AD7" s="9">
        <f>SUM(AD2:AD6)</f>
        <v>261</v>
      </c>
      <c r="AE7" s="9">
        <f>SUM(AE2:AE6)</f>
        <v>261</v>
      </c>
      <c r="AH7" s="9">
        <f>SUM(AH2:AH6)</f>
        <v>261</v>
      </c>
      <c r="AI7" s="9">
        <f>SUM(AI2:AI6)</f>
        <v>261</v>
      </c>
      <c r="AL7" s="9">
        <f>SUM(AL2:AL6)</f>
        <v>261</v>
      </c>
      <c r="AM7" s="9">
        <f>SUM(AM2:AM6)</f>
        <v>261</v>
      </c>
    </row>
    <row r="8" spans="1:47" x14ac:dyDescent="0.2">
      <c r="A8" s="9">
        <v>7</v>
      </c>
      <c r="B8" s="9">
        <v>5</v>
      </c>
      <c r="C8" s="9">
        <v>5</v>
      </c>
      <c r="F8" s="9">
        <v>1</v>
      </c>
      <c r="G8" s="9">
        <v>1</v>
      </c>
      <c r="H8" s="9">
        <v>1</v>
      </c>
      <c r="I8" s="9">
        <v>1</v>
      </c>
      <c r="J8" s="9">
        <v>1</v>
      </c>
      <c r="K8" s="9">
        <v>1</v>
      </c>
      <c r="L8" s="9">
        <v>1</v>
      </c>
      <c r="M8" s="9">
        <v>1</v>
      </c>
      <c r="N8" s="9">
        <v>1</v>
      </c>
      <c r="O8" s="9">
        <v>1</v>
      </c>
      <c r="Q8" s="9"/>
      <c r="R8" s="9"/>
      <c r="S8" s="9"/>
    </row>
    <row r="9" spans="1:47" x14ac:dyDescent="0.2">
      <c r="A9" s="9">
        <v>8</v>
      </c>
      <c r="B9" s="9">
        <v>5</v>
      </c>
      <c r="C9" s="9">
        <v>5</v>
      </c>
      <c r="F9" s="9">
        <v>4</v>
      </c>
      <c r="G9" s="9">
        <v>5</v>
      </c>
      <c r="H9" s="9">
        <v>5</v>
      </c>
      <c r="I9" s="9">
        <v>5</v>
      </c>
      <c r="J9" s="9">
        <v>5</v>
      </c>
      <c r="K9" s="9">
        <v>5</v>
      </c>
      <c r="L9" s="9">
        <v>5</v>
      </c>
      <c r="M9" s="9">
        <v>5</v>
      </c>
      <c r="N9" s="9">
        <v>3</v>
      </c>
      <c r="O9" s="9">
        <v>4</v>
      </c>
      <c r="Q9" s="9"/>
      <c r="R9" s="9"/>
      <c r="S9" s="9"/>
    </row>
    <row r="10" spans="1:47" x14ac:dyDescent="0.2">
      <c r="A10" s="9">
        <v>9</v>
      </c>
      <c r="B10" s="9">
        <v>2</v>
      </c>
      <c r="C10" s="9">
        <v>3</v>
      </c>
      <c r="F10" s="9">
        <v>3</v>
      </c>
      <c r="G10" s="9">
        <v>3</v>
      </c>
      <c r="H10" s="9">
        <v>4</v>
      </c>
      <c r="I10" s="9">
        <v>3</v>
      </c>
      <c r="J10" s="9">
        <v>4</v>
      </c>
      <c r="K10" s="9">
        <v>4</v>
      </c>
      <c r="L10" s="9">
        <v>2</v>
      </c>
      <c r="M10" s="9">
        <v>4</v>
      </c>
      <c r="N10" s="9">
        <v>3</v>
      </c>
      <c r="O10" s="9">
        <v>3</v>
      </c>
      <c r="Q10" s="9"/>
      <c r="R10" s="9"/>
      <c r="S10" s="9"/>
    </row>
    <row r="11" spans="1:47" x14ac:dyDescent="0.2">
      <c r="A11" s="9">
        <v>10</v>
      </c>
      <c r="B11" s="9">
        <v>2</v>
      </c>
      <c r="C11" s="9">
        <v>1</v>
      </c>
      <c r="F11" s="9">
        <v>3</v>
      </c>
      <c r="G11" s="9">
        <v>1</v>
      </c>
      <c r="H11" s="9">
        <v>1</v>
      </c>
      <c r="I11" s="9">
        <v>1</v>
      </c>
      <c r="J11" s="9">
        <v>3</v>
      </c>
      <c r="K11" s="9">
        <v>1</v>
      </c>
      <c r="L11" s="9">
        <v>3</v>
      </c>
      <c r="M11" s="9">
        <v>1</v>
      </c>
      <c r="N11" s="9">
        <v>3</v>
      </c>
      <c r="O11" s="9">
        <v>1</v>
      </c>
      <c r="Q11" s="9"/>
      <c r="R11" s="9"/>
      <c r="S11" s="9"/>
    </row>
    <row r="12" spans="1:47" x14ac:dyDescent="0.2">
      <c r="A12" s="9">
        <v>11</v>
      </c>
      <c r="B12" s="9">
        <v>4</v>
      </c>
      <c r="C12" s="9">
        <v>2</v>
      </c>
      <c r="F12" s="9">
        <v>2</v>
      </c>
      <c r="G12" s="9">
        <v>2</v>
      </c>
      <c r="H12" s="9">
        <v>4</v>
      </c>
      <c r="I12" s="9">
        <v>4</v>
      </c>
      <c r="J12" s="9">
        <v>4</v>
      </c>
      <c r="K12" s="9">
        <v>4</v>
      </c>
      <c r="L12" s="9">
        <v>2</v>
      </c>
      <c r="M12" s="9">
        <v>2</v>
      </c>
      <c r="N12" s="9">
        <v>3</v>
      </c>
      <c r="O12" s="9">
        <v>4</v>
      </c>
      <c r="Q12" s="9"/>
      <c r="R12" s="9"/>
      <c r="S12" s="9"/>
    </row>
    <row r="13" spans="1:47" x14ac:dyDescent="0.2">
      <c r="A13" s="9">
        <v>12</v>
      </c>
      <c r="B13" s="9">
        <v>3</v>
      </c>
      <c r="C13" s="9">
        <v>1</v>
      </c>
      <c r="F13" s="9">
        <v>1</v>
      </c>
      <c r="G13" s="9">
        <v>1</v>
      </c>
      <c r="H13" s="9">
        <v>1</v>
      </c>
      <c r="I13" s="9">
        <v>1</v>
      </c>
      <c r="J13" s="9">
        <v>1</v>
      </c>
      <c r="K13" s="9">
        <v>1</v>
      </c>
      <c r="L13" s="9">
        <v>1</v>
      </c>
      <c r="M13" s="9">
        <v>1</v>
      </c>
      <c r="N13" s="9">
        <v>1</v>
      </c>
      <c r="O13" s="9">
        <v>1</v>
      </c>
      <c r="Q13" s="9"/>
      <c r="R13" s="9"/>
      <c r="S13" s="9"/>
    </row>
    <row r="14" spans="1:47" x14ac:dyDescent="0.2">
      <c r="A14" s="9">
        <v>13</v>
      </c>
      <c r="B14" s="9">
        <v>2</v>
      </c>
      <c r="C14" s="9">
        <v>2</v>
      </c>
      <c r="F14" s="9">
        <v>4</v>
      </c>
      <c r="G14" s="9">
        <v>1</v>
      </c>
      <c r="H14" s="9">
        <v>2</v>
      </c>
      <c r="I14" s="9">
        <v>2</v>
      </c>
      <c r="J14" s="9">
        <v>3</v>
      </c>
      <c r="K14" s="9">
        <v>1</v>
      </c>
      <c r="L14" s="9">
        <v>5</v>
      </c>
      <c r="M14" s="9">
        <v>1</v>
      </c>
      <c r="N14" s="9">
        <v>4</v>
      </c>
      <c r="O14" s="9">
        <v>2</v>
      </c>
      <c r="Q14" s="9"/>
      <c r="R14" s="9"/>
      <c r="S14" s="9"/>
    </row>
    <row r="15" spans="1:47" x14ac:dyDescent="0.2">
      <c r="A15" s="9">
        <v>14</v>
      </c>
      <c r="B15" s="9">
        <v>5</v>
      </c>
      <c r="C15" s="9">
        <v>5</v>
      </c>
      <c r="F15" s="9">
        <v>1</v>
      </c>
      <c r="G15" s="9">
        <v>1</v>
      </c>
      <c r="H15" s="9">
        <v>3</v>
      </c>
      <c r="I15" s="9">
        <v>2</v>
      </c>
      <c r="J15" s="9">
        <v>1</v>
      </c>
      <c r="K15" s="9">
        <v>1</v>
      </c>
      <c r="L15" s="9">
        <v>1</v>
      </c>
      <c r="M15" s="9">
        <v>1</v>
      </c>
      <c r="N15" s="9">
        <v>1</v>
      </c>
      <c r="O15" s="9">
        <v>1</v>
      </c>
      <c r="Q15" s="9"/>
      <c r="R15" s="9"/>
      <c r="S15" s="9"/>
    </row>
    <row r="16" spans="1:47" x14ac:dyDescent="0.2">
      <c r="A16" s="9">
        <v>15</v>
      </c>
      <c r="B16" s="9">
        <v>2</v>
      </c>
      <c r="C16" s="9">
        <v>1</v>
      </c>
      <c r="F16" s="9">
        <v>3</v>
      </c>
      <c r="G16" s="9">
        <v>1</v>
      </c>
      <c r="H16" s="9">
        <v>3</v>
      </c>
      <c r="I16" s="9">
        <v>1</v>
      </c>
      <c r="J16" s="9">
        <v>3</v>
      </c>
      <c r="K16" s="9">
        <v>1</v>
      </c>
      <c r="L16" s="9">
        <v>4</v>
      </c>
      <c r="M16" s="9">
        <v>1</v>
      </c>
      <c r="N16" s="9">
        <v>4</v>
      </c>
      <c r="O16" s="9">
        <v>1</v>
      </c>
      <c r="Q16" s="9"/>
      <c r="R16" s="9"/>
      <c r="S16" s="9"/>
    </row>
    <row r="17" spans="1:19" x14ac:dyDescent="0.2">
      <c r="A17" s="9">
        <v>16</v>
      </c>
      <c r="B17" s="9">
        <v>5</v>
      </c>
      <c r="C17" s="9">
        <v>5</v>
      </c>
      <c r="F17" s="9">
        <v>1</v>
      </c>
      <c r="G17" s="9">
        <v>2</v>
      </c>
      <c r="H17" s="9">
        <v>3</v>
      </c>
      <c r="I17" s="9">
        <v>3</v>
      </c>
      <c r="J17" s="9">
        <v>1</v>
      </c>
      <c r="K17" s="9">
        <v>3</v>
      </c>
      <c r="L17" s="9">
        <v>1</v>
      </c>
      <c r="M17" s="9">
        <v>5</v>
      </c>
      <c r="N17" s="9">
        <v>2</v>
      </c>
      <c r="O17" s="9">
        <v>2</v>
      </c>
      <c r="Q17" s="9"/>
      <c r="R17" s="9"/>
      <c r="S17" s="9"/>
    </row>
    <row r="18" spans="1:19" x14ac:dyDescent="0.2">
      <c r="A18" s="9">
        <v>17</v>
      </c>
      <c r="B18" s="9">
        <v>3</v>
      </c>
      <c r="C18" s="9">
        <v>3</v>
      </c>
      <c r="F18" s="9">
        <v>3</v>
      </c>
      <c r="G18" s="9">
        <v>3</v>
      </c>
      <c r="H18" s="9">
        <v>3</v>
      </c>
      <c r="I18" s="9">
        <v>3</v>
      </c>
      <c r="J18" s="9">
        <v>3</v>
      </c>
      <c r="K18" s="9">
        <v>3</v>
      </c>
      <c r="L18" s="9">
        <v>3</v>
      </c>
      <c r="M18" s="9">
        <v>3</v>
      </c>
      <c r="N18" s="9">
        <v>3</v>
      </c>
      <c r="O18" s="9">
        <v>3</v>
      </c>
      <c r="Q18" s="9"/>
      <c r="R18" s="9"/>
      <c r="S18" s="9"/>
    </row>
    <row r="19" spans="1:19" x14ac:dyDescent="0.2">
      <c r="A19" s="9">
        <v>18</v>
      </c>
      <c r="B19" s="9">
        <v>5</v>
      </c>
      <c r="C19" s="9">
        <v>3</v>
      </c>
      <c r="F19" s="9">
        <v>4</v>
      </c>
      <c r="G19" s="9">
        <v>3</v>
      </c>
      <c r="H19" s="9">
        <v>1</v>
      </c>
      <c r="I19" s="9">
        <v>1</v>
      </c>
      <c r="J19" s="9">
        <v>1</v>
      </c>
      <c r="K19" s="9">
        <v>1</v>
      </c>
      <c r="L19" s="9">
        <v>3</v>
      </c>
      <c r="M19" s="9">
        <v>2</v>
      </c>
      <c r="N19" s="9">
        <v>1</v>
      </c>
      <c r="O19" s="9">
        <v>1</v>
      </c>
      <c r="Q19" s="9"/>
      <c r="R19" s="9"/>
      <c r="S19" s="9"/>
    </row>
    <row r="20" spans="1:19" x14ac:dyDescent="0.2">
      <c r="A20" s="9">
        <v>19</v>
      </c>
      <c r="B20" s="32"/>
      <c r="C20" s="32"/>
      <c r="D20" s="32"/>
      <c r="E20" s="32"/>
      <c r="F20" s="32"/>
      <c r="G20" s="32"/>
      <c r="H20" s="32"/>
      <c r="I20" s="32"/>
      <c r="J20" s="32"/>
      <c r="K20" s="32"/>
      <c r="L20" s="32"/>
      <c r="M20" s="32"/>
      <c r="N20" s="32"/>
      <c r="O20" s="32"/>
      <c r="Q20" s="9"/>
      <c r="R20" s="9"/>
      <c r="S20" s="9"/>
    </row>
    <row r="21" spans="1:19" x14ac:dyDescent="0.2">
      <c r="A21" s="9">
        <v>20</v>
      </c>
      <c r="B21" s="32"/>
      <c r="C21" s="32"/>
      <c r="D21" s="32"/>
      <c r="E21" s="32"/>
      <c r="F21" s="32"/>
      <c r="G21" s="32"/>
      <c r="H21" s="32"/>
      <c r="I21" s="32"/>
      <c r="J21" s="32"/>
      <c r="K21" s="32"/>
      <c r="L21" s="32"/>
      <c r="M21" s="32"/>
      <c r="N21" s="32"/>
      <c r="O21" s="32"/>
      <c r="Q21" s="9"/>
      <c r="R21" s="9"/>
      <c r="S21" s="9"/>
    </row>
    <row r="22" spans="1:19" x14ac:dyDescent="0.2">
      <c r="A22" s="9">
        <v>21</v>
      </c>
      <c r="B22" s="9">
        <v>2</v>
      </c>
      <c r="C22" s="9">
        <v>2</v>
      </c>
      <c r="F22" s="9">
        <v>1</v>
      </c>
      <c r="G22" s="9">
        <v>1</v>
      </c>
      <c r="H22" s="9">
        <v>1</v>
      </c>
      <c r="I22" s="9">
        <v>1</v>
      </c>
      <c r="J22" s="9">
        <v>2</v>
      </c>
      <c r="K22" s="9">
        <v>2</v>
      </c>
      <c r="L22" s="9">
        <v>1</v>
      </c>
      <c r="M22" s="9">
        <v>1</v>
      </c>
      <c r="N22" s="9">
        <v>1</v>
      </c>
      <c r="O22" s="9">
        <v>1</v>
      </c>
      <c r="Q22" s="9"/>
      <c r="R22" s="9"/>
      <c r="S22" s="9"/>
    </row>
    <row r="23" spans="1:19" x14ac:dyDescent="0.2">
      <c r="A23" s="9">
        <v>22</v>
      </c>
      <c r="B23" s="9">
        <v>5</v>
      </c>
      <c r="C23" s="9">
        <v>5</v>
      </c>
      <c r="F23" s="9">
        <v>1</v>
      </c>
      <c r="G23" s="9">
        <v>1</v>
      </c>
      <c r="H23" s="9">
        <v>3</v>
      </c>
      <c r="I23" s="9">
        <v>2</v>
      </c>
      <c r="J23" s="9">
        <v>1</v>
      </c>
      <c r="K23" s="9">
        <v>1</v>
      </c>
      <c r="L23" s="9">
        <v>2</v>
      </c>
      <c r="M23" s="9">
        <v>2</v>
      </c>
      <c r="N23" s="9">
        <v>2</v>
      </c>
      <c r="O23" s="9">
        <v>2</v>
      </c>
      <c r="Q23" s="9"/>
      <c r="R23" s="9"/>
      <c r="S23" s="9"/>
    </row>
    <row r="24" spans="1:19" x14ac:dyDescent="0.2">
      <c r="A24" s="9">
        <v>23</v>
      </c>
      <c r="B24" s="9">
        <v>2</v>
      </c>
      <c r="C24" s="9">
        <v>2</v>
      </c>
      <c r="F24" s="9">
        <v>5</v>
      </c>
      <c r="G24" s="9">
        <v>4</v>
      </c>
      <c r="H24" s="9">
        <v>3</v>
      </c>
      <c r="I24" s="9">
        <v>3</v>
      </c>
      <c r="J24" s="9">
        <v>3</v>
      </c>
      <c r="K24" s="9">
        <v>3</v>
      </c>
      <c r="L24" s="9">
        <v>1</v>
      </c>
      <c r="M24" s="9">
        <v>1</v>
      </c>
      <c r="N24" s="9">
        <v>2</v>
      </c>
      <c r="O24" s="9">
        <v>2</v>
      </c>
      <c r="Q24" s="9"/>
      <c r="R24" s="9"/>
      <c r="S24" s="9"/>
    </row>
    <row r="25" spans="1:19" x14ac:dyDescent="0.2">
      <c r="A25" s="9">
        <v>24</v>
      </c>
      <c r="B25" s="9">
        <v>2</v>
      </c>
      <c r="C25" s="9">
        <v>2</v>
      </c>
      <c r="F25" s="9">
        <v>1</v>
      </c>
      <c r="G25" s="9">
        <v>1</v>
      </c>
      <c r="H25" s="9">
        <v>3</v>
      </c>
      <c r="I25" s="9">
        <v>3</v>
      </c>
      <c r="J25" s="9">
        <v>3</v>
      </c>
      <c r="K25" s="9">
        <v>2</v>
      </c>
      <c r="L25" s="9">
        <v>4</v>
      </c>
      <c r="M25" s="9">
        <v>4</v>
      </c>
      <c r="N25" s="9">
        <v>2</v>
      </c>
      <c r="O25" s="9">
        <v>2</v>
      </c>
      <c r="Q25" s="9"/>
      <c r="R25" s="9"/>
      <c r="S25" s="9"/>
    </row>
    <row r="26" spans="1:19" x14ac:dyDescent="0.2">
      <c r="A26" s="9">
        <v>25</v>
      </c>
      <c r="B26" s="9">
        <v>5</v>
      </c>
      <c r="C26" s="9">
        <v>3</v>
      </c>
      <c r="F26" s="9">
        <v>2</v>
      </c>
      <c r="G26" s="9">
        <v>3</v>
      </c>
      <c r="H26" s="9">
        <v>2</v>
      </c>
      <c r="I26" s="9">
        <v>3</v>
      </c>
      <c r="J26" s="9">
        <v>2</v>
      </c>
      <c r="K26" s="9">
        <v>3</v>
      </c>
      <c r="L26" s="9">
        <v>2</v>
      </c>
      <c r="M26" s="9">
        <v>3</v>
      </c>
      <c r="N26" s="9">
        <v>2</v>
      </c>
      <c r="O26" s="9">
        <v>3</v>
      </c>
      <c r="Q26" s="9"/>
      <c r="R26" s="9"/>
      <c r="S26" s="9"/>
    </row>
    <row r="27" spans="1:19" x14ac:dyDescent="0.2">
      <c r="A27" s="9">
        <v>26</v>
      </c>
      <c r="B27" s="9">
        <v>4</v>
      </c>
      <c r="C27" s="9">
        <v>1</v>
      </c>
      <c r="F27" s="9">
        <v>1</v>
      </c>
      <c r="G27" s="9">
        <v>3</v>
      </c>
      <c r="H27" s="9">
        <v>3</v>
      </c>
      <c r="I27" s="9">
        <v>1</v>
      </c>
      <c r="J27" s="9">
        <v>3</v>
      </c>
      <c r="K27" s="9">
        <v>2</v>
      </c>
      <c r="L27" s="9">
        <v>2</v>
      </c>
      <c r="M27" s="9">
        <v>2</v>
      </c>
      <c r="N27" s="9">
        <v>2</v>
      </c>
      <c r="O27" s="9">
        <v>1</v>
      </c>
      <c r="Q27" s="9"/>
      <c r="R27" s="9"/>
      <c r="S27" s="9"/>
    </row>
    <row r="28" spans="1:19" x14ac:dyDescent="0.2">
      <c r="A28" s="9">
        <v>27</v>
      </c>
      <c r="B28" s="9">
        <v>5</v>
      </c>
      <c r="C28" s="9">
        <v>5</v>
      </c>
      <c r="F28" s="9">
        <v>2</v>
      </c>
      <c r="G28" s="9">
        <v>3</v>
      </c>
      <c r="H28" s="9">
        <v>5</v>
      </c>
      <c r="I28" s="9">
        <v>3</v>
      </c>
      <c r="J28" s="9">
        <v>2</v>
      </c>
      <c r="K28" s="9">
        <v>2</v>
      </c>
      <c r="L28" s="9">
        <v>4</v>
      </c>
      <c r="M28" s="9">
        <v>4</v>
      </c>
      <c r="N28" s="9">
        <v>4</v>
      </c>
      <c r="O28" s="9">
        <v>4</v>
      </c>
      <c r="Q28" s="9"/>
      <c r="R28" s="9"/>
      <c r="S28" s="9"/>
    </row>
    <row r="29" spans="1:19" x14ac:dyDescent="0.2">
      <c r="A29" s="9">
        <v>28</v>
      </c>
      <c r="B29" s="9">
        <v>4</v>
      </c>
      <c r="C29" s="9">
        <v>1</v>
      </c>
      <c r="F29" s="9">
        <v>2</v>
      </c>
      <c r="G29" s="9">
        <v>1</v>
      </c>
      <c r="H29" s="9">
        <v>5</v>
      </c>
      <c r="I29" s="9">
        <v>3</v>
      </c>
      <c r="J29" s="9">
        <v>2</v>
      </c>
      <c r="K29" s="9">
        <v>4</v>
      </c>
      <c r="L29" s="9">
        <v>2</v>
      </c>
      <c r="M29" s="9">
        <v>2</v>
      </c>
      <c r="N29" s="9">
        <v>3</v>
      </c>
      <c r="O29" s="9">
        <v>2</v>
      </c>
    </row>
    <row r="30" spans="1:19" x14ac:dyDescent="0.2">
      <c r="A30" s="9">
        <v>29</v>
      </c>
      <c r="B30" s="9">
        <v>4</v>
      </c>
      <c r="C30" s="9">
        <v>4</v>
      </c>
      <c r="F30" s="9">
        <v>1</v>
      </c>
      <c r="G30" s="9">
        <v>2</v>
      </c>
      <c r="H30" s="9">
        <v>3</v>
      </c>
      <c r="I30" s="9">
        <v>3</v>
      </c>
      <c r="J30" s="9">
        <v>3</v>
      </c>
      <c r="K30" s="9">
        <v>1</v>
      </c>
      <c r="L30" s="9">
        <v>1</v>
      </c>
      <c r="M30" s="9">
        <v>4</v>
      </c>
      <c r="N30" s="9">
        <v>1</v>
      </c>
      <c r="O30" s="9">
        <v>4</v>
      </c>
    </row>
    <row r="31" spans="1:19" x14ac:dyDescent="0.2">
      <c r="A31" s="9">
        <v>30</v>
      </c>
      <c r="B31" s="9">
        <v>5</v>
      </c>
      <c r="C31" s="9">
        <v>5</v>
      </c>
      <c r="F31" s="9">
        <v>2</v>
      </c>
      <c r="G31" s="9">
        <v>5</v>
      </c>
      <c r="H31" s="9">
        <v>5</v>
      </c>
      <c r="I31" s="9">
        <v>2</v>
      </c>
      <c r="J31" s="9">
        <v>1</v>
      </c>
      <c r="K31" s="9">
        <v>3</v>
      </c>
      <c r="L31" s="9">
        <v>1</v>
      </c>
      <c r="M31" s="9">
        <v>4</v>
      </c>
      <c r="N31" s="9">
        <v>1</v>
      </c>
      <c r="O31" s="9">
        <v>3</v>
      </c>
    </row>
    <row r="32" spans="1:19" x14ac:dyDescent="0.2">
      <c r="A32" s="9">
        <v>31</v>
      </c>
      <c r="B32" s="9">
        <v>2</v>
      </c>
      <c r="C32" s="9">
        <v>5</v>
      </c>
      <c r="F32" s="9">
        <v>2</v>
      </c>
      <c r="G32" s="9">
        <v>5</v>
      </c>
      <c r="H32" s="9">
        <v>2</v>
      </c>
      <c r="I32" s="9">
        <v>2</v>
      </c>
      <c r="J32" s="9">
        <v>4</v>
      </c>
      <c r="K32" s="9">
        <v>5</v>
      </c>
      <c r="L32" s="9">
        <v>2</v>
      </c>
      <c r="M32" s="9">
        <v>5</v>
      </c>
      <c r="N32" s="9">
        <v>3</v>
      </c>
      <c r="O32" s="9">
        <v>5</v>
      </c>
    </row>
    <row r="33" spans="1:15" x14ac:dyDescent="0.2">
      <c r="A33" s="9">
        <v>32</v>
      </c>
      <c r="B33" s="9">
        <v>5</v>
      </c>
      <c r="C33" s="9">
        <v>5</v>
      </c>
      <c r="F33" s="9">
        <v>5</v>
      </c>
      <c r="G33" s="9">
        <v>5</v>
      </c>
      <c r="H33" s="9">
        <v>5</v>
      </c>
      <c r="I33" s="9">
        <v>5</v>
      </c>
      <c r="J33" s="9">
        <v>5</v>
      </c>
      <c r="K33" s="9">
        <v>5</v>
      </c>
      <c r="L33" s="9">
        <v>5</v>
      </c>
      <c r="M33" s="9">
        <v>5</v>
      </c>
      <c r="N33" s="9">
        <v>5</v>
      </c>
      <c r="O33" s="9">
        <v>5</v>
      </c>
    </row>
    <row r="34" spans="1:15" x14ac:dyDescent="0.2">
      <c r="A34" s="9">
        <v>33</v>
      </c>
      <c r="B34" s="9">
        <v>2</v>
      </c>
      <c r="C34" s="9">
        <v>1</v>
      </c>
      <c r="F34" s="9">
        <v>5</v>
      </c>
      <c r="G34" s="9">
        <v>1</v>
      </c>
      <c r="H34" s="9">
        <v>1</v>
      </c>
      <c r="I34" s="9">
        <v>3</v>
      </c>
      <c r="J34" s="9">
        <v>1</v>
      </c>
      <c r="K34" s="9">
        <v>1</v>
      </c>
      <c r="L34" s="9">
        <v>1</v>
      </c>
      <c r="M34" s="9">
        <v>1</v>
      </c>
      <c r="N34" s="9">
        <v>3</v>
      </c>
      <c r="O34" s="9">
        <v>1</v>
      </c>
    </row>
    <row r="35" spans="1:15" x14ac:dyDescent="0.2">
      <c r="A35" s="9">
        <v>34</v>
      </c>
      <c r="B35" s="9">
        <v>2</v>
      </c>
      <c r="C35" s="9">
        <v>1</v>
      </c>
      <c r="F35" s="9">
        <v>1</v>
      </c>
      <c r="G35" s="9">
        <v>1</v>
      </c>
      <c r="H35" s="9">
        <v>1</v>
      </c>
      <c r="I35" s="9">
        <v>1</v>
      </c>
      <c r="J35" s="9">
        <v>1</v>
      </c>
      <c r="K35" s="9">
        <v>1</v>
      </c>
      <c r="L35" s="9">
        <v>2</v>
      </c>
      <c r="M35" s="9">
        <v>1</v>
      </c>
      <c r="N35" s="9">
        <v>2</v>
      </c>
      <c r="O35" s="9">
        <v>1</v>
      </c>
    </row>
    <row r="36" spans="1:15" x14ac:dyDescent="0.2">
      <c r="A36" s="9">
        <v>35</v>
      </c>
      <c r="B36" s="9">
        <v>5</v>
      </c>
      <c r="C36" s="9">
        <v>3</v>
      </c>
      <c r="F36" s="9">
        <v>4</v>
      </c>
      <c r="G36" s="9">
        <v>2</v>
      </c>
      <c r="H36" s="9">
        <v>2</v>
      </c>
      <c r="I36" s="9">
        <v>3</v>
      </c>
      <c r="J36" s="9">
        <v>1</v>
      </c>
      <c r="K36" s="9">
        <v>5</v>
      </c>
      <c r="L36" s="9">
        <v>2</v>
      </c>
      <c r="M36" s="9">
        <v>3</v>
      </c>
      <c r="N36" s="9">
        <v>3</v>
      </c>
      <c r="O36" s="9">
        <v>2</v>
      </c>
    </row>
    <row r="37" spans="1:15" x14ac:dyDescent="0.2">
      <c r="A37" s="9">
        <v>36</v>
      </c>
      <c r="B37" s="9">
        <v>3</v>
      </c>
      <c r="C37" s="9">
        <v>3</v>
      </c>
      <c r="F37" s="9">
        <v>3</v>
      </c>
      <c r="G37" s="9">
        <v>3</v>
      </c>
      <c r="H37" s="9">
        <v>3</v>
      </c>
      <c r="I37" s="9">
        <v>3</v>
      </c>
      <c r="J37" s="9">
        <v>3</v>
      </c>
      <c r="K37" s="9">
        <v>3</v>
      </c>
      <c r="L37" s="9">
        <v>3</v>
      </c>
      <c r="M37" s="9">
        <v>3</v>
      </c>
      <c r="N37" s="9">
        <v>3</v>
      </c>
      <c r="O37" s="9">
        <v>3</v>
      </c>
    </row>
    <row r="38" spans="1:15" x14ac:dyDescent="0.2">
      <c r="A38" s="9">
        <v>37</v>
      </c>
      <c r="B38" s="9">
        <v>1</v>
      </c>
      <c r="C38" s="9">
        <v>4</v>
      </c>
      <c r="F38" s="9">
        <v>1</v>
      </c>
      <c r="G38" s="9">
        <v>4</v>
      </c>
      <c r="H38" s="9">
        <v>2</v>
      </c>
      <c r="I38" s="9">
        <v>4</v>
      </c>
      <c r="J38" s="9">
        <v>1</v>
      </c>
      <c r="K38" s="9">
        <v>3</v>
      </c>
      <c r="L38" s="9">
        <v>2</v>
      </c>
      <c r="M38" s="9">
        <v>3</v>
      </c>
      <c r="N38" s="9">
        <v>2</v>
      </c>
      <c r="O38" s="9">
        <v>4</v>
      </c>
    </row>
    <row r="39" spans="1:15" x14ac:dyDescent="0.2">
      <c r="A39" s="9">
        <v>38</v>
      </c>
      <c r="B39" s="9">
        <v>1</v>
      </c>
      <c r="C39" s="9">
        <v>1</v>
      </c>
      <c r="F39" s="9">
        <v>5</v>
      </c>
      <c r="G39" s="9">
        <v>1</v>
      </c>
      <c r="H39" s="9">
        <v>2</v>
      </c>
      <c r="I39" s="9">
        <v>1</v>
      </c>
      <c r="J39" s="9">
        <v>2</v>
      </c>
      <c r="K39" s="9">
        <v>1</v>
      </c>
      <c r="L39" s="9">
        <v>5</v>
      </c>
      <c r="M39" s="9">
        <v>1</v>
      </c>
      <c r="N39" s="9">
        <v>3</v>
      </c>
      <c r="O39" s="9">
        <v>1</v>
      </c>
    </row>
    <row r="40" spans="1:15" x14ac:dyDescent="0.2">
      <c r="A40" s="9">
        <v>39</v>
      </c>
      <c r="B40" s="9">
        <v>4</v>
      </c>
      <c r="C40" s="9">
        <v>3</v>
      </c>
      <c r="F40" s="9">
        <v>1</v>
      </c>
      <c r="G40" s="9">
        <v>3</v>
      </c>
      <c r="H40" s="9">
        <v>4</v>
      </c>
      <c r="I40" s="9">
        <v>2</v>
      </c>
      <c r="J40" s="9">
        <v>2</v>
      </c>
      <c r="K40" s="9">
        <v>2</v>
      </c>
      <c r="L40" s="9">
        <v>1</v>
      </c>
      <c r="M40" s="9">
        <v>3</v>
      </c>
      <c r="N40" s="9">
        <v>2</v>
      </c>
      <c r="O40" s="9">
        <v>3</v>
      </c>
    </row>
    <row r="41" spans="1:15" x14ac:dyDescent="0.2">
      <c r="A41" s="9">
        <v>40</v>
      </c>
      <c r="B41" s="9">
        <v>4</v>
      </c>
      <c r="C41" s="9">
        <v>1</v>
      </c>
      <c r="F41" s="9">
        <v>1</v>
      </c>
      <c r="G41" s="9">
        <v>1</v>
      </c>
      <c r="H41" s="9">
        <v>3</v>
      </c>
      <c r="I41" s="9">
        <v>2</v>
      </c>
      <c r="J41" s="9">
        <v>2</v>
      </c>
      <c r="K41" s="9">
        <v>1</v>
      </c>
      <c r="L41" s="9">
        <v>2</v>
      </c>
      <c r="M41" s="9">
        <v>2</v>
      </c>
      <c r="N41" s="9">
        <v>2</v>
      </c>
      <c r="O41" s="9">
        <v>2</v>
      </c>
    </row>
    <row r="42" spans="1:15" x14ac:dyDescent="0.2">
      <c r="A42" s="9">
        <v>41</v>
      </c>
      <c r="B42" s="9">
        <v>4</v>
      </c>
      <c r="C42" s="9">
        <v>4</v>
      </c>
      <c r="F42" s="9">
        <v>4</v>
      </c>
      <c r="G42" s="9">
        <v>4</v>
      </c>
      <c r="H42" s="9">
        <v>2</v>
      </c>
      <c r="I42" s="9">
        <v>4</v>
      </c>
      <c r="J42" s="9">
        <v>2</v>
      </c>
      <c r="K42" s="9">
        <v>4</v>
      </c>
      <c r="L42" s="9">
        <v>3</v>
      </c>
      <c r="M42" s="9">
        <v>4</v>
      </c>
      <c r="N42" s="9">
        <v>3</v>
      </c>
      <c r="O42" s="9">
        <v>4</v>
      </c>
    </row>
    <row r="43" spans="1:15" x14ac:dyDescent="0.2">
      <c r="A43" s="9">
        <v>42</v>
      </c>
      <c r="B43" s="9">
        <v>4</v>
      </c>
      <c r="C43" s="9">
        <v>2</v>
      </c>
      <c r="F43" s="9">
        <v>1</v>
      </c>
      <c r="G43" s="9">
        <v>3</v>
      </c>
      <c r="H43" s="9">
        <v>3</v>
      </c>
      <c r="I43" s="9">
        <v>3</v>
      </c>
      <c r="J43" s="9">
        <v>1</v>
      </c>
      <c r="K43" s="9">
        <v>3</v>
      </c>
      <c r="L43" s="9">
        <v>1</v>
      </c>
      <c r="M43" s="9">
        <v>3</v>
      </c>
      <c r="N43" s="9">
        <v>3</v>
      </c>
      <c r="O43" s="9">
        <v>3</v>
      </c>
    </row>
    <row r="44" spans="1:15" x14ac:dyDescent="0.2">
      <c r="A44" s="9">
        <v>43</v>
      </c>
      <c r="B44" s="9">
        <v>5</v>
      </c>
      <c r="C44" s="9">
        <v>1</v>
      </c>
      <c r="F44" s="9">
        <v>1</v>
      </c>
      <c r="G44" s="9">
        <v>1</v>
      </c>
      <c r="H44" s="9">
        <v>3</v>
      </c>
      <c r="I44" s="9">
        <v>2</v>
      </c>
      <c r="J44" s="9">
        <v>1</v>
      </c>
      <c r="K44" s="9">
        <v>1</v>
      </c>
      <c r="L44" s="9">
        <v>1</v>
      </c>
      <c r="M44" s="9">
        <v>1</v>
      </c>
      <c r="N44" s="9">
        <v>1</v>
      </c>
      <c r="O44" s="9">
        <v>1</v>
      </c>
    </row>
    <row r="45" spans="1:15" x14ac:dyDescent="0.2">
      <c r="A45" s="9">
        <v>44</v>
      </c>
      <c r="B45" s="32"/>
      <c r="C45" s="32"/>
      <c r="D45" s="32"/>
      <c r="E45" s="32"/>
      <c r="F45" s="32"/>
      <c r="G45" s="32"/>
      <c r="H45" s="32"/>
      <c r="I45" s="32"/>
      <c r="J45" s="32"/>
      <c r="K45" s="32"/>
      <c r="L45" s="32"/>
      <c r="M45" s="32"/>
      <c r="N45" s="32"/>
    </row>
    <row r="46" spans="1:15" x14ac:dyDescent="0.2">
      <c r="A46" s="9">
        <v>45</v>
      </c>
      <c r="B46" s="9">
        <v>5</v>
      </c>
      <c r="C46" s="9">
        <v>5</v>
      </c>
      <c r="F46" s="9">
        <v>1</v>
      </c>
      <c r="G46" s="9">
        <v>5</v>
      </c>
      <c r="H46" s="9">
        <v>1</v>
      </c>
      <c r="I46" s="9">
        <v>5</v>
      </c>
      <c r="J46" s="9">
        <v>1</v>
      </c>
      <c r="K46" s="9">
        <v>5</v>
      </c>
      <c r="L46" s="9">
        <v>1</v>
      </c>
      <c r="M46" s="9">
        <v>5</v>
      </c>
      <c r="N46" s="9">
        <v>1</v>
      </c>
      <c r="O46" s="9">
        <v>5</v>
      </c>
    </row>
    <row r="47" spans="1:15" x14ac:dyDescent="0.2">
      <c r="A47" s="9">
        <v>46</v>
      </c>
      <c r="B47" s="9">
        <v>4</v>
      </c>
      <c r="C47" s="9">
        <v>2</v>
      </c>
      <c r="F47" s="9">
        <v>4</v>
      </c>
      <c r="G47" s="9">
        <v>2</v>
      </c>
      <c r="H47" s="9">
        <v>3</v>
      </c>
      <c r="I47" s="9">
        <v>2</v>
      </c>
      <c r="J47" s="9">
        <v>2</v>
      </c>
      <c r="K47" s="9">
        <v>2</v>
      </c>
      <c r="L47" s="9">
        <v>2</v>
      </c>
      <c r="M47" s="9">
        <v>2</v>
      </c>
      <c r="N47" s="9">
        <v>3</v>
      </c>
      <c r="O47" s="9">
        <v>2</v>
      </c>
    </row>
    <row r="48" spans="1:15" x14ac:dyDescent="0.2">
      <c r="A48" s="9">
        <v>47</v>
      </c>
      <c r="B48" s="9">
        <v>4</v>
      </c>
      <c r="C48" s="9">
        <v>3</v>
      </c>
      <c r="F48" s="9">
        <v>3</v>
      </c>
      <c r="G48" s="9">
        <v>2</v>
      </c>
      <c r="H48" s="9">
        <v>4</v>
      </c>
      <c r="I48" s="9">
        <v>3</v>
      </c>
      <c r="J48" s="9">
        <v>2</v>
      </c>
      <c r="K48" s="9">
        <v>1</v>
      </c>
      <c r="L48" s="9">
        <v>2</v>
      </c>
      <c r="M48" s="9">
        <v>1</v>
      </c>
      <c r="N48" s="9">
        <v>3</v>
      </c>
      <c r="O48" s="9">
        <v>1</v>
      </c>
    </row>
    <row r="49" spans="1:15" x14ac:dyDescent="0.2">
      <c r="A49" s="9">
        <v>48</v>
      </c>
      <c r="B49" s="9">
        <v>4</v>
      </c>
      <c r="C49" s="9">
        <v>5</v>
      </c>
      <c r="F49" s="9">
        <v>4</v>
      </c>
      <c r="G49" s="9">
        <v>5</v>
      </c>
      <c r="H49" s="9">
        <v>3</v>
      </c>
      <c r="I49" s="9">
        <v>4</v>
      </c>
      <c r="J49" s="9">
        <v>5</v>
      </c>
      <c r="K49" s="9">
        <v>5</v>
      </c>
      <c r="L49" s="9">
        <v>4</v>
      </c>
      <c r="M49" s="9">
        <v>5</v>
      </c>
      <c r="N49" s="9">
        <v>3</v>
      </c>
      <c r="O49" s="9">
        <v>5</v>
      </c>
    </row>
    <row r="50" spans="1:15" x14ac:dyDescent="0.2">
      <c r="A50" s="9">
        <v>49</v>
      </c>
      <c r="B50" s="9">
        <v>2</v>
      </c>
      <c r="C50" s="9">
        <v>1</v>
      </c>
      <c r="F50" s="9">
        <v>1</v>
      </c>
      <c r="G50" s="9">
        <v>1</v>
      </c>
      <c r="H50" s="9">
        <v>3</v>
      </c>
      <c r="I50" s="9">
        <v>2</v>
      </c>
      <c r="J50" s="9">
        <v>1</v>
      </c>
      <c r="K50" s="9">
        <v>1</v>
      </c>
      <c r="L50" s="9">
        <v>3</v>
      </c>
      <c r="M50" s="9">
        <v>3</v>
      </c>
      <c r="N50" s="9">
        <v>2</v>
      </c>
      <c r="O50" s="9">
        <v>2</v>
      </c>
    </row>
    <row r="51" spans="1:15" x14ac:dyDescent="0.2">
      <c r="A51" s="9">
        <v>50</v>
      </c>
      <c r="B51" s="9">
        <v>3</v>
      </c>
      <c r="C51" s="9">
        <v>2</v>
      </c>
      <c r="F51" s="9">
        <v>3</v>
      </c>
      <c r="G51" s="9">
        <v>1</v>
      </c>
      <c r="H51" s="9">
        <v>1</v>
      </c>
      <c r="I51" s="9">
        <v>3</v>
      </c>
      <c r="J51" s="9">
        <v>2</v>
      </c>
      <c r="K51" s="9">
        <v>2</v>
      </c>
      <c r="L51" s="9">
        <v>3</v>
      </c>
      <c r="M51" s="9">
        <v>2</v>
      </c>
      <c r="N51" s="9">
        <v>2</v>
      </c>
      <c r="O51" s="9">
        <v>2</v>
      </c>
    </row>
    <row r="52" spans="1:15" x14ac:dyDescent="0.2">
      <c r="A52" s="9">
        <v>51</v>
      </c>
      <c r="B52" s="9">
        <v>2</v>
      </c>
      <c r="C52" s="9">
        <v>1</v>
      </c>
      <c r="F52" s="9">
        <v>4</v>
      </c>
      <c r="G52" s="9">
        <v>1</v>
      </c>
      <c r="H52" s="9">
        <v>2</v>
      </c>
      <c r="I52" s="9">
        <v>3</v>
      </c>
      <c r="J52" s="9">
        <v>2</v>
      </c>
      <c r="K52" s="9">
        <v>2</v>
      </c>
      <c r="L52" s="9">
        <v>3</v>
      </c>
      <c r="M52" s="9">
        <v>3</v>
      </c>
      <c r="N52" s="9">
        <v>2</v>
      </c>
      <c r="O52" s="9">
        <v>2</v>
      </c>
    </row>
    <row r="53" spans="1:15" x14ac:dyDescent="0.2">
      <c r="A53" s="9">
        <v>52</v>
      </c>
      <c r="B53" s="9">
        <v>3</v>
      </c>
      <c r="C53" s="9">
        <v>4</v>
      </c>
      <c r="F53" s="9">
        <v>5</v>
      </c>
      <c r="G53" s="9">
        <v>3</v>
      </c>
      <c r="H53" s="9">
        <v>4</v>
      </c>
      <c r="I53" s="9">
        <v>3</v>
      </c>
      <c r="J53" s="9">
        <v>5</v>
      </c>
      <c r="K53" s="9">
        <v>3</v>
      </c>
      <c r="L53" s="9">
        <v>4</v>
      </c>
      <c r="M53" s="9">
        <v>3</v>
      </c>
      <c r="N53" s="9">
        <v>4</v>
      </c>
      <c r="O53" s="9">
        <v>3</v>
      </c>
    </row>
    <row r="54" spans="1:15" x14ac:dyDescent="0.2">
      <c r="A54" s="9">
        <v>53</v>
      </c>
      <c r="B54" s="9">
        <v>3</v>
      </c>
      <c r="C54" s="9">
        <v>3</v>
      </c>
      <c r="F54" s="9">
        <v>3</v>
      </c>
      <c r="G54" s="9">
        <v>3</v>
      </c>
      <c r="H54" s="9">
        <v>3</v>
      </c>
      <c r="I54" s="9">
        <v>3</v>
      </c>
      <c r="J54" s="9">
        <v>3</v>
      </c>
      <c r="K54" s="9">
        <v>3</v>
      </c>
      <c r="L54" s="9">
        <v>3</v>
      </c>
      <c r="M54" s="9">
        <v>3</v>
      </c>
      <c r="N54" s="9">
        <v>3</v>
      </c>
      <c r="O54" s="9">
        <v>3</v>
      </c>
    </row>
    <row r="55" spans="1:15" x14ac:dyDescent="0.2">
      <c r="A55" s="9">
        <v>54</v>
      </c>
      <c r="B55" s="9">
        <v>4</v>
      </c>
      <c r="C55" s="9">
        <v>2</v>
      </c>
      <c r="F55" s="9">
        <v>3</v>
      </c>
      <c r="G55" s="9">
        <v>2</v>
      </c>
      <c r="H55" s="9">
        <v>3</v>
      </c>
      <c r="I55" s="9">
        <v>2</v>
      </c>
      <c r="J55" s="9">
        <v>2</v>
      </c>
      <c r="K55" s="9">
        <v>2</v>
      </c>
      <c r="L55" s="9">
        <v>3</v>
      </c>
      <c r="M55" s="9">
        <v>2</v>
      </c>
      <c r="N55" s="9">
        <v>3</v>
      </c>
      <c r="O55" s="9">
        <v>2</v>
      </c>
    </row>
    <row r="56" spans="1:15" x14ac:dyDescent="0.2">
      <c r="A56" s="9">
        <v>55</v>
      </c>
      <c r="B56" s="9">
        <v>4</v>
      </c>
      <c r="C56" s="9">
        <v>5</v>
      </c>
      <c r="F56" s="9">
        <v>4</v>
      </c>
      <c r="G56" s="9">
        <v>5</v>
      </c>
      <c r="H56" s="9">
        <v>4</v>
      </c>
      <c r="I56" s="9">
        <v>5</v>
      </c>
      <c r="J56" s="9">
        <v>3</v>
      </c>
      <c r="K56" s="9">
        <v>5</v>
      </c>
      <c r="L56" s="9">
        <v>3</v>
      </c>
      <c r="M56" s="9">
        <v>5</v>
      </c>
      <c r="N56" s="9">
        <v>3</v>
      </c>
      <c r="O56" s="9">
        <v>5</v>
      </c>
    </row>
    <row r="57" spans="1:15" x14ac:dyDescent="0.2">
      <c r="A57" s="9">
        <v>56</v>
      </c>
      <c r="B57" s="9">
        <v>3</v>
      </c>
      <c r="C57" s="9">
        <v>1</v>
      </c>
      <c r="F57" s="9">
        <v>4</v>
      </c>
      <c r="G57" s="9">
        <v>1</v>
      </c>
      <c r="H57" s="9">
        <v>5</v>
      </c>
      <c r="I57" s="9">
        <v>2</v>
      </c>
      <c r="J57" s="9">
        <v>3</v>
      </c>
      <c r="K57" s="9">
        <v>1</v>
      </c>
      <c r="L57" s="9">
        <v>3</v>
      </c>
      <c r="M57" s="9">
        <v>1</v>
      </c>
      <c r="N57" s="9">
        <v>5</v>
      </c>
      <c r="O57" s="9">
        <v>1</v>
      </c>
    </row>
    <row r="58" spans="1:15" x14ac:dyDescent="0.2">
      <c r="A58" s="9">
        <v>57</v>
      </c>
      <c r="B58" s="9">
        <v>5</v>
      </c>
      <c r="C58" s="9">
        <v>5</v>
      </c>
      <c r="F58" s="9">
        <v>3</v>
      </c>
      <c r="G58" s="9">
        <v>3</v>
      </c>
      <c r="H58" s="9">
        <v>1</v>
      </c>
      <c r="I58" s="9">
        <v>4</v>
      </c>
      <c r="J58" s="9">
        <v>3</v>
      </c>
      <c r="K58" s="9">
        <v>3</v>
      </c>
      <c r="L58" s="9">
        <v>4</v>
      </c>
      <c r="M58" s="9">
        <v>3</v>
      </c>
      <c r="N58" s="9">
        <v>4</v>
      </c>
      <c r="O58" s="9">
        <v>4</v>
      </c>
    </row>
    <row r="59" spans="1:15" x14ac:dyDescent="0.2">
      <c r="A59" s="9">
        <v>58</v>
      </c>
      <c r="B59" s="11">
        <v>5</v>
      </c>
      <c r="C59" s="11">
        <v>5</v>
      </c>
      <c r="D59" s="11"/>
      <c r="E59" s="11"/>
      <c r="F59" s="11">
        <v>1</v>
      </c>
      <c r="G59" s="11">
        <v>5</v>
      </c>
      <c r="H59" s="11">
        <v>1</v>
      </c>
      <c r="I59" s="11">
        <v>5</v>
      </c>
      <c r="J59" s="11">
        <v>2</v>
      </c>
      <c r="K59" s="11">
        <v>2</v>
      </c>
      <c r="L59" s="11">
        <v>3</v>
      </c>
      <c r="M59" s="11">
        <v>2</v>
      </c>
      <c r="N59" s="11">
        <v>2</v>
      </c>
      <c r="O59" s="11">
        <v>2</v>
      </c>
    </row>
    <row r="60" spans="1:15" x14ac:dyDescent="0.2">
      <c r="A60" s="9">
        <v>59</v>
      </c>
      <c r="B60" s="11">
        <v>1</v>
      </c>
      <c r="C60" s="11">
        <v>1</v>
      </c>
      <c r="D60" s="11"/>
      <c r="E60" s="11"/>
      <c r="F60" s="11">
        <v>3</v>
      </c>
      <c r="G60" s="11">
        <v>2</v>
      </c>
      <c r="H60" s="11">
        <v>1</v>
      </c>
      <c r="I60" s="11">
        <v>1</v>
      </c>
      <c r="J60" s="11">
        <v>2</v>
      </c>
      <c r="K60" s="11">
        <v>1</v>
      </c>
      <c r="L60" s="11">
        <v>4</v>
      </c>
      <c r="M60" s="11">
        <v>3</v>
      </c>
      <c r="N60" s="11">
        <v>3</v>
      </c>
      <c r="O60" s="11">
        <v>1</v>
      </c>
    </row>
    <row r="61" spans="1:15" x14ac:dyDescent="0.2">
      <c r="A61" s="9">
        <v>60</v>
      </c>
      <c r="B61" s="11">
        <v>3</v>
      </c>
      <c r="C61" s="11">
        <v>1</v>
      </c>
      <c r="D61" s="11"/>
      <c r="E61" s="11"/>
      <c r="F61" s="11">
        <v>4</v>
      </c>
      <c r="G61" s="11">
        <v>2</v>
      </c>
      <c r="H61" s="11">
        <v>2</v>
      </c>
      <c r="I61" s="11">
        <v>1</v>
      </c>
      <c r="J61" s="11">
        <v>2</v>
      </c>
      <c r="K61" s="11">
        <v>1</v>
      </c>
      <c r="L61" s="11">
        <v>4</v>
      </c>
      <c r="M61" s="11">
        <v>1</v>
      </c>
      <c r="N61" s="11">
        <v>4</v>
      </c>
      <c r="O61" s="11">
        <v>2</v>
      </c>
    </row>
    <row r="62" spans="1:15" x14ac:dyDescent="0.2">
      <c r="A62" s="9">
        <v>61</v>
      </c>
      <c r="B62" s="24"/>
      <c r="C62" s="24"/>
      <c r="D62" s="11">
        <v>2</v>
      </c>
      <c r="E62" s="11">
        <v>5</v>
      </c>
      <c r="F62" s="11">
        <v>5</v>
      </c>
      <c r="G62" s="11">
        <v>5</v>
      </c>
      <c r="H62" s="11">
        <v>5</v>
      </c>
      <c r="I62" s="11">
        <v>4</v>
      </c>
      <c r="J62" s="11">
        <v>5</v>
      </c>
      <c r="K62" s="11">
        <v>5</v>
      </c>
      <c r="L62" s="11">
        <v>5</v>
      </c>
      <c r="M62" s="11">
        <v>5</v>
      </c>
      <c r="N62" s="11">
        <v>5</v>
      </c>
      <c r="O62" s="11">
        <v>5</v>
      </c>
    </row>
    <row r="63" spans="1:15" x14ac:dyDescent="0.2">
      <c r="A63" s="9">
        <v>62</v>
      </c>
      <c r="B63" s="24"/>
      <c r="C63" s="24"/>
      <c r="D63" s="11">
        <v>2</v>
      </c>
      <c r="E63" s="11">
        <v>3</v>
      </c>
      <c r="F63" s="11">
        <v>2</v>
      </c>
      <c r="G63" s="11">
        <v>3</v>
      </c>
      <c r="H63" s="11">
        <v>2</v>
      </c>
      <c r="I63" s="11">
        <v>1</v>
      </c>
      <c r="J63" s="11">
        <v>2</v>
      </c>
      <c r="K63" s="11">
        <v>3</v>
      </c>
      <c r="L63" s="11">
        <v>2</v>
      </c>
      <c r="M63" s="11">
        <v>1</v>
      </c>
      <c r="N63" s="11">
        <v>2</v>
      </c>
      <c r="O63" s="11">
        <v>3</v>
      </c>
    </row>
    <row r="64" spans="1:15" x14ac:dyDescent="0.2">
      <c r="A64" s="9">
        <v>63</v>
      </c>
      <c r="B64" s="24"/>
      <c r="C64" s="24"/>
      <c r="D64" s="11">
        <v>2</v>
      </c>
      <c r="E64" s="11">
        <v>2</v>
      </c>
      <c r="F64" s="11">
        <v>2</v>
      </c>
      <c r="G64" s="11">
        <v>2</v>
      </c>
      <c r="H64" s="11">
        <v>3</v>
      </c>
      <c r="I64" s="11">
        <v>3</v>
      </c>
      <c r="J64" s="11">
        <v>3</v>
      </c>
      <c r="K64" s="11">
        <v>2</v>
      </c>
      <c r="L64" s="11">
        <v>2</v>
      </c>
      <c r="M64" s="11">
        <v>2</v>
      </c>
      <c r="N64" s="11">
        <v>2</v>
      </c>
      <c r="O64" s="11">
        <v>2</v>
      </c>
    </row>
    <row r="65" spans="1:15" x14ac:dyDescent="0.2">
      <c r="A65" s="9">
        <v>64</v>
      </c>
      <c r="B65" s="24"/>
      <c r="C65" s="24"/>
      <c r="D65" s="33"/>
      <c r="E65" s="33"/>
      <c r="F65" s="33"/>
      <c r="G65" s="33"/>
      <c r="H65" s="33"/>
      <c r="I65" s="33"/>
      <c r="J65" s="33"/>
      <c r="K65" s="33"/>
      <c r="L65" s="33"/>
      <c r="M65" s="33"/>
      <c r="N65" s="33"/>
      <c r="O65" s="33"/>
    </row>
    <row r="66" spans="1:15" x14ac:dyDescent="0.2">
      <c r="A66" s="9">
        <v>65</v>
      </c>
      <c r="B66" s="24"/>
      <c r="C66" s="24"/>
      <c r="D66" s="11">
        <v>1</v>
      </c>
      <c r="E66" s="11">
        <v>1</v>
      </c>
      <c r="F66" s="11">
        <v>1</v>
      </c>
      <c r="G66" s="11">
        <v>1</v>
      </c>
      <c r="H66" s="11">
        <v>1</v>
      </c>
      <c r="I66" s="11">
        <v>1</v>
      </c>
      <c r="J66" s="11">
        <v>1</v>
      </c>
      <c r="K66" s="11">
        <v>1</v>
      </c>
      <c r="L66" s="11">
        <v>1</v>
      </c>
      <c r="M66" s="11">
        <v>1</v>
      </c>
      <c r="N66" s="11">
        <v>1</v>
      </c>
      <c r="O66" s="11">
        <v>1</v>
      </c>
    </row>
    <row r="67" spans="1:15" x14ac:dyDescent="0.2">
      <c r="A67" s="9">
        <v>66</v>
      </c>
      <c r="B67" s="24"/>
      <c r="C67" s="24"/>
      <c r="D67" s="11">
        <v>1</v>
      </c>
      <c r="E67" s="11">
        <v>5</v>
      </c>
      <c r="F67" s="11">
        <v>1</v>
      </c>
      <c r="G67" s="11">
        <v>5</v>
      </c>
      <c r="H67" s="11">
        <v>5</v>
      </c>
      <c r="I67" s="11">
        <v>3</v>
      </c>
      <c r="J67" s="11">
        <v>1</v>
      </c>
      <c r="K67" s="11">
        <v>5</v>
      </c>
      <c r="L67" s="11">
        <v>1</v>
      </c>
      <c r="M67" s="11">
        <v>5</v>
      </c>
      <c r="N67" s="11">
        <v>1</v>
      </c>
      <c r="O67" s="11">
        <v>5</v>
      </c>
    </row>
    <row r="68" spans="1:15" x14ac:dyDescent="0.2">
      <c r="A68" s="9">
        <v>67</v>
      </c>
      <c r="B68" s="24"/>
      <c r="C68" s="24"/>
      <c r="D68" s="11">
        <v>4</v>
      </c>
      <c r="E68" s="11">
        <v>1</v>
      </c>
      <c r="F68" s="11">
        <v>4</v>
      </c>
      <c r="G68" s="11">
        <v>1</v>
      </c>
      <c r="H68" s="11">
        <v>4</v>
      </c>
      <c r="I68" s="11">
        <v>1</v>
      </c>
      <c r="J68" s="11">
        <v>4</v>
      </c>
      <c r="K68" s="11">
        <v>1</v>
      </c>
      <c r="L68" s="11">
        <v>4</v>
      </c>
      <c r="M68" s="11">
        <v>1</v>
      </c>
      <c r="N68" s="11">
        <v>3</v>
      </c>
      <c r="O68" s="11">
        <v>1</v>
      </c>
    </row>
    <row r="69" spans="1:15" x14ac:dyDescent="0.2">
      <c r="A69" s="9">
        <v>68</v>
      </c>
      <c r="B69" s="24"/>
      <c r="C69" s="24"/>
      <c r="D69" s="11">
        <v>1</v>
      </c>
      <c r="E69" s="11">
        <v>5</v>
      </c>
      <c r="F69" s="11">
        <v>1</v>
      </c>
      <c r="G69" s="11">
        <v>5</v>
      </c>
      <c r="H69" s="11">
        <v>3</v>
      </c>
      <c r="I69" s="11">
        <v>4</v>
      </c>
      <c r="J69" s="11">
        <v>1</v>
      </c>
      <c r="K69" s="11">
        <v>5</v>
      </c>
      <c r="L69" s="11">
        <v>1</v>
      </c>
      <c r="M69" s="11">
        <v>5</v>
      </c>
      <c r="N69" s="11">
        <v>2</v>
      </c>
      <c r="O69" s="11">
        <v>2</v>
      </c>
    </row>
    <row r="70" spans="1:15" x14ac:dyDescent="0.2">
      <c r="A70" s="9">
        <v>69</v>
      </c>
      <c r="B70" s="24"/>
      <c r="C70" s="24"/>
      <c r="D70" s="11">
        <v>3</v>
      </c>
      <c r="E70" s="11">
        <v>3</v>
      </c>
      <c r="F70" s="11">
        <v>3</v>
      </c>
      <c r="G70" s="11">
        <v>3</v>
      </c>
      <c r="H70" s="11">
        <v>3</v>
      </c>
      <c r="I70" s="11">
        <v>3</v>
      </c>
      <c r="J70" s="11">
        <v>3</v>
      </c>
      <c r="K70" s="11">
        <v>3</v>
      </c>
      <c r="L70" s="11">
        <v>3</v>
      </c>
      <c r="M70" s="11">
        <v>3</v>
      </c>
      <c r="N70" s="11">
        <v>3</v>
      </c>
      <c r="O70" s="11">
        <v>3</v>
      </c>
    </row>
    <row r="71" spans="1:15" x14ac:dyDescent="0.2">
      <c r="A71" s="9">
        <v>70</v>
      </c>
      <c r="B71" s="24"/>
      <c r="C71" s="24"/>
      <c r="D71" s="11">
        <v>4</v>
      </c>
      <c r="E71" s="11">
        <v>5</v>
      </c>
      <c r="F71" s="11">
        <v>5</v>
      </c>
      <c r="G71" s="11">
        <v>5</v>
      </c>
      <c r="H71" s="11">
        <v>5</v>
      </c>
      <c r="I71" s="11">
        <v>5</v>
      </c>
      <c r="J71" s="11">
        <v>5</v>
      </c>
      <c r="K71" s="11">
        <v>5</v>
      </c>
      <c r="L71" s="11">
        <v>5</v>
      </c>
      <c r="M71" s="11">
        <v>5</v>
      </c>
      <c r="N71" s="11">
        <v>5</v>
      </c>
      <c r="O71" s="11">
        <v>5</v>
      </c>
    </row>
    <row r="72" spans="1:15" x14ac:dyDescent="0.2">
      <c r="A72" s="9">
        <v>71</v>
      </c>
      <c r="B72" s="24"/>
      <c r="C72" s="24"/>
      <c r="D72" s="11">
        <v>2</v>
      </c>
      <c r="E72" s="11">
        <v>3</v>
      </c>
      <c r="F72" s="11">
        <v>3</v>
      </c>
      <c r="G72" s="11">
        <v>1</v>
      </c>
      <c r="H72" s="11">
        <v>1</v>
      </c>
      <c r="I72" s="11">
        <v>3</v>
      </c>
      <c r="J72" s="11">
        <v>1</v>
      </c>
      <c r="K72" s="11">
        <v>3</v>
      </c>
      <c r="L72" s="11">
        <v>5</v>
      </c>
      <c r="M72" s="11">
        <v>2</v>
      </c>
      <c r="N72" s="11">
        <v>3</v>
      </c>
      <c r="O72" s="11">
        <v>2</v>
      </c>
    </row>
    <row r="73" spans="1:15" x14ac:dyDescent="0.2">
      <c r="A73" s="9">
        <v>72</v>
      </c>
      <c r="B73" s="24"/>
      <c r="C73" s="24"/>
      <c r="D73" s="11">
        <v>1</v>
      </c>
      <c r="E73" s="11">
        <v>1</v>
      </c>
      <c r="F73" s="11">
        <v>2</v>
      </c>
      <c r="G73" s="11">
        <v>2</v>
      </c>
      <c r="H73" s="11">
        <v>2</v>
      </c>
      <c r="I73" s="11">
        <v>2</v>
      </c>
      <c r="J73" s="11">
        <v>2</v>
      </c>
      <c r="K73" s="11">
        <v>2</v>
      </c>
      <c r="L73" s="11">
        <v>3</v>
      </c>
      <c r="M73" s="11">
        <v>2</v>
      </c>
      <c r="N73" s="11">
        <v>2</v>
      </c>
      <c r="O73" s="11">
        <v>2</v>
      </c>
    </row>
    <row r="74" spans="1:15" x14ac:dyDescent="0.2">
      <c r="A74" s="9">
        <v>73</v>
      </c>
      <c r="B74" s="24"/>
      <c r="C74" s="24"/>
      <c r="D74" s="33"/>
      <c r="E74" s="33"/>
      <c r="F74" s="33"/>
      <c r="G74" s="33"/>
      <c r="H74" s="33"/>
      <c r="I74" s="33"/>
      <c r="J74" s="33"/>
      <c r="K74" s="33"/>
      <c r="L74" s="33"/>
      <c r="M74" s="33"/>
      <c r="N74" s="33"/>
      <c r="O74" s="33"/>
    </row>
    <row r="75" spans="1:15" x14ac:dyDescent="0.2">
      <c r="A75" s="9">
        <v>74</v>
      </c>
      <c r="B75" s="24"/>
      <c r="C75" s="24"/>
      <c r="D75" s="11">
        <v>3</v>
      </c>
      <c r="E75" s="11">
        <v>3</v>
      </c>
      <c r="F75" s="11">
        <v>1</v>
      </c>
      <c r="G75" s="11">
        <v>1</v>
      </c>
      <c r="H75" s="11">
        <v>3</v>
      </c>
      <c r="I75" s="11">
        <v>3</v>
      </c>
      <c r="J75" s="11">
        <v>1</v>
      </c>
      <c r="K75" s="11">
        <v>1</v>
      </c>
      <c r="L75" s="11">
        <v>3</v>
      </c>
      <c r="M75" s="11">
        <v>3</v>
      </c>
      <c r="N75" s="11">
        <v>3</v>
      </c>
      <c r="O75" s="11">
        <v>3</v>
      </c>
    </row>
    <row r="76" spans="1:15" x14ac:dyDescent="0.2">
      <c r="A76" s="9">
        <v>75</v>
      </c>
      <c r="B76" s="24"/>
      <c r="C76" s="24"/>
      <c r="D76" s="33"/>
      <c r="E76" s="33"/>
      <c r="F76" s="33"/>
      <c r="G76" s="33"/>
      <c r="H76" s="33"/>
      <c r="I76" s="33"/>
      <c r="J76" s="33"/>
      <c r="K76" s="33"/>
      <c r="L76" s="33"/>
      <c r="M76" s="33"/>
      <c r="N76" s="33"/>
      <c r="O76" s="33"/>
    </row>
    <row r="77" spans="1:15" x14ac:dyDescent="0.2">
      <c r="A77" s="9">
        <v>76</v>
      </c>
      <c r="B77" s="24"/>
      <c r="C77" s="24"/>
      <c r="D77" s="11">
        <v>1</v>
      </c>
      <c r="E77" s="11">
        <v>5</v>
      </c>
      <c r="F77" s="11">
        <v>1</v>
      </c>
      <c r="G77" s="11">
        <v>5</v>
      </c>
      <c r="H77" s="11">
        <v>1</v>
      </c>
      <c r="I77" s="11">
        <v>5</v>
      </c>
      <c r="J77" s="11">
        <v>1</v>
      </c>
      <c r="K77" s="11">
        <v>5</v>
      </c>
      <c r="L77" s="11">
        <v>1</v>
      </c>
      <c r="M77" s="11">
        <v>5</v>
      </c>
      <c r="N77" s="11">
        <v>1</v>
      </c>
      <c r="O77" s="11">
        <v>5</v>
      </c>
    </row>
    <row r="78" spans="1:15" x14ac:dyDescent="0.2">
      <c r="A78" s="9">
        <v>77</v>
      </c>
      <c r="B78" s="24"/>
      <c r="C78" s="24"/>
      <c r="D78" s="11">
        <v>5</v>
      </c>
      <c r="E78" s="11">
        <v>5</v>
      </c>
      <c r="F78" s="11">
        <v>5</v>
      </c>
      <c r="G78" s="11">
        <v>5</v>
      </c>
      <c r="H78" s="11">
        <v>3</v>
      </c>
      <c r="I78" s="11">
        <v>3</v>
      </c>
      <c r="J78" s="11">
        <v>5</v>
      </c>
      <c r="K78" s="11">
        <v>5</v>
      </c>
      <c r="L78" s="11">
        <v>5</v>
      </c>
      <c r="M78" s="11">
        <v>5</v>
      </c>
      <c r="N78" s="11">
        <v>5</v>
      </c>
      <c r="O78" s="11">
        <v>5</v>
      </c>
    </row>
    <row r="79" spans="1:15" x14ac:dyDescent="0.2">
      <c r="A79" s="9">
        <v>78</v>
      </c>
      <c r="B79" s="24"/>
      <c r="C79" s="24"/>
      <c r="D79" s="11">
        <v>5</v>
      </c>
      <c r="E79" s="11">
        <v>5</v>
      </c>
      <c r="F79" s="11">
        <v>5</v>
      </c>
      <c r="G79" s="11">
        <v>5</v>
      </c>
      <c r="H79" s="11">
        <v>1</v>
      </c>
      <c r="I79" s="11">
        <v>3</v>
      </c>
      <c r="J79" s="11">
        <v>1</v>
      </c>
      <c r="K79" s="11">
        <v>3</v>
      </c>
      <c r="L79" s="11">
        <v>5</v>
      </c>
      <c r="M79" s="11">
        <v>5</v>
      </c>
      <c r="N79" s="11">
        <v>1</v>
      </c>
      <c r="O79" s="11">
        <v>3</v>
      </c>
    </row>
    <row r="80" spans="1:15" x14ac:dyDescent="0.2">
      <c r="A80" s="9">
        <v>79</v>
      </c>
      <c r="B80" s="24"/>
      <c r="C80" s="24"/>
      <c r="D80" s="11">
        <v>1</v>
      </c>
      <c r="E80" s="11">
        <v>5</v>
      </c>
      <c r="F80" s="11">
        <v>1</v>
      </c>
      <c r="G80" s="11">
        <v>5</v>
      </c>
      <c r="H80" s="11">
        <v>1</v>
      </c>
      <c r="I80" s="11">
        <v>5</v>
      </c>
      <c r="J80" s="11">
        <v>1</v>
      </c>
      <c r="K80" s="11">
        <v>5</v>
      </c>
      <c r="L80" s="11">
        <v>1</v>
      </c>
      <c r="M80" s="11">
        <v>5</v>
      </c>
      <c r="N80" s="11">
        <v>1</v>
      </c>
      <c r="O80" s="11">
        <v>5</v>
      </c>
    </row>
    <row r="81" spans="1:15" x14ac:dyDescent="0.2">
      <c r="A81" s="9">
        <v>80</v>
      </c>
      <c r="B81" s="24"/>
      <c r="C81" s="24"/>
      <c r="D81" s="11">
        <v>4</v>
      </c>
      <c r="E81" s="11">
        <v>1</v>
      </c>
      <c r="F81" s="11">
        <v>3</v>
      </c>
      <c r="G81" s="11">
        <v>1</v>
      </c>
      <c r="H81" s="11">
        <v>2</v>
      </c>
      <c r="I81" s="11">
        <v>1</v>
      </c>
      <c r="J81" s="11">
        <v>2</v>
      </c>
      <c r="K81" s="11">
        <v>1</v>
      </c>
      <c r="L81" s="11">
        <v>3</v>
      </c>
      <c r="M81" s="11">
        <v>2</v>
      </c>
      <c r="N81" s="11">
        <v>3</v>
      </c>
      <c r="O81" s="11">
        <v>1</v>
      </c>
    </row>
    <row r="82" spans="1:15" x14ac:dyDescent="0.2">
      <c r="A82" s="9">
        <v>81</v>
      </c>
      <c r="B82" s="24"/>
      <c r="C82" s="24"/>
      <c r="D82" s="11">
        <v>1</v>
      </c>
      <c r="E82" s="11">
        <v>3</v>
      </c>
      <c r="F82" s="11">
        <v>1</v>
      </c>
      <c r="G82" s="11">
        <v>3</v>
      </c>
      <c r="H82" s="11">
        <v>3</v>
      </c>
      <c r="I82" s="11">
        <v>3</v>
      </c>
      <c r="J82" s="11">
        <v>3</v>
      </c>
      <c r="K82" s="11">
        <v>3</v>
      </c>
      <c r="L82" s="11">
        <v>3</v>
      </c>
      <c r="M82" s="11">
        <v>3</v>
      </c>
      <c r="N82" s="11">
        <v>3</v>
      </c>
      <c r="O82" s="11">
        <v>3</v>
      </c>
    </row>
    <row r="83" spans="1:15" x14ac:dyDescent="0.2">
      <c r="A83" s="9">
        <v>82</v>
      </c>
      <c r="B83" s="24"/>
      <c r="C83" s="24"/>
      <c r="D83" s="11">
        <v>2</v>
      </c>
      <c r="E83" s="11">
        <v>3</v>
      </c>
      <c r="F83" s="11">
        <v>2</v>
      </c>
      <c r="G83" s="11">
        <v>3</v>
      </c>
      <c r="H83" s="11">
        <v>2</v>
      </c>
      <c r="I83" s="11">
        <v>3</v>
      </c>
      <c r="J83" s="11">
        <v>1</v>
      </c>
      <c r="K83" s="11">
        <v>2</v>
      </c>
      <c r="L83" s="11">
        <v>2</v>
      </c>
      <c r="M83" s="11">
        <v>2</v>
      </c>
      <c r="N83" s="11">
        <v>2</v>
      </c>
      <c r="O83" s="11">
        <v>2</v>
      </c>
    </row>
    <row r="84" spans="1:15" x14ac:dyDescent="0.2">
      <c r="A84" s="9">
        <v>83</v>
      </c>
      <c r="B84" s="24"/>
      <c r="C84" s="24"/>
      <c r="D84" s="11">
        <v>1</v>
      </c>
      <c r="E84" s="11">
        <v>1</v>
      </c>
      <c r="F84" s="11">
        <v>1</v>
      </c>
      <c r="G84" s="11">
        <v>1</v>
      </c>
      <c r="H84" s="11">
        <v>4</v>
      </c>
      <c r="I84" s="11">
        <v>1</v>
      </c>
      <c r="J84" s="11">
        <v>1</v>
      </c>
      <c r="K84" s="11">
        <v>1</v>
      </c>
      <c r="L84" s="11">
        <v>4</v>
      </c>
      <c r="M84" s="11">
        <v>1</v>
      </c>
      <c r="N84" s="11">
        <v>3</v>
      </c>
      <c r="O84" s="11">
        <v>1</v>
      </c>
    </row>
    <row r="85" spans="1:15" x14ac:dyDescent="0.2">
      <c r="A85" s="9">
        <v>84</v>
      </c>
      <c r="B85" s="24"/>
      <c r="C85" s="24"/>
      <c r="D85" s="11">
        <v>3</v>
      </c>
      <c r="E85" s="11">
        <v>5</v>
      </c>
      <c r="F85" s="11">
        <v>3</v>
      </c>
      <c r="G85" s="11">
        <v>5</v>
      </c>
      <c r="H85" s="11">
        <v>3</v>
      </c>
      <c r="I85" s="11">
        <v>5</v>
      </c>
      <c r="J85" s="11">
        <v>3</v>
      </c>
      <c r="K85" s="11">
        <v>5</v>
      </c>
      <c r="L85" s="11">
        <v>5</v>
      </c>
      <c r="M85" s="11">
        <v>5</v>
      </c>
      <c r="N85" s="11">
        <v>5</v>
      </c>
      <c r="O85" s="11">
        <v>5</v>
      </c>
    </row>
    <row r="86" spans="1:15" x14ac:dyDescent="0.2">
      <c r="A86" s="9">
        <v>85</v>
      </c>
      <c r="B86" s="24"/>
      <c r="C86" s="24"/>
      <c r="D86" s="11">
        <v>1</v>
      </c>
      <c r="E86" s="11">
        <v>1</v>
      </c>
      <c r="F86" s="11">
        <v>3</v>
      </c>
      <c r="G86" s="11">
        <v>5</v>
      </c>
      <c r="H86" s="11">
        <v>4</v>
      </c>
      <c r="I86" s="11">
        <v>4</v>
      </c>
      <c r="J86" s="11">
        <v>1</v>
      </c>
      <c r="K86" s="11">
        <v>1</v>
      </c>
      <c r="L86" s="11">
        <v>1</v>
      </c>
      <c r="M86" s="11">
        <v>1</v>
      </c>
      <c r="N86" s="11">
        <v>2</v>
      </c>
      <c r="O86" s="11">
        <v>1</v>
      </c>
    </row>
    <row r="87" spans="1:15" x14ac:dyDescent="0.2">
      <c r="A87" s="9">
        <v>86</v>
      </c>
      <c r="B87" s="24"/>
      <c r="C87" s="24"/>
      <c r="D87" s="33"/>
      <c r="E87" s="33"/>
      <c r="F87" s="33"/>
      <c r="G87" s="33"/>
      <c r="H87" s="33"/>
      <c r="I87" s="33"/>
      <c r="J87" s="33"/>
      <c r="K87" s="33"/>
      <c r="L87" s="33"/>
      <c r="M87" s="33"/>
      <c r="N87" s="33"/>
      <c r="O87" s="33"/>
    </row>
    <row r="88" spans="1:15" x14ac:dyDescent="0.2">
      <c r="A88" s="9">
        <v>87</v>
      </c>
      <c r="B88" s="24"/>
      <c r="C88" s="24"/>
      <c r="D88" s="11">
        <v>1</v>
      </c>
      <c r="E88" s="11">
        <v>2</v>
      </c>
      <c r="F88" s="11">
        <v>1</v>
      </c>
      <c r="G88" s="11">
        <v>3</v>
      </c>
      <c r="H88" s="11">
        <v>2</v>
      </c>
      <c r="I88" s="11">
        <v>3</v>
      </c>
      <c r="J88" s="11">
        <v>2</v>
      </c>
      <c r="K88" s="11">
        <v>3</v>
      </c>
      <c r="L88" s="11">
        <v>1</v>
      </c>
      <c r="M88" s="11">
        <v>3</v>
      </c>
      <c r="N88" s="11">
        <v>1</v>
      </c>
      <c r="O88" s="11">
        <v>3</v>
      </c>
    </row>
    <row r="89" spans="1:15" x14ac:dyDescent="0.2">
      <c r="A89" s="9">
        <v>88</v>
      </c>
      <c r="B89" s="24"/>
      <c r="C89" s="24"/>
      <c r="D89" s="11">
        <v>1</v>
      </c>
      <c r="E89" s="11">
        <v>1</v>
      </c>
      <c r="F89" s="11">
        <v>1</v>
      </c>
      <c r="G89" s="11">
        <v>1</v>
      </c>
      <c r="H89" s="11">
        <v>3</v>
      </c>
      <c r="I89" s="11">
        <v>1</v>
      </c>
      <c r="J89" s="11">
        <v>1</v>
      </c>
      <c r="K89" s="11">
        <v>1</v>
      </c>
      <c r="L89" s="11">
        <v>1</v>
      </c>
      <c r="M89" s="11">
        <v>1</v>
      </c>
      <c r="N89" s="11">
        <v>1</v>
      </c>
      <c r="O89" s="11">
        <v>1</v>
      </c>
    </row>
    <row r="90" spans="1:15" x14ac:dyDescent="0.2">
      <c r="A90" s="9">
        <v>89</v>
      </c>
      <c r="B90" s="24"/>
      <c r="C90" s="24"/>
      <c r="D90" s="11">
        <v>3</v>
      </c>
      <c r="E90" s="11">
        <v>1</v>
      </c>
      <c r="F90" s="11">
        <v>4</v>
      </c>
      <c r="G90" s="11">
        <v>2</v>
      </c>
      <c r="H90" s="11">
        <v>1</v>
      </c>
      <c r="I90" s="11">
        <v>2</v>
      </c>
      <c r="J90" s="11">
        <v>2</v>
      </c>
      <c r="K90" s="11">
        <v>2</v>
      </c>
      <c r="L90" s="11">
        <v>3</v>
      </c>
      <c r="M90" s="11">
        <v>2</v>
      </c>
      <c r="N90" s="11">
        <v>4</v>
      </c>
      <c r="O90" s="11">
        <v>2</v>
      </c>
    </row>
    <row r="91" spans="1:15" x14ac:dyDescent="0.2">
      <c r="A91" s="9">
        <v>90</v>
      </c>
      <c r="B91" s="24"/>
      <c r="C91" s="24"/>
      <c r="D91" s="11">
        <v>2</v>
      </c>
      <c r="E91" s="11">
        <v>3</v>
      </c>
      <c r="F91" s="11">
        <v>2</v>
      </c>
      <c r="G91" s="11">
        <v>2</v>
      </c>
      <c r="H91" s="11">
        <v>1</v>
      </c>
      <c r="I91" s="11">
        <v>1</v>
      </c>
      <c r="J91" s="11">
        <v>2</v>
      </c>
      <c r="K91" s="11">
        <v>3</v>
      </c>
      <c r="L91" s="11">
        <v>4</v>
      </c>
      <c r="M91" s="11">
        <v>2</v>
      </c>
      <c r="N91" s="11">
        <v>3</v>
      </c>
      <c r="O91" s="11">
        <v>2</v>
      </c>
    </row>
    <row r="92" spans="1:15" x14ac:dyDescent="0.2">
      <c r="A92" s="9">
        <v>91</v>
      </c>
      <c r="B92" s="24"/>
      <c r="C92" s="24"/>
      <c r="D92" s="33"/>
      <c r="E92" s="33"/>
      <c r="F92" s="33"/>
      <c r="G92" s="33"/>
      <c r="H92" s="33"/>
      <c r="I92" s="33"/>
      <c r="J92" s="33"/>
      <c r="K92" s="33"/>
      <c r="L92" s="33"/>
      <c r="M92" s="33"/>
      <c r="N92" s="33"/>
      <c r="O92" s="33"/>
    </row>
    <row r="93" spans="1:15" x14ac:dyDescent="0.2">
      <c r="A93" s="9">
        <v>92</v>
      </c>
      <c r="B93" s="24"/>
      <c r="C93" s="24"/>
      <c r="D93" s="11">
        <v>5</v>
      </c>
      <c r="E93" s="11">
        <v>5</v>
      </c>
      <c r="F93" s="11">
        <v>3</v>
      </c>
      <c r="G93" s="11">
        <v>1</v>
      </c>
      <c r="H93" s="11">
        <v>2</v>
      </c>
      <c r="I93" s="11">
        <v>1</v>
      </c>
      <c r="J93" s="11">
        <v>3</v>
      </c>
      <c r="K93" s="11">
        <v>4</v>
      </c>
      <c r="L93" s="11">
        <v>3</v>
      </c>
      <c r="M93" s="11">
        <v>1</v>
      </c>
      <c r="N93" s="11">
        <v>4</v>
      </c>
      <c r="O93" s="11">
        <v>1</v>
      </c>
    </row>
    <row r="94" spans="1:15" x14ac:dyDescent="0.2">
      <c r="A94" s="9">
        <v>93</v>
      </c>
      <c r="B94" s="24"/>
      <c r="C94" s="24"/>
      <c r="D94" s="11">
        <v>3</v>
      </c>
      <c r="E94" s="11">
        <v>3</v>
      </c>
      <c r="F94" s="11">
        <v>3</v>
      </c>
      <c r="G94" s="11">
        <v>3</v>
      </c>
      <c r="H94" s="11">
        <v>3</v>
      </c>
      <c r="I94" s="11">
        <v>3</v>
      </c>
      <c r="J94" s="11">
        <v>3</v>
      </c>
      <c r="K94" s="11">
        <v>3</v>
      </c>
      <c r="L94" s="11">
        <v>3</v>
      </c>
      <c r="M94" s="11">
        <v>3</v>
      </c>
      <c r="N94" s="11">
        <v>3</v>
      </c>
      <c r="O94" s="11">
        <v>3</v>
      </c>
    </row>
    <row r="95" spans="1:15" x14ac:dyDescent="0.2">
      <c r="A95" s="9">
        <v>94</v>
      </c>
      <c r="B95" s="24"/>
      <c r="C95" s="24"/>
      <c r="D95" s="11">
        <v>4</v>
      </c>
      <c r="E95" s="11">
        <v>2</v>
      </c>
      <c r="F95" s="11">
        <v>4</v>
      </c>
      <c r="G95" s="11">
        <v>1</v>
      </c>
      <c r="H95" s="11">
        <v>3</v>
      </c>
      <c r="I95" s="11">
        <v>3</v>
      </c>
      <c r="J95" s="11">
        <v>3</v>
      </c>
      <c r="K95" s="11">
        <v>3</v>
      </c>
      <c r="L95" s="11">
        <v>2</v>
      </c>
      <c r="M95" s="11">
        <v>2</v>
      </c>
      <c r="N95" s="11">
        <v>4</v>
      </c>
      <c r="O95" s="11">
        <v>1</v>
      </c>
    </row>
    <row r="96" spans="1:15" x14ac:dyDescent="0.2">
      <c r="A96" s="9">
        <v>95</v>
      </c>
      <c r="B96" s="24"/>
      <c r="C96" s="24"/>
      <c r="D96" s="11">
        <v>4</v>
      </c>
      <c r="E96" s="11">
        <v>2</v>
      </c>
      <c r="F96" s="11">
        <v>5</v>
      </c>
      <c r="G96" s="11">
        <v>2</v>
      </c>
      <c r="H96" s="11">
        <v>4</v>
      </c>
      <c r="I96" s="11">
        <v>3</v>
      </c>
      <c r="J96" s="11">
        <v>3</v>
      </c>
      <c r="K96" s="11">
        <v>2</v>
      </c>
      <c r="L96" s="11">
        <v>5</v>
      </c>
      <c r="M96" s="11">
        <v>2</v>
      </c>
      <c r="N96" s="11">
        <v>5</v>
      </c>
      <c r="O96" s="11">
        <v>2</v>
      </c>
    </row>
    <row r="97" spans="1:15" x14ac:dyDescent="0.2">
      <c r="A97" s="9">
        <v>96</v>
      </c>
      <c r="B97" s="24"/>
      <c r="C97" s="24"/>
      <c r="D97" s="11">
        <v>1</v>
      </c>
      <c r="E97" s="11">
        <v>2</v>
      </c>
      <c r="F97" s="11">
        <v>1</v>
      </c>
      <c r="G97" s="11">
        <v>1</v>
      </c>
      <c r="H97" s="11">
        <v>1</v>
      </c>
      <c r="I97" s="11">
        <v>3</v>
      </c>
      <c r="J97" s="11">
        <v>1</v>
      </c>
      <c r="K97" s="11">
        <v>3</v>
      </c>
      <c r="L97" s="11">
        <v>2</v>
      </c>
      <c r="M97" s="11">
        <v>2</v>
      </c>
      <c r="N97" s="11">
        <v>2</v>
      </c>
      <c r="O97" s="11">
        <v>2</v>
      </c>
    </row>
    <row r="98" spans="1:15" x14ac:dyDescent="0.2">
      <c r="A98" s="9">
        <v>97</v>
      </c>
      <c r="B98" s="24"/>
      <c r="C98" s="24"/>
      <c r="D98" s="11">
        <v>3</v>
      </c>
      <c r="E98" s="11">
        <v>5</v>
      </c>
      <c r="F98" s="11">
        <v>4</v>
      </c>
      <c r="G98" s="11">
        <v>5</v>
      </c>
      <c r="H98" s="11">
        <v>5</v>
      </c>
      <c r="I98" s="11">
        <v>5</v>
      </c>
      <c r="J98" s="11">
        <v>5</v>
      </c>
      <c r="K98" s="11">
        <v>5</v>
      </c>
      <c r="L98" s="11">
        <v>5</v>
      </c>
      <c r="M98" s="11">
        <v>5</v>
      </c>
      <c r="N98" s="11">
        <v>3</v>
      </c>
      <c r="O98" s="11">
        <v>5</v>
      </c>
    </row>
    <row r="99" spans="1:15" x14ac:dyDescent="0.2">
      <c r="A99" s="9">
        <v>98</v>
      </c>
      <c r="B99" s="24"/>
      <c r="C99" s="24"/>
      <c r="D99" s="11">
        <v>5</v>
      </c>
      <c r="E99" s="11">
        <v>5</v>
      </c>
      <c r="F99" s="11">
        <v>4</v>
      </c>
      <c r="G99" s="11">
        <v>2</v>
      </c>
      <c r="H99" s="11">
        <v>4</v>
      </c>
      <c r="I99" s="11">
        <v>2</v>
      </c>
      <c r="J99" s="11">
        <v>3</v>
      </c>
      <c r="K99" s="11">
        <v>3</v>
      </c>
      <c r="L99" s="11">
        <v>5</v>
      </c>
      <c r="M99" s="11">
        <v>5</v>
      </c>
      <c r="N99" s="11">
        <v>4</v>
      </c>
      <c r="O99" s="11">
        <v>5</v>
      </c>
    </row>
    <row r="100" spans="1:15" x14ac:dyDescent="0.2">
      <c r="A100" s="9">
        <v>99</v>
      </c>
      <c r="B100" s="24"/>
      <c r="C100" s="24"/>
      <c r="D100" s="11">
        <v>2</v>
      </c>
      <c r="E100" s="11">
        <v>1</v>
      </c>
      <c r="F100" s="11">
        <v>4</v>
      </c>
      <c r="G100" s="11">
        <v>3</v>
      </c>
      <c r="H100" s="11">
        <v>5</v>
      </c>
      <c r="I100" s="11">
        <v>5</v>
      </c>
      <c r="J100" s="11">
        <v>2</v>
      </c>
      <c r="K100" s="11">
        <v>2</v>
      </c>
      <c r="L100" s="11">
        <v>3</v>
      </c>
      <c r="M100" s="11">
        <v>2</v>
      </c>
      <c r="N100" s="11">
        <v>4</v>
      </c>
      <c r="O100" s="11">
        <v>3</v>
      </c>
    </row>
    <row r="101" spans="1:15" x14ac:dyDescent="0.2">
      <c r="A101" s="9">
        <v>100</v>
      </c>
      <c r="B101" s="24"/>
      <c r="C101" s="24"/>
      <c r="D101" s="11">
        <v>3</v>
      </c>
      <c r="E101" s="11">
        <v>1</v>
      </c>
      <c r="F101" s="11">
        <v>4</v>
      </c>
      <c r="G101" s="11">
        <v>1</v>
      </c>
      <c r="H101" s="11">
        <v>2</v>
      </c>
      <c r="I101" s="11">
        <v>1</v>
      </c>
      <c r="J101" s="11">
        <v>1</v>
      </c>
      <c r="K101" s="11">
        <v>3</v>
      </c>
      <c r="L101" s="11">
        <v>3</v>
      </c>
      <c r="M101" s="11">
        <v>1</v>
      </c>
      <c r="N101" s="11">
        <v>2</v>
      </c>
      <c r="O101" s="11">
        <v>2</v>
      </c>
    </row>
    <row r="102" spans="1:15" x14ac:dyDescent="0.2">
      <c r="A102" s="9">
        <v>101</v>
      </c>
      <c r="B102" s="24"/>
      <c r="C102" s="24"/>
      <c r="D102" s="11">
        <v>1</v>
      </c>
      <c r="E102" s="11">
        <v>1</v>
      </c>
      <c r="F102" s="11">
        <v>2</v>
      </c>
      <c r="G102" s="11">
        <v>1</v>
      </c>
      <c r="H102" s="11">
        <v>2</v>
      </c>
      <c r="I102" s="11">
        <v>1</v>
      </c>
      <c r="J102" s="11">
        <v>2</v>
      </c>
      <c r="K102" s="11">
        <v>1</v>
      </c>
      <c r="L102" s="11">
        <v>1</v>
      </c>
      <c r="M102" s="11">
        <v>1</v>
      </c>
      <c r="N102" s="11">
        <v>2</v>
      </c>
      <c r="O102" s="11">
        <v>2</v>
      </c>
    </row>
    <row r="103" spans="1:15" x14ac:dyDescent="0.2">
      <c r="A103" s="9">
        <v>102</v>
      </c>
      <c r="B103" s="24"/>
      <c r="C103" s="24"/>
      <c r="D103" s="11">
        <v>3</v>
      </c>
      <c r="E103" s="11">
        <v>2</v>
      </c>
      <c r="F103" s="11">
        <v>3</v>
      </c>
      <c r="G103" s="11">
        <v>2</v>
      </c>
      <c r="H103" s="11">
        <v>2</v>
      </c>
      <c r="I103" s="11">
        <v>2</v>
      </c>
      <c r="J103" s="11">
        <v>2</v>
      </c>
      <c r="K103" s="11">
        <v>2</v>
      </c>
      <c r="L103" s="11">
        <v>2</v>
      </c>
      <c r="M103" s="11">
        <v>2</v>
      </c>
      <c r="N103" s="11">
        <v>3</v>
      </c>
      <c r="O103" s="11">
        <v>2</v>
      </c>
    </row>
    <row r="104" spans="1:15" x14ac:dyDescent="0.2">
      <c r="A104" s="9">
        <v>103</v>
      </c>
      <c r="B104" s="24"/>
      <c r="C104" s="24"/>
      <c r="D104" s="11">
        <v>3</v>
      </c>
      <c r="E104" s="11">
        <v>1</v>
      </c>
      <c r="F104" s="11">
        <v>3</v>
      </c>
      <c r="G104" s="11">
        <v>1</v>
      </c>
      <c r="H104" s="11">
        <v>3</v>
      </c>
      <c r="I104" s="11">
        <v>1</v>
      </c>
      <c r="J104" s="11">
        <v>3</v>
      </c>
      <c r="K104" s="11">
        <v>1</v>
      </c>
      <c r="L104" s="11">
        <v>3</v>
      </c>
      <c r="M104" s="11">
        <v>1</v>
      </c>
      <c r="N104" s="11">
        <v>3</v>
      </c>
      <c r="O104" s="11">
        <v>1</v>
      </c>
    </row>
    <row r="105" spans="1:15" x14ac:dyDescent="0.2">
      <c r="A105" s="9">
        <v>104</v>
      </c>
      <c r="B105" s="24"/>
      <c r="C105" s="24"/>
      <c r="D105" s="11">
        <v>2</v>
      </c>
      <c r="E105" s="11">
        <v>3</v>
      </c>
      <c r="F105" s="11">
        <v>2</v>
      </c>
      <c r="G105" s="11">
        <v>3</v>
      </c>
      <c r="H105" s="11">
        <v>2</v>
      </c>
      <c r="I105" s="11">
        <v>3</v>
      </c>
      <c r="J105" s="11">
        <v>2</v>
      </c>
      <c r="K105" s="11">
        <v>3</v>
      </c>
      <c r="L105" s="11">
        <v>3</v>
      </c>
      <c r="M105" s="11">
        <v>3</v>
      </c>
      <c r="N105" s="11">
        <v>2</v>
      </c>
      <c r="O105" s="11">
        <v>3</v>
      </c>
    </row>
    <row r="106" spans="1:15" x14ac:dyDescent="0.2">
      <c r="A106" s="9">
        <v>105</v>
      </c>
      <c r="B106" s="24"/>
      <c r="C106" s="24"/>
      <c r="D106" s="11">
        <v>2</v>
      </c>
      <c r="E106" s="11">
        <v>2</v>
      </c>
      <c r="F106" s="11">
        <v>2</v>
      </c>
      <c r="G106" s="11">
        <v>1</v>
      </c>
      <c r="H106" s="11">
        <v>3</v>
      </c>
      <c r="I106" s="11">
        <v>2</v>
      </c>
      <c r="J106" s="11">
        <v>2</v>
      </c>
      <c r="K106" s="11">
        <v>1</v>
      </c>
      <c r="L106" s="11">
        <v>2</v>
      </c>
      <c r="M106" s="11">
        <v>2</v>
      </c>
      <c r="N106" s="11">
        <v>2</v>
      </c>
      <c r="O106" s="11">
        <v>2</v>
      </c>
    </row>
    <row r="107" spans="1:15" x14ac:dyDescent="0.2">
      <c r="A107" s="9">
        <v>106</v>
      </c>
      <c r="B107" s="24"/>
      <c r="C107" s="24"/>
      <c r="D107" s="11">
        <v>1</v>
      </c>
      <c r="E107" s="11">
        <v>3</v>
      </c>
      <c r="F107" s="11">
        <v>1</v>
      </c>
      <c r="G107" s="11">
        <v>3</v>
      </c>
      <c r="H107" s="11">
        <v>1</v>
      </c>
      <c r="I107" s="11">
        <v>3</v>
      </c>
      <c r="J107" s="11">
        <v>1</v>
      </c>
      <c r="K107" s="11">
        <v>3</v>
      </c>
      <c r="L107" s="11">
        <v>1</v>
      </c>
      <c r="M107" s="11">
        <v>3</v>
      </c>
      <c r="N107" s="11">
        <v>1</v>
      </c>
      <c r="O107" s="11">
        <v>3</v>
      </c>
    </row>
    <row r="108" spans="1:15" x14ac:dyDescent="0.2">
      <c r="A108" s="9">
        <v>107</v>
      </c>
      <c r="B108" s="24"/>
      <c r="C108" s="24"/>
      <c r="D108" s="11">
        <v>3</v>
      </c>
      <c r="E108" s="11">
        <v>1</v>
      </c>
      <c r="F108" s="11">
        <v>3</v>
      </c>
      <c r="G108" s="11">
        <v>1</v>
      </c>
      <c r="H108" s="11">
        <v>3</v>
      </c>
      <c r="I108" s="11">
        <v>1</v>
      </c>
      <c r="J108" s="11">
        <v>1</v>
      </c>
      <c r="K108" s="11">
        <v>1</v>
      </c>
      <c r="L108" s="11">
        <v>1</v>
      </c>
      <c r="M108" s="11">
        <v>1</v>
      </c>
      <c r="N108" s="11">
        <v>1</v>
      </c>
      <c r="O108" s="11">
        <v>1</v>
      </c>
    </row>
    <row r="109" spans="1:15" x14ac:dyDescent="0.2">
      <c r="A109" s="9">
        <v>108</v>
      </c>
      <c r="B109" s="24"/>
      <c r="C109" s="24"/>
      <c r="D109" s="11">
        <v>1</v>
      </c>
      <c r="E109" s="11">
        <v>1</v>
      </c>
      <c r="F109" s="11">
        <v>3</v>
      </c>
      <c r="G109" s="11">
        <v>1</v>
      </c>
      <c r="H109" s="11">
        <v>1</v>
      </c>
      <c r="I109" s="11">
        <v>1</v>
      </c>
      <c r="J109" s="11">
        <v>1</v>
      </c>
      <c r="K109" s="11">
        <v>1</v>
      </c>
      <c r="L109" s="11">
        <v>3</v>
      </c>
      <c r="M109" s="11">
        <v>1</v>
      </c>
      <c r="N109" s="11">
        <v>3</v>
      </c>
      <c r="O109" s="11">
        <v>1</v>
      </c>
    </row>
    <row r="110" spans="1:15" x14ac:dyDescent="0.2">
      <c r="A110" s="9">
        <v>109</v>
      </c>
      <c r="B110" s="24"/>
      <c r="C110" s="24"/>
      <c r="D110" s="11">
        <v>1</v>
      </c>
      <c r="E110" s="11">
        <v>1</v>
      </c>
      <c r="F110" s="11">
        <v>3</v>
      </c>
      <c r="G110" s="11">
        <v>1</v>
      </c>
      <c r="H110" s="11">
        <v>2</v>
      </c>
      <c r="I110" s="11">
        <v>1</v>
      </c>
      <c r="J110" s="11">
        <v>3</v>
      </c>
      <c r="K110" s="11">
        <v>3</v>
      </c>
      <c r="L110" s="11">
        <v>3</v>
      </c>
      <c r="M110" s="11">
        <v>1</v>
      </c>
      <c r="N110" s="11">
        <v>2</v>
      </c>
      <c r="O110" s="11">
        <v>1</v>
      </c>
    </row>
    <row r="111" spans="1:15" x14ac:dyDescent="0.2">
      <c r="A111" s="9">
        <v>110</v>
      </c>
      <c r="B111" s="24"/>
      <c r="C111" s="24"/>
      <c r="D111" s="11">
        <v>1</v>
      </c>
      <c r="E111" s="11">
        <v>3</v>
      </c>
      <c r="F111" s="11">
        <v>1</v>
      </c>
      <c r="G111" s="11">
        <v>3</v>
      </c>
      <c r="H111" s="11">
        <v>1</v>
      </c>
      <c r="I111" s="11">
        <v>3</v>
      </c>
      <c r="J111" s="11">
        <v>1</v>
      </c>
      <c r="K111" s="11">
        <v>3</v>
      </c>
      <c r="L111" s="11">
        <v>2</v>
      </c>
      <c r="M111" s="11">
        <v>2</v>
      </c>
      <c r="N111" s="11">
        <v>1</v>
      </c>
      <c r="O111" s="11">
        <v>3</v>
      </c>
    </row>
    <row r="112" spans="1:15" x14ac:dyDescent="0.2">
      <c r="A112" s="9">
        <v>111</v>
      </c>
      <c r="B112" s="24"/>
      <c r="C112" s="24"/>
      <c r="D112" s="11">
        <v>2</v>
      </c>
      <c r="E112" s="11">
        <v>1</v>
      </c>
      <c r="F112" s="11">
        <v>2</v>
      </c>
      <c r="G112" s="11">
        <v>1</v>
      </c>
      <c r="H112" s="11">
        <v>1</v>
      </c>
      <c r="I112" s="11">
        <v>1</v>
      </c>
      <c r="J112" s="11">
        <v>1</v>
      </c>
      <c r="K112" s="11">
        <v>1</v>
      </c>
      <c r="L112" s="11">
        <v>2</v>
      </c>
      <c r="M112" s="11">
        <v>2</v>
      </c>
      <c r="N112" s="11">
        <v>2</v>
      </c>
      <c r="O112" s="11">
        <v>2</v>
      </c>
    </row>
    <row r="113" spans="1:15" x14ac:dyDescent="0.2">
      <c r="A113" s="9">
        <v>112</v>
      </c>
      <c r="B113" s="24"/>
      <c r="C113" s="24"/>
      <c r="D113" s="11">
        <v>1</v>
      </c>
      <c r="E113" s="11">
        <v>1</v>
      </c>
      <c r="F113" s="11">
        <v>1</v>
      </c>
      <c r="G113" s="11">
        <v>1</v>
      </c>
      <c r="H113" s="11">
        <v>1</v>
      </c>
      <c r="I113" s="11">
        <v>1</v>
      </c>
      <c r="J113" s="11">
        <v>1</v>
      </c>
      <c r="K113" s="11">
        <v>1</v>
      </c>
      <c r="L113" s="11">
        <v>3</v>
      </c>
      <c r="M113" s="11">
        <v>1</v>
      </c>
      <c r="N113" s="11">
        <v>3</v>
      </c>
      <c r="O113" s="11">
        <v>1</v>
      </c>
    </row>
    <row r="114" spans="1:15" x14ac:dyDescent="0.2">
      <c r="A114" s="9">
        <v>113</v>
      </c>
      <c r="B114" s="24"/>
      <c r="C114" s="24"/>
      <c r="D114" s="33"/>
      <c r="E114" s="33"/>
      <c r="F114" s="33"/>
      <c r="G114" s="33"/>
      <c r="H114" s="33"/>
      <c r="I114" s="33"/>
      <c r="J114" s="33"/>
      <c r="K114" s="33"/>
      <c r="L114" s="33"/>
      <c r="M114" s="33"/>
      <c r="N114" s="33"/>
      <c r="O114" s="33"/>
    </row>
    <row r="115" spans="1:15" x14ac:dyDescent="0.2">
      <c r="A115" s="9">
        <v>114</v>
      </c>
      <c r="B115" s="24"/>
      <c r="C115" s="24"/>
      <c r="D115" s="11">
        <v>1</v>
      </c>
      <c r="E115" s="11">
        <v>3</v>
      </c>
      <c r="F115" s="11">
        <v>1</v>
      </c>
      <c r="G115" s="11">
        <v>3</v>
      </c>
      <c r="H115" s="11">
        <v>1</v>
      </c>
      <c r="I115" s="11">
        <v>3</v>
      </c>
      <c r="J115" s="11">
        <v>1</v>
      </c>
      <c r="K115" s="11">
        <v>3</v>
      </c>
      <c r="L115" s="11">
        <v>3</v>
      </c>
      <c r="M115" s="11">
        <v>2</v>
      </c>
      <c r="N115" s="11">
        <v>3</v>
      </c>
      <c r="O115" s="11">
        <v>3</v>
      </c>
    </row>
    <row r="116" spans="1:15" x14ac:dyDescent="0.2">
      <c r="A116" s="9">
        <v>115</v>
      </c>
      <c r="B116" s="24"/>
      <c r="C116" s="24"/>
      <c r="D116" s="11">
        <v>2</v>
      </c>
      <c r="E116" s="11">
        <v>1</v>
      </c>
      <c r="F116" s="11">
        <v>3</v>
      </c>
      <c r="G116" s="11">
        <v>2</v>
      </c>
      <c r="H116" s="11">
        <v>1</v>
      </c>
      <c r="I116" s="11">
        <v>3</v>
      </c>
      <c r="J116" s="11">
        <v>1</v>
      </c>
      <c r="K116" s="11">
        <v>3</v>
      </c>
      <c r="L116" s="11">
        <v>3</v>
      </c>
      <c r="M116" s="11">
        <v>2</v>
      </c>
      <c r="N116" s="11">
        <v>3</v>
      </c>
      <c r="O116" s="11">
        <v>2</v>
      </c>
    </row>
    <row r="117" spans="1:15" x14ac:dyDescent="0.2">
      <c r="A117" s="9">
        <v>116</v>
      </c>
      <c r="B117" s="24"/>
      <c r="C117" s="24"/>
      <c r="D117" s="11">
        <v>3</v>
      </c>
      <c r="E117" s="11">
        <v>1</v>
      </c>
      <c r="F117" s="11">
        <v>2</v>
      </c>
      <c r="G117" s="11">
        <v>1</v>
      </c>
      <c r="H117" s="11">
        <v>5</v>
      </c>
      <c r="I117" s="11">
        <v>5</v>
      </c>
      <c r="J117" s="11">
        <v>3</v>
      </c>
      <c r="K117" s="11">
        <v>2</v>
      </c>
      <c r="L117" s="11">
        <v>2</v>
      </c>
      <c r="M117" s="11">
        <v>2</v>
      </c>
      <c r="N117" s="11">
        <v>2</v>
      </c>
      <c r="O117" s="11">
        <v>2</v>
      </c>
    </row>
    <row r="118" spans="1:15" x14ac:dyDescent="0.2">
      <c r="A118" s="9">
        <v>117</v>
      </c>
      <c r="B118" s="24"/>
      <c r="C118" s="24"/>
      <c r="D118" s="11">
        <v>2</v>
      </c>
      <c r="E118" s="11">
        <v>1</v>
      </c>
      <c r="F118" s="11">
        <v>1</v>
      </c>
      <c r="G118" s="11">
        <v>1</v>
      </c>
      <c r="H118" s="11">
        <v>2</v>
      </c>
      <c r="I118" s="11">
        <v>1</v>
      </c>
      <c r="J118" s="11">
        <v>2</v>
      </c>
      <c r="K118" s="11">
        <v>2</v>
      </c>
      <c r="L118" s="11">
        <v>1</v>
      </c>
      <c r="M118" s="11">
        <v>1</v>
      </c>
      <c r="N118" s="11">
        <v>2</v>
      </c>
      <c r="O118" s="11">
        <v>2</v>
      </c>
    </row>
    <row r="119" spans="1:15" x14ac:dyDescent="0.2">
      <c r="A119" s="9">
        <v>118</v>
      </c>
      <c r="B119" s="24"/>
      <c r="C119" s="24"/>
      <c r="D119" s="11">
        <v>1</v>
      </c>
      <c r="E119" s="11">
        <v>1</v>
      </c>
      <c r="F119" s="11">
        <v>2</v>
      </c>
      <c r="G119" s="11">
        <v>1</v>
      </c>
      <c r="H119" s="11">
        <v>2</v>
      </c>
      <c r="I119" s="11">
        <v>1</v>
      </c>
      <c r="J119" s="11">
        <v>2</v>
      </c>
      <c r="K119" s="11">
        <v>1</v>
      </c>
      <c r="L119" s="11">
        <v>3</v>
      </c>
      <c r="M119" s="11">
        <v>1</v>
      </c>
      <c r="N119" s="11">
        <v>3</v>
      </c>
      <c r="O119" s="11">
        <v>1</v>
      </c>
    </row>
    <row r="120" spans="1:15" x14ac:dyDescent="0.2">
      <c r="A120" s="9">
        <v>119</v>
      </c>
      <c r="B120" s="24"/>
      <c r="C120" s="24"/>
      <c r="D120" s="11">
        <v>1</v>
      </c>
      <c r="E120" s="11">
        <v>1</v>
      </c>
      <c r="F120" s="11">
        <v>1</v>
      </c>
      <c r="G120" s="11">
        <v>1</v>
      </c>
      <c r="H120" s="11">
        <v>1</v>
      </c>
      <c r="I120" s="11">
        <v>1</v>
      </c>
      <c r="J120" s="11">
        <v>1</v>
      </c>
      <c r="K120" s="11">
        <v>1</v>
      </c>
      <c r="L120" s="11">
        <v>1</v>
      </c>
      <c r="M120" s="11">
        <v>1</v>
      </c>
      <c r="N120" s="11">
        <v>3</v>
      </c>
      <c r="O120" s="11">
        <v>1</v>
      </c>
    </row>
    <row r="121" spans="1:15" x14ac:dyDescent="0.2">
      <c r="A121" s="9">
        <v>120</v>
      </c>
      <c r="B121" s="24"/>
      <c r="C121" s="24"/>
      <c r="D121" s="11">
        <v>2</v>
      </c>
      <c r="E121" s="11">
        <v>1</v>
      </c>
      <c r="F121" s="11">
        <v>2</v>
      </c>
      <c r="G121" s="11">
        <v>2</v>
      </c>
      <c r="H121" s="11">
        <v>3</v>
      </c>
      <c r="I121" s="11">
        <v>3</v>
      </c>
      <c r="J121" s="11">
        <v>2</v>
      </c>
      <c r="K121" s="11">
        <v>2</v>
      </c>
      <c r="L121" s="11">
        <v>1</v>
      </c>
      <c r="M121" s="11">
        <v>1</v>
      </c>
      <c r="N121" s="11">
        <v>2</v>
      </c>
      <c r="O121" s="11">
        <v>2</v>
      </c>
    </row>
    <row r="122" spans="1:15" x14ac:dyDescent="0.2">
      <c r="A122" s="9">
        <v>121</v>
      </c>
      <c r="B122" s="24"/>
      <c r="C122" s="24"/>
      <c r="D122" s="11">
        <v>2</v>
      </c>
      <c r="E122" s="11">
        <v>2</v>
      </c>
      <c r="F122" s="11">
        <v>2</v>
      </c>
      <c r="G122" s="11">
        <v>1</v>
      </c>
      <c r="H122" s="11">
        <v>2</v>
      </c>
      <c r="I122" s="11">
        <v>2</v>
      </c>
      <c r="J122" s="11">
        <v>1</v>
      </c>
      <c r="K122" s="11">
        <v>1</v>
      </c>
      <c r="L122" s="11">
        <v>1</v>
      </c>
      <c r="M122" s="11">
        <v>1</v>
      </c>
      <c r="N122" s="11">
        <v>1</v>
      </c>
      <c r="O122" s="11">
        <v>1</v>
      </c>
    </row>
    <row r="123" spans="1:15" x14ac:dyDescent="0.2">
      <c r="A123" s="9">
        <v>122</v>
      </c>
      <c r="B123" s="24"/>
      <c r="C123" s="24"/>
      <c r="D123" s="11">
        <v>2</v>
      </c>
      <c r="E123" s="11">
        <v>1</v>
      </c>
      <c r="F123" s="11">
        <v>2</v>
      </c>
      <c r="G123" s="11">
        <v>1</v>
      </c>
      <c r="H123" s="11">
        <v>4</v>
      </c>
      <c r="I123" s="11">
        <v>1</v>
      </c>
      <c r="J123" s="11">
        <v>1</v>
      </c>
      <c r="K123" s="11">
        <v>3</v>
      </c>
      <c r="L123" s="11">
        <v>1</v>
      </c>
      <c r="M123" s="11">
        <v>3</v>
      </c>
      <c r="N123" s="11">
        <v>2</v>
      </c>
      <c r="O123" s="11">
        <v>1</v>
      </c>
    </row>
    <row r="124" spans="1:15" x14ac:dyDescent="0.2">
      <c r="A124" s="9">
        <v>123</v>
      </c>
      <c r="B124" s="24"/>
      <c r="C124" s="24"/>
      <c r="D124" s="11">
        <v>3</v>
      </c>
      <c r="E124" s="11">
        <v>1</v>
      </c>
      <c r="F124" s="11">
        <v>3</v>
      </c>
      <c r="G124" s="11">
        <v>1</v>
      </c>
      <c r="H124" s="11">
        <v>3</v>
      </c>
      <c r="I124" s="11">
        <v>2</v>
      </c>
      <c r="J124" s="11">
        <v>3</v>
      </c>
      <c r="K124" s="11">
        <v>1</v>
      </c>
      <c r="L124" s="11">
        <v>2</v>
      </c>
      <c r="M124" s="11">
        <v>1</v>
      </c>
      <c r="N124" s="11">
        <v>2</v>
      </c>
      <c r="O124" s="11">
        <v>1</v>
      </c>
    </row>
    <row r="125" spans="1:15" x14ac:dyDescent="0.2">
      <c r="A125" s="9">
        <v>124</v>
      </c>
      <c r="B125" s="24"/>
      <c r="C125" s="24"/>
      <c r="D125" s="11">
        <v>1</v>
      </c>
      <c r="E125" s="11">
        <v>1</v>
      </c>
      <c r="F125" s="11">
        <v>2</v>
      </c>
      <c r="G125" s="11">
        <v>1</v>
      </c>
      <c r="H125" s="11">
        <v>4</v>
      </c>
      <c r="I125" s="11">
        <v>2</v>
      </c>
      <c r="J125" s="11">
        <v>1</v>
      </c>
      <c r="K125" s="11">
        <v>1</v>
      </c>
      <c r="L125" s="11">
        <v>4</v>
      </c>
      <c r="M125" s="11">
        <v>2</v>
      </c>
      <c r="N125" s="11">
        <v>2</v>
      </c>
      <c r="O125" s="11">
        <v>1</v>
      </c>
    </row>
    <row r="126" spans="1:15" x14ac:dyDescent="0.2">
      <c r="A126" s="9">
        <v>125</v>
      </c>
      <c r="B126" s="24"/>
      <c r="C126" s="24"/>
      <c r="D126" s="11">
        <v>1</v>
      </c>
      <c r="E126" s="11">
        <v>1</v>
      </c>
      <c r="F126" s="11">
        <v>2</v>
      </c>
      <c r="G126" s="11">
        <v>1</v>
      </c>
      <c r="H126" s="11">
        <v>3</v>
      </c>
      <c r="I126" s="11">
        <v>3</v>
      </c>
      <c r="J126" s="11">
        <v>2</v>
      </c>
      <c r="K126" s="11">
        <v>2</v>
      </c>
      <c r="L126" s="11">
        <v>1</v>
      </c>
      <c r="M126" s="11">
        <v>1</v>
      </c>
      <c r="N126" s="11">
        <v>2</v>
      </c>
      <c r="O126" s="11">
        <v>2</v>
      </c>
    </row>
    <row r="127" spans="1:15" x14ac:dyDescent="0.2">
      <c r="A127" s="9">
        <v>126</v>
      </c>
      <c r="B127" s="24"/>
      <c r="C127" s="24"/>
      <c r="D127" s="11">
        <v>1</v>
      </c>
      <c r="E127" s="11">
        <v>1</v>
      </c>
      <c r="F127" s="11">
        <v>1</v>
      </c>
      <c r="G127" s="11">
        <v>1</v>
      </c>
      <c r="H127" s="11">
        <v>1</v>
      </c>
      <c r="I127" s="11">
        <v>1</v>
      </c>
      <c r="J127" s="11">
        <v>1</v>
      </c>
      <c r="K127" s="11">
        <v>1</v>
      </c>
      <c r="L127" s="11">
        <v>1</v>
      </c>
      <c r="M127" s="11">
        <v>1</v>
      </c>
      <c r="N127" s="11">
        <v>3</v>
      </c>
      <c r="O127" s="11">
        <v>3</v>
      </c>
    </row>
    <row r="128" spans="1:15" x14ac:dyDescent="0.2">
      <c r="A128" s="9">
        <v>127</v>
      </c>
      <c r="B128" s="24"/>
      <c r="C128" s="24"/>
      <c r="D128" s="11">
        <v>2</v>
      </c>
      <c r="E128" s="11">
        <v>1</v>
      </c>
      <c r="F128" s="11">
        <v>3</v>
      </c>
      <c r="G128" s="11">
        <v>2</v>
      </c>
      <c r="H128" s="11">
        <v>2</v>
      </c>
      <c r="I128" s="11">
        <v>2</v>
      </c>
      <c r="J128" s="11">
        <v>2</v>
      </c>
      <c r="K128" s="11">
        <v>2</v>
      </c>
      <c r="L128" s="11">
        <v>4</v>
      </c>
      <c r="M128" s="11">
        <v>2</v>
      </c>
      <c r="N128" s="11">
        <v>4</v>
      </c>
      <c r="O128" s="11">
        <v>2</v>
      </c>
    </row>
    <row r="129" spans="1:15" x14ac:dyDescent="0.2">
      <c r="A129" s="9">
        <v>128</v>
      </c>
      <c r="B129" s="24"/>
      <c r="C129" s="24"/>
      <c r="D129" s="11">
        <v>5</v>
      </c>
      <c r="E129" s="11">
        <v>5</v>
      </c>
      <c r="F129" s="11">
        <v>5</v>
      </c>
      <c r="G129" s="11">
        <v>5</v>
      </c>
      <c r="H129" s="11">
        <v>5</v>
      </c>
      <c r="I129" s="11">
        <v>5</v>
      </c>
      <c r="J129" s="11">
        <v>5</v>
      </c>
      <c r="K129" s="11">
        <v>5</v>
      </c>
      <c r="L129" s="11">
        <v>5</v>
      </c>
      <c r="M129" s="11">
        <v>5</v>
      </c>
      <c r="N129" s="11">
        <v>5</v>
      </c>
      <c r="O129" s="11">
        <v>5</v>
      </c>
    </row>
    <row r="130" spans="1:15" x14ac:dyDescent="0.2">
      <c r="A130" s="9">
        <v>129</v>
      </c>
      <c r="B130" s="24"/>
      <c r="C130" s="24"/>
      <c r="D130" s="11">
        <v>5</v>
      </c>
      <c r="E130" s="11">
        <v>2</v>
      </c>
      <c r="F130" s="11">
        <v>5</v>
      </c>
      <c r="G130" s="11">
        <v>2</v>
      </c>
      <c r="H130" s="11">
        <v>2</v>
      </c>
      <c r="I130" s="11">
        <v>3</v>
      </c>
      <c r="J130" s="11">
        <v>4</v>
      </c>
      <c r="K130" s="11">
        <v>3</v>
      </c>
      <c r="L130" s="11">
        <v>4</v>
      </c>
      <c r="M130" s="11">
        <v>2</v>
      </c>
      <c r="N130" s="11">
        <v>4</v>
      </c>
      <c r="O130" s="11">
        <v>2</v>
      </c>
    </row>
    <row r="131" spans="1:15" x14ac:dyDescent="0.2">
      <c r="A131" s="9">
        <v>130</v>
      </c>
      <c r="B131" s="24"/>
      <c r="C131" s="24"/>
      <c r="D131" s="11">
        <v>2</v>
      </c>
      <c r="E131" s="11">
        <v>4</v>
      </c>
      <c r="F131" s="11">
        <v>2</v>
      </c>
      <c r="G131" s="11">
        <v>5</v>
      </c>
      <c r="H131" s="11">
        <v>1</v>
      </c>
      <c r="I131" s="11">
        <v>5</v>
      </c>
      <c r="J131" s="11">
        <v>1</v>
      </c>
      <c r="K131" s="11">
        <v>5</v>
      </c>
      <c r="L131" s="11">
        <v>3</v>
      </c>
      <c r="M131" s="11">
        <v>2</v>
      </c>
      <c r="N131" s="11">
        <v>1</v>
      </c>
      <c r="O131" s="11">
        <v>5</v>
      </c>
    </row>
    <row r="132" spans="1:15" x14ac:dyDescent="0.2">
      <c r="A132" s="9">
        <v>131</v>
      </c>
      <c r="B132" s="24"/>
      <c r="C132" s="24"/>
      <c r="D132" s="11">
        <v>3</v>
      </c>
      <c r="E132" s="11">
        <v>3</v>
      </c>
      <c r="F132" s="11">
        <v>3</v>
      </c>
      <c r="G132" s="11">
        <v>3</v>
      </c>
      <c r="H132" s="11">
        <v>3</v>
      </c>
      <c r="I132" s="11">
        <v>3</v>
      </c>
      <c r="J132" s="11">
        <v>3</v>
      </c>
      <c r="K132" s="11">
        <v>3</v>
      </c>
      <c r="L132" s="11">
        <v>3</v>
      </c>
      <c r="M132" s="11">
        <v>3</v>
      </c>
      <c r="N132" s="11">
        <v>3</v>
      </c>
      <c r="O132" s="11">
        <v>3</v>
      </c>
    </row>
    <row r="133" spans="1:15" x14ac:dyDescent="0.2">
      <c r="A133" s="9">
        <v>132</v>
      </c>
      <c r="B133" s="24"/>
      <c r="C133" s="24"/>
      <c r="D133" s="11">
        <v>3</v>
      </c>
      <c r="E133" s="11">
        <v>3</v>
      </c>
      <c r="F133" s="11">
        <v>3</v>
      </c>
      <c r="G133" s="11">
        <v>3</v>
      </c>
      <c r="H133" s="11">
        <v>3</v>
      </c>
      <c r="I133" s="11">
        <v>3</v>
      </c>
      <c r="J133" s="11">
        <v>3</v>
      </c>
      <c r="K133" s="11">
        <v>3</v>
      </c>
      <c r="L133" s="11">
        <v>3</v>
      </c>
      <c r="M133" s="11">
        <v>3</v>
      </c>
      <c r="N133" s="11">
        <v>3</v>
      </c>
      <c r="O133" s="11">
        <v>3</v>
      </c>
    </row>
    <row r="134" spans="1:15" x14ac:dyDescent="0.2">
      <c r="A134" s="9">
        <v>133</v>
      </c>
      <c r="B134" s="24"/>
      <c r="C134" s="24"/>
      <c r="D134" s="11">
        <v>3</v>
      </c>
      <c r="E134" s="11">
        <v>4</v>
      </c>
      <c r="F134" s="11">
        <v>3</v>
      </c>
      <c r="G134" s="11">
        <v>4</v>
      </c>
      <c r="H134" s="11">
        <v>4</v>
      </c>
      <c r="I134" s="11">
        <v>3</v>
      </c>
      <c r="J134" s="11">
        <v>4</v>
      </c>
      <c r="K134" s="11">
        <v>4</v>
      </c>
      <c r="L134" s="11">
        <v>3</v>
      </c>
      <c r="M134" s="11">
        <v>4</v>
      </c>
      <c r="N134" s="11">
        <v>4</v>
      </c>
      <c r="O134" s="11">
        <v>4</v>
      </c>
    </row>
    <row r="135" spans="1:15" x14ac:dyDescent="0.2">
      <c r="A135" s="9">
        <v>134</v>
      </c>
      <c r="B135" s="24"/>
      <c r="C135" s="24"/>
      <c r="D135" s="11">
        <v>2</v>
      </c>
      <c r="E135" s="11">
        <v>1</v>
      </c>
      <c r="F135" s="11">
        <v>1</v>
      </c>
      <c r="G135" s="11">
        <v>1</v>
      </c>
      <c r="H135" s="11">
        <v>1</v>
      </c>
      <c r="I135" s="11">
        <v>1</v>
      </c>
      <c r="J135" s="11">
        <v>1</v>
      </c>
      <c r="K135" s="11">
        <v>1</v>
      </c>
      <c r="L135" s="11">
        <v>2</v>
      </c>
      <c r="M135" s="11">
        <v>1</v>
      </c>
      <c r="N135" s="11">
        <v>2</v>
      </c>
      <c r="O135" s="11">
        <v>1</v>
      </c>
    </row>
    <row r="136" spans="1:15" x14ac:dyDescent="0.2">
      <c r="A136" s="9">
        <v>135</v>
      </c>
      <c r="B136" s="24"/>
      <c r="C136" s="24"/>
      <c r="D136" s="9">
        <v>2</v>
      </c>
      <c r="E136" s="9">
        <v>5</v>
      </c>
      <c r="F136" s="9">
        <v>4</v>
      </c>
      <c r="G136" s="9">
        <v>5</v>
      </c>
      <c r="H136" s="9">
        <v>1</v>
      </c>
      <c r="I136" s="9">
        <v>5</v>
      </c>
      <c r="J136" s="9">
        <v>2</v>
      </c>
      <c r="K136" s="9">
        <v>5</v>
      </c>
      <c r="L136" s="9">
        <v>3</v>
      </c>
      <c r="M136" s="9">
        <v>4</v>
      </c>
      <c r="N136" s="9">
        <v>3</v>
      </c>
      <c r="O136" s="9">
        <v>5</v>
      </c>
    </row>
    <row r="137" spans="1:15" x14ac:dyDescent="0.2">
      <c r="A137" s="9">
        <v>136</v>
      </c>
      <c r="B137" s="24"/>
      <c r="C137" s="24"/>
      <c r="D137" s="9">
        <v>2</v>
      </c>
      <c r="E137" s="9">
        <v>2</v>
      </c>
      <c r="F137" s="9">
        <v>3</v>
      </c>
      <c r="G137" s="9">
        <v>2</v>
      </c>
      <c r="H137" s="9">
        <v>2</v>
      </c>
      <c r="I137" s="9">
        <v>2</v>
      </c>
      <c r="J137" s="9">
        <v>2</v>
      </c>
      <c r="K137" s="9">
        <v>2</v>
      </c>
      <c r="L137" s="9">
        <v>3</v>
      </c>
      <c r="M137" s="9">
        <v>2</v>
      </c>
      <c r="N137" s="9">
        <v>2</v>
      </c>
      <c r="O137" s="9">
        <v>2</v>
      </c>
    </row>
    <row r="138" spans="1:15" x14ac:dyDescent="0.2">
      <c r="A138" s="9">
        <v>137</v>
      </c>
      <c r="B138" s="24"/>
      <c r="C138" s="24"/>
      <c r="D138" s="9">
        <v>5</v>
      </c>
      <c r="E138" s="9">
        <v>5</v>
      </c>
      <c r="F138" s="9">
        <v>5</v>
      </c>
      <c r="G138" s="9">
        <v>5</v>
      </c>
      <c r="H138" s="9">
        <v>5</v>
      </c>
      <c r="I138" s="9">
        <v>5</v>
      </c>
      <c r="J138" s="9">
        <v>5</v>
      </c>
      <c r="K138" s="9">
        <v>5</v>
      </c>
      <c r="L138" s="9">
        <v>5</v>
      </c>
      <c r="M138" s="9">
        <v>5</v>
      </c>
      <c r="N138" s="9">
        <v>5</v>
      </c>
      <c r="O138" s="9">
        <v>5</v>
      </c>
    </row>
    <row r="139" spans="1:15" x14ac:dyDescent="0.2">
      <c r="A139" s="9">
        <v>138</v>
      </c>
      <c r="B139" s="33"/>
      <c r="C139" s="33"/>
      <c r="D139" s="32"/>
      <c r="E139" s="32"/>
      <c r="F139" s="32"/>
      <c r="G139" s="32"/>
      <c r="H139" s="32"/>
      <c r="I139" s="32"/>
      <c r="J139" s="32"/>
      <c r="K139" s="32"/>
      <c r="L139" s="32"/>
      <c r="M139" s="32"/>
      <c r="N139" s="32"/>
      <c r="O139" s="32"/>
    </row>
    <row r="140" spans="1:15" x14ac:dyDescent="0.2">
      <c r="A140" s="9">
        <v>139</v>
      </c>
      <c r="B140" s="24"/>
      <c r="C140" s="24"/>
      <c r="D140" s="9">
        <v>3</v>
      </c>
      <c r="E140" s="9">
        <v>5</v>
      </c>
      <c r="F140" s="9">
        <v>3</v>
      </c>
      <c r="G140" s="9">
        <v>5</v>
      </c>
      <c r="H140" s="9">
        <v>1</v>
      </c>
      <c r="I140" s="9">
        <v>3</v>
      </c>
      <c r="J140" s="9">
        <v>1</v>
      </c>
      <c r="K140" s="9">
        <v>1</v>
      </c>
      <c r="L140" s="9">
        <v>4</v>
      </c>
      <c r="M140" s="9">
        <v>4</v>
      </c>
      <c r="N140" s="9">
        <v>3</v>
      </c>
      <c r="O140" s="9">
        <v>4</v>
      </c>
    </row>
    <row r="141" spans="1:15" x14ac:dyDescent="0.2">
      <c r="A141" s="9">
        <v>140</v>
      </c>
      <c r="B141" s="24"/>
      <c r="C141" s="24"/>
      <c r="D141" s="9">
        <v>1</v>
      </c>
      <c r="E141" s="9">
        <v>1</v>
      </c>
      <c r="F141" s="9">
        <v>1</v>
      </c>
      <c r="G141" s="9">
        <v>1</v>
      </c>
      <c r="H141" s="9">
        <v>1</v>
      </c>
      <c r="I141" s="9">
        <v>1</v>
      </c>
      <c r="J141" s="9">
        <v>1</v>
      </c>
      <c r="K141" s="9">
        <v>1</v>
      </c>
      <c r="L141" s="9">
        <v>1</v>
      </c>
      <c r="M141" s="9">
        <v>1</v>
      </c>
      <c r="N141" s="9">
        <v>1</v>
      </c>
      <c r="O141" s="9">
        <v>1</v>
      </c>
    </row>
    <row r="142" spans="1:15" x14ac:dyDescent="0.2">
      <c r="A142" s="9">
        <v>141</v>
      </c>
      <c r="B142" s="24"/>
      <c r="C142" s="24"/>
      <c r="D142" s="9">
        <v>2</v>
      </c>
      <c r="E142" s="9">
        <v>1</v>
      </c>
      <c r="F142" s="9">
        <v>2</v>
      </c>
      <c r="G142" s="9">
        <v>1</v>
      </c>
      <c r="H142" s="9">
        <v>3</v>
      </c>
      <c r="I142" s="9">
        <v>2</v>
      </c>
      <c r="J142" s="9">
        <v>2</v>
      </c>
      <c r="K142" s="9">
        <v>2</v>
      </c>
      <c r="L142" s="9">
        <v>2</v>
      </c>
      <c r="M142" s="9">
        <v>1</v>
      </c>
      <c r="N142" s="9">
        <v>3</v>
      </c>
      <c r="O142" s="9">
        <v>1</v>
      </c>
    </row>
    <row r="143" spans="1:15" x14ac:dyDescent="0.2">
      <c r="A143" s="9">
        <v>142</v>
      </c>
      <c r="B143" s="33"/>
      <c r="C143" s="33"/>
      <c r="D143" s="32">
        <v>3</v>
      </c>
      <c r="E143" s="32">
        <v>3</v>
      </c>
      <c r="F143" s="32">
        <v>2</v>
      </c>
      <c r="G143" s="32">
        <v>3</v>
      </c>
      <c r="H143" s="32">
        <v>1</v>
      </c>
      <c r="I143" s="32">
        <v>3</v>
      </c>
      <c r="J143" s="32">
        <v>1</v>
      </c>
      <c r="K143" s="32">
        <v>3</v>
      </c>
      <c r="L143" s="32">
        <v>3</v>
      </c>
      <c r="M143" s="32">
        <v>3</v>
      </c>
      <c r="N143" s="32">
        <v>5</v>
      </c>
      <c r="O143" s="32">
        <v>3</v>
      </c>
    </row>
    <row r="144" spans="1:15" x14ac:dyDescent="0.2">
      <c r="A144" s="9">
        <v>143</v>
      </c>
      <c r="B144" s="24"/>
      <c r="C144" s="24"/>
      <c r="D144" s="9">
        <v>2</v>
      </c>
      <c r="E144" s="9">
        <v>4</v>
      </c>
      <c r="F144" s="9">
        <v>5</v>
      </c>
      <c r="G144" s="9">
        <v>4</v>
      </c>
      <c r="H144" s="9">
        <v>2</v>
      </c>
      <c r="I144" s="9">
        <v>4</v>
      </c>
      <c r="J144" s="9">
        <v>2</v>
      </c>
      <c r="K144" s="9">
        <v>4</v>
      </c>
      <c r="L144" s="9">
        <v>4</v>
      </c>
      <c r="M144" s="9">
        <v>4</v>
      </c>
      <c r="N144" s="9">
        <v>4</v>
      </c>
      <c r="O144" s="9">
        <v>4</v>
      </c>
    </row>
    <row r="145" spans="1:15" x14ac:dyDescent="0.2">
      <c r="A145" s="9">
        <v>144</v>
      </c>
      <c r="B145" s="24"/>
      <c r="C145" s="24"/>
      <c r="D145" s="9">
        <v>3</v>
      </c>
      <c r="E145" s="9">
        <v>4</v>
      </c>
      <c r="F145" s="9">
        <v>4</v>
      </c>
      <c r="G145" s="9">
        <v>5</v>
      </c>
      <c r="H145" s="9">
        <v>2</v>
      </c>
      <c r="I145" s="9">
        <v>4</v>
      </c>
      <c r="J145" s="9">
        <v>4</v>
      </c>
      <c r="K145" s="9">
        <v>4</v>
      </c>
      <c r="L145" s="9">
        <v>2</v>
      </c>
      <c r="M145" s="9">
        <v>4</v>
      </c>
      <c r="N145" s="9">
        <v>3</v>
      </c>
      <c r="O145" s="9">
        <v>4</v>
      </c>
    </row>
    <row r="146" spans="1:15" x14ac:dyDescent="0.2">
      <c r="A146" s="9">
        <v>145</v>
      </c>
      <c r="B146" s="24"/>
      <c r="C146" s="24"/>
      <c r="D146" s="9">
        <v>2</v>
      </c>
      <c r="E146" s="9">
        <v>1</v>
      </c>
      <c r="F146" s="9">
        <v>2</v>
      </c>
      <c r="G146" s="9">
        <v>1</v>
      </c>
      <c r="H146" s="9">
        <v>2</v>
      </c>
      <c r="I146" s="9">
        <v>1</v>
      </c>
      <c r="J146" s="9">
        <v>2</v>
      </c>
      <c r="K146" s="9">
        <v>1</v>
      </c>
      <c r="L146" s="9">
        <v>2</v>
      </c>
      <c r="M146" s="9">
        <v>1</v>
      </c>
      <c r="N146" s="9">
        <v>2</v>
      </c>
      <c r="O146" s="9">
        <v>1</v>
      </c>
    </row>
    <row r="147" spans="1:15" x14ac:dyDescent="0.2">
      <c r="A147" s="9">
        <v>146</v>
      </c>
      <c r="B147" s="24"/>
      <c r="C147" s="24"/>
      <c r="D147" s="9">
        <v>1</v>
      </c>
      <c r="E147" s="9">
        <v>1</v>
      </c>
      <c r="F147" s="9">
        <v>1</v>
      </c>
      <c r="G147" s="9">
        <v>1</v>
      </c>
      <c r="H147" s="9">
        <v>1</v>
      </c>
      <c r="I147" s="9">
        <v>1</v>
      </c>
      <c r="J147" s="9">
        <v>1</v>
      </c>
      <c r="K147" s="9">
        <v>1</v>
      </c>
      <c r="L147" s="9">
        <v>1</v>
      </c>
      <c r="M147" s="9">
        <v>1</v>
      </c>
      <c r="N147" s="9">
        <v>3</v>
      </c>
      <c r="O147" s="9">
        <v>1</v>
      </c>
    </row>
    <row r="148" spans="1:15" x14ac:dyDescent="0.2">
      <c r="A148" s="9">
        <v>147</v>
      </c>
      <c r="B148" s="24"/>
      <c r="C148" s="24"/>
      <c r="D148" s="9">
        <v>2</v>
      </c>
      <c r="E148" s="9">
        <v>1</v>
      </c>
      <c r="F148" s="9">
        <v>2</v>
      </c>
      <c r="G148" s="9">
        <v>1</v>
      </c>
      <c r="H148" s="9">
        <v>1</v>
      </c>
      <c r="I148" s="9">
        <v>2</v>
      </c>
      <c r="J148" s="9">
        <v>2</v>
      </c>
      <c r="K148" s="9">
        <v>1</v>
      </c>
      <c r="L148" s="9">
        <v>3</v>
      </c>
      <c r="M148" s="9">
        <v>1</v>
      </c>
      <c r="N148" s="9">
        <v>2</v>
      </c>
      <c r="O148" s="9">
        <v>1</v>
      </c>
    </row>
    <row r="149" spans="1:15" x14ac:dyDescent="0.2">
      <c r="A149" s="9">
        <v>148</v>
      </c>
      <c r="B149" s="24"/>
      <c r="C149" s="24"/>
      <c r="D149" s="9">
        <v>4</v>
      </c>
      <c r="E149" s="9">
        <v>2</v>
      </c>
      <c r="F149" s="9">
        <v>5</v>
      </c>
      <c r="G149" s="9">
        <v>2</v>
      </c>
      <c r="H149" s="9">
        <v>1</v>
      </c>
      <c r="I149" s="9">
        <v>5</v>
      </c>
      <c r="J149" s="9">
        <v>3</v>
      </c>
      <c r="K149" s="9">
        <v>3</v>
      </c>
      <c r="L149" s="9">
        <v>4</v>
      </c>
      <c r="M149" s="9">
        <v>4</v>
      </c>
      <c r="N149" s="9">
        <v>3</v>
      </c>
      <c r="O149" s="9">
        <v>3</v>
      </c>
    </row>
    <row r="150" spans="1:15" x14ac:dyDescent="0.2">
      <c r="A150" s="9">
        <v>149</v>
      </c>
      <c r="B150" s="24"/>
      <c r="C150" s="24"/>
      <c r="D150" s="9">
        <v>5</v>
      </c>
      <c r="E150" s="9">
        <v>3</v>
      </c>
      <c r="F150" s="9">
        <v>5</v>
      </c>
      <c r="G150" s="9">
        <v>3</v>
      </c>
      <c r="H150" s="9">
        <v>4</v>
      </c>
      <c r="I150" s="9">
        <v>3</v>
      </c>
      <c r="J150" s="9">
        <v>4</v>
      </c>
      <c r="K150" s="9">
        <v>3</v>
      </c>
      <c r="L150" s="9">
        <v>5</v>
      </c>
      <c r="M150" s="9">
        <v>3</v>
      </c>
      <c r="N150" s="9">
        <v>5</v>
      </c>
      <c r="O150" s="9">
        <v>3</v>
      </c>
    </row>
    <row r="151" spans="1:15" x14ac:dyDescent="0.2">
      <c r="A151" s="9">
        <v>150</v>
      </c>
      <c r="B151" s="24"/>
      <c r="C151" s="24"/>
      <c r="D151" s="9">
        <v>2</v>
      </c>
      <c r="E151" s="9">
        <v>1</v>
      </c>
      <c r="F151" s="9">
        <v>2</v>
      </c>
      <c r="G151" s="9">
        <v>1</v>
      </c>
      <c r="H151" s="9">
        <v>4</v>
      </c>
      <c r="I151" s="9">
        <v>3</v>
      </c>
      <c r="J151" s="9">
        <v>2</v>
      </c>
      <c r="K151" s="9">
        <v>2</v>
      </c>
      <c r="L151" s="9">
        <v>5</v>
      </c>
      <c r="M151" s="9">
        <v>1</v>
      </c>
      <c r="N151" s="9">
        <v>3</v>
      </c>
      <c r="O151" s="9">
        <v>1</v>
      </c>
    </row>
    <row r="152" spans="1:15" x14ac:dyDescent="0.2">
      <c r="A152" s="9">
        <v>151</v>
      </c>
      <c r="B152" s="33"/>
      <c r="C152" s="33"/>
      <c r="D152" s="32">
        <v>2</v>
      </c>
      <c r="E152" s="32">
        <v>1</v>
      </c>
      <c r="F152" s="32">
        <v>2</v>
      </c>
      <c r="G152" s="32">
        <v>1</v>
      </c>
      <c r="H152" s="32">
        <v>3</v>
      </c>
      <c r="I152" s="32">
        <v>2</v>
      </c>
      <c r="J152" s="32">
        <v>3</v>
      </c>
      <c r="K152" s="32">
        <v>2</v>
      </c>
      <c r="L152" s="32">
        <v>2</v>
      </c>
      <c r="M152" s="32">
        <v>1</v>
      </c>
      <c r="N152" s="32">
        <v>3</v>
      </c>
      <c r="O152" s="32">
        <v>1</v>
      </c>
    </row>
    <row r="153" spans="1:15" x14ac:dyDescent="0.2">
      <c r="A153" s="9">
        <v>152</v>
      </c>
      <c r="B153" s="24"/>
      <c r="C153" s="24"/>
      <c r="D153" s="9">
        <v>3</v>
      </c>
      <c r="E153" s="9">
        <v>2</v>
      </c>
      <c r="F153" s="9">
        <v>2</v>
      </c>
      <c r="G153" s="9">
        <v>2</v>
      </c>
      <c r="H153" s="9">
        <v>2</v>
      </c>
      <c r="I153" s="9">
        <v>2</v>
      </c>
      <c r="J153" s="9">
        <v>2</v>
      </c>
      <c r="K153" s="9">
        <v>2</v>
      </c>
      <c r="L153" s="9">
        <v>3</v>
      </c>
      <c r="M153" s="9">
        <v>1</v>
      </c>
      <c r="N153" s="9">
        <v>4</v>
      </c>
      <c r="O153" s="9">
        <v>1</v>
      </c>
    </row>
    <row r="154" spans="1:15" x14ac:dyDescent="0.2">
      <c r="A154" s="9">
        <v>153</v>
      </c>
      <c r="B154" s="24"/>
      <c r="C154" s="24"/>
      <c r="D154" s="9">
        <v>3</v>
      </c>
      <c r="E154" s="9">
        <v>4</v>
      </c>
      <c r="F154" s="9">
        <v>4</v>
      </c>
      <c r="G154" s="9">
        <v>4</v>
      </c>
      <c r="H154" s="9">
        <v>2</v>
      </c>
      <c r="I154" s="9">
        <v>4</v>
      </c>
      <c r="J154" s="9">
        <v>5</v>
      </c>
      <c r="K154" s="9">
        <v>2</v>
      </c>
      <c r="L154" s="9">
        <v>4</v>
      </c>
      <c r="M154" s="9">
        <v>3</v>
      </c>
      <c r="N154" s="9">
        <v>4</v>
      </c>
      <c r="O154" s="9">
        <v>3</v>
      </c>
    </row>
    <row r="155" spans="1:15" x14ac:dyDescent="0.2">
      <c r="A155" s="9">
        <v>154</v>
      </c>
      <c r="B155" s="24"/>
      <c r="C155" s="24"/>
      <c r="D155" s="9">
        <v>5</v>
      </c>
      <c r="E155" s="9">
        <v>4</v>
      </c>
      <c r="F155" s="9">
        <v>4</v>
      </c>
      <c r="G155" s="9">
        <v>5</v>
      </c>
      <c r="H155" s="9">
        <v>5</v>
      </c>
      <c r="I155" s="9">
        <v>5</v>
      </c>
      <c r="J155" s="9">
        <v>5</v>
      </c>
      <c r="K155" s="9">
        <v>5</v>
      </c>
      <c r="L155" s="9">
        <v>4</v>
      </c>
      <c r="M155" s="9">
        <v>5</v>
      </c>
      <c r="N155" s="9">
        <v>4</v>
      </c>
      <c r="O155" s="9">
        <v>5</v>
      </c>
    </row>
    <row r="156" spans="1:15" x14ac:dyDescent="0.2">
      <c r="A156" s="9">
        <v>155</v>
      </c>
      <c r="B156" s="24"/>
      <c r="C156" s="24"/>
      <c r="D156" s="9">
        <v>4</v>
      </c>
      <c r="E156" s="9">
        <v>3</v>
      </c>
      <c r="F156" s="9">
        <v>2</v>
      </c>
      <c r="G156" s="9">
        <v>2</v>
      </c>
      <c r="H156" s="9">
        <v>2</v>
      </c>
      <c r="I156" s="9">
        <v>2</v>
      </c>
      <c r="J156" s="9">
        <v>3</v>
      </c>
      <c r="K156" s="9">
        <v>2</v>
      </c>
      <c r="L156" s="9">
        <v>3</v>
      </c>
      <c r="M156" s="9">
        <v>2</v>
      </c>
      <c r="N156" s="9">
        <v>3</v>
      </c>
      <c r="O156" s="9">
        <v>2</v>
      </c>
    </row>
    <row r="157" spans="1:15" x14ac:dyDescent="0.2">
      <c r="A157" s="9">
        <v>156</v>
      </c>
      <c r="B157" s="24"/>
      <c r="C157" s="24"/>
      <c r="D157" s="9">
        <v>1</v>
      </c>
      <c r="E157" s="9">
        <v>2</v>
      </c>
      <c r="F157" s="9">
        <v>1</v>
      </c>
      <c r="G157" s="9">
        <v>2</v>
      </c>
      <c r="H157" s="9">
        <v>5</v>
      </c>
      <c r="I157" s="9">
        <v>1</v>
      </c>
      <c r="J157" s="9">
        <v>5</v>
      </c>
      <c r="K157" s="9">
        <v>1</v>
      </c>
      <c r="L157" s="9">
        <v>5</v>
      </c>
      <c r="M157" s="9">
        <v>3</v>
      </c>
      <c r="N157" s="9">
        <v>3</v>
      </c>
      <c r="O157" s="9">
        <v>2</v>
      </c>
    </row>
    <row r="158" spans="1:15" x14ac:dyDescent="0.2">
      <c r="A158" s="9">
        <v>157</v>
      </c>
      <c r="B158" s="24"/>
      <c r="C158" s="24"/>
      <c r="D158" s="9">
        <v>4</v>
      </c>
      <c r="E158" s="9">
        <v>1</v>
      </c>
      <c r="F158" s="9">
        <v>3</v>
      </c>
      <c r="G158" s="9">
        <v>2</v>
      </c>
      <c r="H158" s="9">
        <v>3</v>
      </c>
      <c r="I158" s="9">
        <v>3</v>
      </c>
      <c r="J158" s="9">
        <v>2</v>
      </c>
      <c r="K158" s="9">
        <v>2</v>
      </c>
      <c r="L158" s="9">
        <v>4</v>
      </c>
      <c r="M158" s="9">
        <v>1</v>
      </c>
      <c r="N158" s="9">
        <v>4</v>
      </c>
      <c r="O158" s="9">
        <v>1</v>
      </c>
    </row>
    <row r="159" spans="1:15" x14ac:dyDescent="0.2">
      <c r="A159" s="9">
        <v>158</v>
      </c>
      <c r="B159" s="24"/>
      <c r="C159" s="24"/>
      <c r="D159" s="9">
        <v>3</v>
      </c>
      <c r="E159" s="9">
        <v>3</v>
      </c>
      <c r="F159" s="9">
        <v>3</v>
      </c>
      <c r="G159" s="9">
        <v>3</v>
      </c>
      <c r="H159" s="9">
        <v>1</v>
      </c>
      <c r="I159" s="9">
        <v>1</v>
      </c>
      <c r="J159" s="9">
        <v>1</v>
      </c>
      <c r="K159" s="9">
        <v>1</v>
      </c>
      <c r="L159" s="9">
        <v>3</v>
      </c>
      <c r="M159" s="9">
        <v>3</v>
      </c>
      <c r="N159" s="9">
        <v>1</v>
      </c>
      <c r="O159" s="9">
        <v>1</v>
      </c>
    </row>
    <row r="160" spans="1:15" x14ac:dyDescent="0.2">
      <c r="A160" s="9">
        <v>159</v>
      </c>
      <c r="B160" s="24"/>
      <c r="C160" s="24"/>
      <c r="D160" s="9">
        <v>2</v>
      </c>
      <c r="E160" s="9">
        <v>2</v>
      </c>
      <c r="F160" s="9">
        <v>1</v>
      </c>
      <c r="G160" s="9">
        <v>1</v>
      </c>
      <c r="H160" s="9">
        <v>2</v>
      </c>
      <c r="I160" s="9">
        <v>2</v>
      </c>
      <c r="J160" s="9">
        <v>2</v>
      </c>
      <c r="K160" s="9">
        <v>2</v>
      </c>
      <c r="L160" s="9">
        <v>2</v>
      </c>
      <c r="M160" s="9">
        <v>2</v>
      </c>
      <c r="N160" s="9">
        <v>1</v>
      </c>
      <c r="O160" s="9">
        <v>1</v>
      </c>
    </row>
    <row r="161" spans="1:15" x14ac:dyDescent="0.2">
      <c r="A161" s="9">
        <v>160</v>
      </c>
      <c r="B161" s="24"/>
      <c r="C161" s="24"/>
      <c r="D161" s="9">
        <v>1</v>
      </c>
      <c r="E161" s="9">
        <v>1</v>
      </c>
      <c r="F161" s="9">
        <v>3</v>
      </c>
      <c r="G161" s="9">
        <v>1</v>
      </c>
      <c r="H161" s="9">
        <v>3</v>
      </c>
      <c r="I161" s="9">
        <v>1</v>
      </c>
      <c r="J161" s="9">
        <v>3</v>
      </c>
      <c r="K161" s="9">
        <v>1</v>
      </c>
      <c r="L161" s="9">
        <v>3</v>
      </c>
      <c r="M161" s="9">
        <v>1</v>
      </c>
      <c r="N161" s="9">
        <v>3</v>
      </c>
      <c r="O161" s="9">
        <v>1</v>
      </c>
    </row>
    <row r="162" spans="1:15" x14ac:dyDescent="0.2">
      <c r="A162" s="9">
        <v>161</v>
      </c>
      <c r="B162" s="24"/>
      <c r="C162" s="24"/>
      <c r="D162" s="9">
        <v>4</v>
      </c>
      <c r="E162" s="9">
        <v>4</v>
      </c>
      <c r="F162" s="9">
        <v>1</v>
      </c>
      <c r="G162" s="9">
        <v>4</v>
      </c>
      <c r="H162" s="9">
        <v>2</v>
      </c>
      <c r="I162" s="9">
        <v>4</v>
      </c>
      <c r="J162" s="9">
        <v>2</v>
      </c>
      <c r="K162" s="9">
        <v>4</v>
      </c>
      <c r="L162" s="9">
        <v>3</v>
      </c>
      <c r="M162" s="9">
        <v>4</v>
      </c>
      <c r="N162" s="9">
        <v>4</v>
      </c>
      <c r="O162" s="9">
        <v>3</v>
      </c>
    </row>
    <row r="163" spans="1:15" x14ac:dyDescent="0.2">
      <c r="A163" s="9">
        <v>162</v>
      </c>
      <c r="B163" s="24"/>
      <c r="C163" s="24"/>
      <c r="D163" s="9">
        <v>4</v>
      </c>
      <c r="E163" s="9">
        <v>1</v>
      </c>
      <c r="F163" s="9">
        <v>5</v>
      </c>
      <c r="G163" s="9">
        <v>1</v>
      </c>
      <c r="H163" s="9">
        <v>5</v>
      </c>
      <c r="I163" s="9">
        <v>1</v>
      </c>
      <c r="J163" s="9">
        <v>2</v>
      </c>
      <c r="K163" s="9">
        <v>1</v>
      </c>
      <c r="L163" s="9">
        <v>4</v>
      </c>
      <c r="M163" s="9">
        <v>1</v>
      </c>
      <c r="N163" s="9">
        <v>4</v>
      </c>
      <c r="O163" s="9">
        <v>1</v>
      </c>
    </row>
    <row r="164" spans="1:15" x14ac:dyDescent="0.2">
      <c r="A164" s="9">
        <v>163</v>
      </c>
      <c r="B164" s="24"/>
      <c r="C164" s="24"/>
      <c r="D164" s="9">
        <v>1</v>
      </c>
      <c r="E164" s="9">
        <v>1</v>
      </c>
      <c r="F164" s="9">
        <v>1</v>
      </c>
      <c r="G164" s="9">
        <v>1</v>
      </c>
      <c r="H164" s="9">
        <v>3</v>
      </c>
      <c r="I164" s="9">
        <v>2</v>
      </c>
      <c r="J164" s="9">
        <v>1</v>
      </c>
      <c r="K164" s="9">
        <v>1</v>
      </c>
      <c r="L164" s="9">
        <v>1</v>
      </c>
      <c r="M164" s="9">
        <v>1</v>
      </c>
      <c r="N164" s="9">
        <v>3</v>
      </c>
      <c r="O164" s="9">
        <v>2</v>
      </c>
    </row>
    <row r="165" spans="1:15" x14ac:dyDescent="0.2">
      <c r="A165" s="9">
        <v>164</v>
      </c>
      <c r="B165" s="24"/>
      <c r="C165" s="24"/>
      <c r="D165" s="9">
        <v>2</v>
      </c>
      <c r="E165" s="9">
        <v>1</v>
      </c>
      <c r="F165" s="9">
        <v>2</v>
      </c>
      <c r="G165" s="9">
        <v>1</v>
      </c>
      <c r="H165" s="9">
        <v>2</v>
      </c>
      <c r="I165" s="9">
        <v>1</v>
      </c>
      <c r="J165" s="9">
        <v>1</v>
      </c>
      <c r="K165" s="9">
        <v>1</v>
      </c>
      <c r="L165" s="9">
        <v>2</v>
      </c>
      <c r="M165" s="9">
        <v>1</v>
      </c>
      <c r="N165" s="9">
        <v>2</v>
      </c>
      <c r="O165" s="9">
        <v>1</v>
      </c>
    </row>
    <row r="166" spans="1:15" x14ac:dyDescent="0.2">
      <c r="A166" s="9">
        <v>165</v>
      </c>
      <c r="B166" s="24"/>
      <c r="C166" s="24"/>
      <c r="D166" s="9">
        <v>5</v>
      </c>
      <c r="E166" s="9">
        <v>1</v>
      </c>
      <c r="F166" s="9">
        <v>1</v>
      </c>
      <c r="G166" s="9">
        <v>3</v>
      </c>
      <c r="H166" s="9">
        <v>4</v>
      </c>
      <c r="I166" s="9">
        <v>3</v>
      </c>
      <c r="J166" s="9">
        <v>1</v>
      </c>
      <c r="K166" s="9">
        <v>1</v>
      </c>
      <c r="L166" s="9">
        <v>1</v>
      </c>
      <c r="M166" s="9">
        <v>1</v>
      </c>
      <c r="N166" s="9">
        <v>1</v>
      </c>
      <c r="O166" s="9">
        <v>1</v>
      </c>
    </row>
    <row r="167" spans="1:15" x14ac:dyDescent="0.2">
      <c r="A167" s="9">
        <v>166</v>
      </c>
      <c r="B167" s="24"/>
      <c r="C167" s="24"/>
      <c r="D167" s="9">
        <v>1</v>
      </c>
      <c r="E167" s="9">
        <v>5</v>
      </c>
      <c r="F167" s="9">
        <v>1</v>
      </c>
      <c r="G167" s="9">
        <v>5</v>
      </c>
      <c r="H167" s="9">
        <v>1</v>
      </c>
      <c r="I167" s="9">
        <v>5</v>
      </c>
      <c r="J167" s="9">
        <v>1</v>
      </c>
      <c r="K167" s="9">
        <v>5</v>
      </c>
      <c r="L167" s="9">
        <v>3</v>
      </c>
      <c r="M167" s="9">
        <v>3</v>
      </c>
      <c r="N167" s="9">
        <v>3</v>
      </c>
      <c r="O167" s="9">
        <v>3</v>
      </c>
    </row>
    <row r="168" spans="1:15" x14ac:dyDescent="0.2">
      <c r="A168" s="9">
        <v>167</v>
      </c>
      <c r="B168" s="24"/>
      <c r="C168" s="24"/>
      <c r="D168" s="9">
        <v>2</v>
      </c>
      <c r="E168" s="9">
        <v>2</v>
      </c>
      <c r="F168" s="9">
        <v>3</v>
      </c>
      <c r="G168" s="9">
        <v>2</v>
      </c>
      <c r="H168" s="9">
        <v>1</v>
      </c>
      <c r="I168" s="9">
        <v>2</v>
      </c>
      <c r="J168" s="9">
        <v>2</v>
      </c>
      <c r="K168" s="9">
        <v>2</v>
      </c>
      <c r="L168" s="9">
        <v>2</v>
      </c>
      <c r="M168" s="9">
        <v>2</v>
      </c>
      <c r="N168" s="9">
        <v>3</v>
      </c>
      <c r="O168" s="9">
        <v>2</v>
      </c>
    </row>
    <row r="169" spans="1:15" x14ac:dyDescent="0.2">
      <c r="A169" s="9">
        <v>168</v>
      </c>
      <c r="B169" s="24"/>
      <c r="C169" s="24"/>
      <c r="D169" s="9">
        <v>1</v>
      </c>
      <c r="E169" s="9">
        <v>1</v>
      </c>
      <c r="F169" s="9">
        <v>1</v>
      </c>
      <c r="G169" s="9">
        <v>1</v>
      </c>
      <c r="H169" s="9">
        <v>1</v>
      </c>
      <c r="I169" s="9">
        <v>1</v>
      </c>
      <c r="J169" s="9">
        <v>1</v>
      </c>
      <c r="K169" s="9">
        <v>1</v>
      </c>
      <c r="L169" s="9">
        <v>1</v>
      </c>
      <c r="M169" s="9">
        <v>1</v>
      </c>
      <c r="N169" s="9">
        <v>1</v>
      </c>
      <c r="O169" s="9">
        <v>1</v>
      </c>
    </row>
    <row r="170" spans="1:15" x14ac:dyDescent="0.2">
      <c r="A170" s="9">
        <v>169</v>
      </c>
      <c r="B170" s="24"/>
      <c r="C170" s="24"/>
      <c r="D170" s="9">
        <v>5</v>
      </c>
      <c r="E170" s="9">
        <v>1</v>
      </c>
      <c r="F170" s="9">
        <v>2</v>
      </c>
      <c r="G170" s="9">
        <v>1</v>
      </c>
      <c r="H170" s="9">
        <v>2</v>
      </c>
      <c r="I170" s="9">
        <v>2</v>
      </c>
      <c r="J170" s="9">
        <v>2</v>
      </c>
      <c r="K170" s="9">
        <v>2</v>
      </c>
      <c r="L170" s="9">
        <v>3</v>
      </c>
      <c r="M170" s="9">
        <v>2</v>
      </c>
      <c r="N170" s="9">
        <v>4</v>
      </c>
      <c r="O170" s="9">
        <v>3</v>
      </c>
    </row>
    <row r="171" spans="1:15" x14ac:dyDescent="0.2">
      <c r="A171" s="9">
        <v>170</v>
      </c>
      <c r="B171" s="24"/>
      <c r="C171" s="24"/>
      <c r="D171" s="9">
        <v>1</v>
      </c>
      <c r="E171" s="9">
        <v>5</v>
      </c>
      <c r="F171" s="9">
        <v>1</v>
      </c>
      <c r="G171" s="9">
        <v>5</v>
      </c>
      <c r="H171" s="9">
        <v>4</v>
      </c>
      <c r="I171" s="9">
        <v>5</v>
      </c>
      <c r="J171" s="9">
        <v>4</v>
      </c>
      <c r="K171" s="9">
        <v>5</v>
      </c>
      <c r="L171" s="9">
        <v>1</v>
      </c>
      <c r="M171" s="9">
        <v>5</v>
      </c>
      <c r="N171" s="9">
        <v>1</v>
      </c>
      <c r="O171" s="9">
        <v>5</v>
      </c>
    </row>
    <row r="172" spans="1:15" x14ac:dyDescent="0.2">
      <c r="A172" s="9">
        <v>171</v>
      </c>
      <c r="B172" s="24"/>
      <c r="C172" s="24"/>
      <c r="D172" s="9">
        <v>4</v>
      </c>
      <c r="E172" s="9">
        <v>2</v>
      </c>
      <c r="F172" s="9">
        <v>3</v>
      </c>
      <c r="G172" s="9">
        <v>2</v>
      </c>
      <c r="H172" s="9">
        <v>3</v>
      </c>
      <c r="I172" s="9">
        <v>3</v>
      </c>
      <c r="J172" s="9">
        <v>2</v>
      </c>
      <c r="K172" s="9">
        <v>1</v>
      </c>
      <c r="L172" s="9">
        <v>3</v>
      </c>
      <c r="M172" s="9">
        <v>2</v>
      </c>
      <c r="N172" s="9">
        <v>2</v>
      </c>
      <c r="O172" s="9">
        <v>1</v>
      </c>
    </row>
    <row r="173" spans="1:15" x14ac:dyDescent="0.2">
      <c r="A173" s="9">
        <v>172</v>
      </c>
      <c r="B173" s="24"/>
      <c r="C173" s="24"/>
      <c r="D173" s="9">
        <v>1</v>
      </c>
      <c r="E173" s="9">
        <v>1</v>
      </c>
      <c r="F173" s="9">
        <v>1</v>
      </c>
      <c r="G173" s="9">
        <v>1</v>
      </c>
      <c r="H173" s="9">
        <v>2</v>
      </c>
      <c r="I173" s="9">
        <v>1</v>
      </c>
      <c r="J173" s="9">
        <v>2</v>
      </c>
      <c r="K173" s="9">
        <v>1</v>
      </c>
      <c r="L173" s="9">
        <v>3</v>
      </c>
      <c r="M173" s="9">
        <v>2</v>
      </c>
      <c r="N173" s="9">
        <v>2</v>
      </c>
      <c r="O173" s="9">
        <v>2</v>
      </c>
    </row>
    <row r="174" spans="1:15" x14ac:dyDescent="0.2">
      <c r="A174" s="9">
        <v>173</v>
      </c>
      <c r="B174" s="24"/>
      <c r="C174" s="24"/>
      <c r="D174" s="9">
        <v>4</v>
      </c>
      <c r="E174" s="9">
        <v>4</v>
      </c>
      <c r="F174" s="9">
        <v>5</v>
      </c>
      <c r="G174" s="9">
        <v>4</v>
      </c>
      <c r="H174" s="9">
        <v>2</v>
      </c>
      <c r="I174" s="9">
        <v>2</v>
      </c>
      <c r="J174" s="9">
        <v>5</v>
      </c>
      <c r="K174" s="9">
        <v>4</v>
      </c>
      <c r="L174" s="9">
        <v>3</v>
      </c>
      <c r="M174" s="9">
        <v>4</v>
      </c>
      <c r="N174" s="9">
        <v>3</v>
      </c>
      <c r="O174" s="9">
        <v>3</v>
      </c>
    </row>
    <row r="175" spans="1:15" x14ac:dyDescent="0.2">
      <c r="A175" s="9">
        <v>174</v>
      </c>
      <c r="B175" s="24"/>
      <c r="C175" s="24"/>
      <c r="D175" s="9">
        <v>1</v>
      </c>
      <c r="E175" s="9">
        <v>1</v>
      </c>
      <c r="F175" s="9">
        <v>2</v>
      </c>
      <c r="G175" s="9">
        <v>1</v>
      </c>
      <c r="H175" s="9">
        <v>1</v>
      </c>
      <c r="I175" s="9">
        <v>1</v>
      </c>
      <c r="J175" s="9">
        <v>2</v>
      </c>
      <c r="K175" s="9">
        <v>2</v>
      </c>
      <c r="L175" s="9">
        <v>1</v>
      </c>
      <c r="M175" s="9">
        <v>1</v>
      </c>
      <c r="N175" s="9">
        <v>1</v>
      </c>
      <c r="O175" s="9">
        <v>1</v>
      </c>
    </row>
    <row r="176" spans="1:15" x14ac:dyDescent="0.2">
      <c r="A176" s="9">
        <v>175</v>
      </c>
      <c r="B176" s="24"/>
      <c r="C176" s="24"/>
      <c r="D176" s="9">
        <v>2</v>
      </c>
      <c r="E176" s="9">
        <v>1</v>
      </c>
      <c r="F176" s="9">
        <v>3</v>
      </c>
      <c r="G176" s="9">
        <v>4</v>
      </c>
      <c r="H176" s="9">
        <v>2</v>
      </c>
      <c r="I176" s="9">
        <v>3</v>
      </c>
      <c r="J176" s="9">
        <v>1</v>
      </c>
      <c r="K176" s="9">
        <v>1</v>
      </c>
      <c r="L176" s="9">
        <v>4</v>
      </c>
      <c r="M176" s="9">
        <v>3</v>
      </c>
      <c r="N176" s="9">
        <v>4</v>
      </c>
      <c r="O176" s="9">
        <v>4</v>
      </c>
    </row>
    <row r="177" spans="1:15" x14ac:dyDescent="0.2">
      <c r="A177" s="9">
        <v>176</v>
      </c>
      <c r="B177" s="24"/>
      <c r="C177" s="24"/>
      <c r="D177" s="9">
        <v>4</v>
      </c>
      <c r="E177" s="9">
        <v>1</v>
      </c>
      <c r="F177" s="9">
        <v>3</v>
      </c>
      <c r="G177" s="9">
        <v>1</v>
      </c>
      <c r="H177" s="9">
        <v>5</v>
      </c>
      <c r="I177" s="9">
        <v>1</v>
      </c>
      <c r="J177" s="9">
        <v>1</v>
      </c>
      <c r="K177" s="9">
        <v>3</v>
      </c>
      <c r="L177" s="9">
        <v>3</v>
      </c>
      <c r="M177" s="9">
        <v>1</v>
      </c>
      <c r="N177" s="9">
        <v>5</v>
      </c>
      <c r="O177" s="9">
        <v>1</v>
      </c>
    </row>
    <row r="178" spans="1:15" x14ac:dyDescent="0.2">
      <c r="A178" s="9">
        <v>177</v>
      </c>
      <c r="B178" s="24"/>
      <c r="C178" s="24"/>
      <c r="D178" s="9">
        <v>4</v>
      </c>
      <c r="E178" s="9">
        <v>1</v>
      </c>
      <c r="F178" s="9">
        <v>3</v>
      </c>
      <c r="G178" s="9">
        <v>1</v>
      </c>
      <c r="H178" s="9">
        <v>1</v>
      </c>
      <c r="I178" s="9">
        <v>1</v>
      </c>
      <c r="J178" s="9">
        <v>1</v>
      </c>
      <c r="K178" s="9">
        <v>1</v>
      </c>
      <c r="L178" s="9">
        <v>4</v>
      </c>
      <c r="M178" s="9">
        <v>2</v>
      </c>
      <c r="N178" s="9">
        <v>4</v>
      </c>
      <c r="O178" s="9">
        <v>3</v>
      </c>
    </row>
    <row r="179" spans="1:15" x14ac:dyDescent="0.2">
      <c r="A179" s="9">
        <v>178</v>
      </c>
      <c r="B179" s="24"/>
      <c r="C179" s="24"/>
      <c r="D179" s="9">
        <v>2</v>
      </c>
      <c r="E179" s="9">
        <v>2</v>
      </c>
      <c r="F179" s="9">
        <v>1</v>
      </c>
      <c r="G179" s="9">
        <v>3</v>
      </c>
      <c r="H179" s="9">
        <v>1</v>
      </c>
      <c r="I179" s="9">
        <v>5</v>
      </c>
      <c r="J179" s="9">
        <v>3</v>
      </c>
      <c r="K179" s="9">
        <v>2</v>
      </c>
      <c r="L179" s="9">
        <v>2</v>
      </c>
      <c r="M179" s="9">
        <v>3</v>
      </c>
      <c r="N179" s="9">
        <v>2</v>
      </c>
      <c r="O179" s="9">
        <v>2</v>
      </c>
    </row>
    <row r="180" spans="1:15" x14ac:dyDescent="0.2">
      <c r="A180" s="9">
        <v>179</v>
      </c>
      <c r="B180" s="24"/>
      <c r="C180" s="24"/>
      <c r="D180" s="9">
        <v>2</v>
      </c>
      <c r="E180" s="9">
        <v>1</v>
      </c>
      <c r="F180" s="9">
        <v>1</v>
      </c>
      <c r="G180" s="9">
        <v>1</v>
      </c>
      <c r="H180" s="9">
        <v>3</v>
      </c>
      <c r="I180" s="9">
        <v>3</v>
      </c>
      <c r="J180" s="9">
        <v>1</v>
      </c>
      <c r="K180" s="9">
        <v>1</v>
      </c>
      <c r="L180" s="9">
        <v>3</v>
      </c>
      <c r="M180" s="9">
        <v>3</v>
      </c>
      <c r="N180" s="9">
        <v>2</v>
      </c>
      <c r="O180" s="9">
        <v>2</v>
      </c>
    </row>
    <row r="181" spans="1:15" x14ac:dyDescent="0.2">
      <c r="A181" s="9">
        <v>180</v>
      </c>
      <c r="B181" s="24"/>
      <c r="C181" s="24"/>
      <c r="D181" s="9">
        <v>1</v>
      </c>
      <c r="E181" s="9">
        <v>1</v>
      </c>
      <c r="F181" s="9">
        <v>5</v>
      </c>
      <c r="G181" s="9">
        <v>3</v>
      </c>
      <c r="H181" s="9">
        <v>3</v>
      </c>
      <c r="I181" s="9">
        <v>4</v>
      </c>
      <c r="J181" s="9">
        <v>2</v>
      </c>
      <c r="K181" s="9">
        <v>3</v>
      </c>
      <c r="L181" s="9">
        <v>5</v>
      </c>
      <c r="M181" s="9">
        <v>1</v>
      </c>
      <c r="N181" s="9">
        <v>4</v>
      </c>
      <c r="O181" s="9">
        <v>1</v>
      </c>
    </row>
    <row r="182" spans="1:15" x14ac:dyDescent="0.2">
      <c r="A182" s="9">
        <v>181</v>
      </c>
      <c r="B182" s="24"/>
      <c r="C182" s="24"/>
      <c r="D182" s="9">
        <v>3</v>
      </c>
      <c r="E182" s="9">
        <v>2</v>
      </c>
      <c r="F182" s="9">
        <v>5</v>
      </c>
      <c r="G182" s="9">
        <v>3</v>
      </c>
      <c r="H182" s="9">
        <v>5</v>
      </c>
      <c r="I182" s="9">
        <v>3</v>
      </c>
      <c r="J182" s="9">
        <v>5</v>
      </c>
      <c r="K182" s="9">
        <v>3</v>
      </c>
      <c r="L182" s="9">
        <v>5</v>
      </c>
      <c r="M182" s="9">
        <v>3</v>
      </c>
      <c r="N182" s="9">
        <v>5</v>
      </c>
      <c r="O182" s="9">
        <v>3</v>
      </c>
    </row>
    <row r="183" spans="1:15" x14ac:dyDescent="0.2">
      <c r="A183" s="9">
        <v>182</v>
      </c>
      <c r="B183" s="24"/>
      <c r="C183" s="24"/>
      <c r="D183" s="9">
        <v>3</v>
      </c>
      <c r="E183" s="9">
        <v>4</v>
      </c>
      <c r="F183" s="9">
        <v>3</v>
      </c>
      <c r="G183" s="9">
        <v>3</v>
      </c>
      <c r="H183" s="9">
        <v>4</v>
      </c>
      <c r="I183" s="9">
        <v>4</v>
      </c>
      <c r="J183" s="9">
        <v>3</v>
      </c>
      <c r="K183" s="9">
        <v>3</v>
      </c>
      <c r="L183" s="9">
        <v>3</v>
      </c>
      <c r="M183" s="9">
        <v>4</v>
      </c>
      <c r="N183" s="9">
        <v>4</v>
      </c>
      <c r="O183" s="9">
        <v>4</v>
      </c>
    </row>
    <row r="184" spans="1:15" x14ac:dyDescent="0.2">
      <c r="A184" s="9">
        <v>183</v>
      </c>
      <c r="B184" s="24"/>
      <c r="C184" s="24"/>
      <c r="D184" s="9">
        <v>2</v>
      </c>
      <c r="E184" s="9">
        <v>1</v>
      </c>
      <c r="F184" s="9">
        <v>1</v>
      </c>
      <c r="G184" s="9">
        <v>1</v>
      </c>
      <c r="H184" s="9">
        <v>2</v>
      </c>
      <c r="I184" s="9">
        <v>1</v>
      </c>
      <c r="J184" s="9">
        <v>1</v>
      </c>
      <c r="K184" s="9">
        <v>1</v>
      </c>
      <c r="L184" s="9">
        <v>2</v>
      </c>
      <c r="M184" s="9">
        <v>1</v>
      </c>
      <c r="N184" s="9">
        <v>2</v>
      </c>
      <c r="O184" s="9">
        <v>1</v>
      </c>
    </row>
    <row r="185" spans="1:15" x14ac:dyDescent="0.2">
      <c r="A185" s="9">
        <v>184</v>
      </c>
      <c r="B185" s="24"/>
      <c r="C185" s="24"/>
      <c r="D185" s="9">
        <v>3</v>
      </c>
      <c r="E185" s="9">
        <v>3</v>
      </c>
      <c r="F185" s="9">
        <v>2</v>
      </c>
      <c r="G185" s="9">
        <v>2</v>
      </c>
      <c r="H185" s="9">
        <v>3</v>
      </c>
      <c r="I185" s="9">
        <v>3</v>
      </c>
      <c r="J185" s="9">
        <v>2</v>
      </c>
      <c r="K185" s="9">
        <v>2</v>
      </c>
      <c r="L185" s="9">
        <v>3</v>
      </c>
      <c r="M185" s="9">
        <v>3</v>
      </c>
      <c r="N185" s="9">
        <v>3</v>
      </c>
      <c r="O185" s="9">
        <v>3</v>
      </c>
    </row>
    <row r="186" spans="1:15" x14ac:dyDescent="0.2">
      <c r="A186" s="9">
        <v>185</v>
      </c>
      <c r="B186" s="24"/>
      <c r="C186" s="24"/>
      <c r="D186" s="9">
        <v>1</v>
      </c>
      <c r="E186" s="9">
        <v>1</v>
      </c>
      <c r="F186" s="9">
        <v>2</v>
      </c>
      <c r="G186" s="9">
        <v>2</v>
      </c>
      <c r="H186" s="9">
        <v>3</v>
      </c>
      <c r="I186" s="9">
        <v>3</v>
      </c>
      <c r="J186" s="9">
        <v>2</v>
      </c>
      <c r="K186" s="9">
        <v>2</v>
      </c>
      <c r="L186" s="9">
        <v>3</v>
      </c>
      <c r="M186" s="9">
        <v>2</v>
      </c>
      <c r="N186" s="9">
        <v>3</v>
      </c>
      <c r="O186" s="9">
        <v>2</v>
      </c>
    </row>
    <row r="187" spans="1:15" x14ac:dyDescent="0.2">
      <c r="A187" s="9">
        <v>186</v>
      </c>
      <c r="B187" s="24"/>
      <c r="C187" s="24"/>
      <c r="D187" s="9">
        <v>3</v>
      </c>
      <c r="E187" s="9">
        <v>1</v>
      </c>
      <c r="F187" s="9">
        <v>4</v>
      </c>
      <c r="G187" s="9">
        <v>1</v>
      </c>
      <c r="H187" s="9">
        <v>1</v>
      </c>
      <c r="I187" s="9">
        <v>1</v>
      </c>
      <c r="J187" s="9">
        <v>1</v>
      </c>
      <c r="K187" s="9">
        <v>1</v>
      </c>
      <c r="L187" s="9">
        <v>3</v>
      </c>
      <c r="M187" s="9">
        <v>2</v>
      </c>
      <c r="N187" s="9">
        <v>1</v>
      </c>
      <c r="O187" s="9">
        <v>1</v>
      </c>
    </row>
    <row r="188" spans="1:15" x14ac:dyDescent="0.2">
      <c r="A188" s="9">
        <v>187</v>
      </c>
      <c r="B188" s="24"/>
      <c r="C188" s="24"/>
      <c r="D188" s="9">
        <v>1</v>
      </c>
      <c r="E188" s="9">
        <v>1</v>
      </c>
      <c r="F188" s="9">
        <v>2</v>
      </c>
      <c r="G188" s="9">
        <v>2</v>
      </c>
      <c r="H188" s="9">
        <v>3</v>
      </c>
      <c r="I188" s="9">
        <v>3</v>
      </c>
      <c r="J188" s="9">
        <v>2</v>
      </c>
      <c r="K188" s="9">
        <v>2</v>
      </c>
      <c r="L188" s="9">
        <v>2</v>
      </c>
      <c r="M188" s="9">
        <v>2</v>
      </c>
      <c r="N188" s="9">
        <v>2</v>
      </c>
      <c r="O188" s="9">
        <v>2</v>
      </c>
    </row>
    <row r="189" spans="1:15" x14ac:dyDescent="0.2">
      <c r="A189" s="9">
        <v>188</v>
      </c>
      <c r="B189" s="24"/>
      <c r="C189" s="24"/>
      <c r="D189" s="9">
        <v>1</v>
      </c>
      <c r="E189" s="9">
        <v>1</v>
      </c>
      <c r="F189" s="9">
        <v>1</v>
      </c>
      <c r="G189" s="9">
        <v>1</v>
      </c>
      <c r="H189" s="9">
        <v>1</v>
      </c>
      <c r="I189" s="9">
        <v>1</v>
      </c>
      <c r="J189" s="9">
        <v>1</v>
      </c>
      <c r="K189" s="9">
        <v>1</v>
      </c>
      <c r="L189" s="9">
        <v>1</v>
      </c>
      <c r="M189" s="9">
        <v>1</v>
      </c>
      <c r="N189" s="9">
        <v>1</v>
      </c>
      <c r="O189" s="9">
        <v>1</v>
      </c>
    </row>
    <row r="190" spans="1:15" x14ac:dyDescent="0.2">
      <c r="A190" s="9">
        <v>189</v>
      </c>
      <c r="B190" s="24"/>
      <c r="C190" s="24"/>
      <c r="D190" s="9">
        <v>2</v>
      </c>
      <c r="E190" s="9">
        <v>2</v>
      </c>
      <c r="F190" s="9">
        <v>2</v>
      </c>
      <c r="G190" s="9">
        <v>2</v>
      </c>
      <c r="H190" s="9">
        <v>1</v>
      </c>
      <c r="I190" s="9">
        <v>3</v>
      </c>
      <c r="J190" s="9">
        <v>1</v>
      </c>
      <c r="K190" s="9">
        <v>3</v>
      </c>
      <c r="L190" s="9">
        <v>3</v>
      </c>
      <c r="M190" s="9">
        <v>3</v>
      </c>
      <c r="N190" s="9">
        <v>2</v>
      </c>
      <c r="O190" s="9">
        <v>2</v>
      </c>
    </row>
    <row r="191" spans="1:15" x14ac:dyDescent="0.2">
      <c r="A191" s="9">
        <v>190</v>
      </c>
      <c r="B191" s="24"/>
      <c r="C191" s="24"/>
      <c r="D191" s="9">
        <v>1</v>
      </c>
      <c r="E191" s="9">
        <v>1</v>
      </c>
      <c r="F191" s="9">
        <v>1</v>
      </c>
      <c r="G191" s="9">
        <v>1</v>
      </c>
      <c r="H191" s="9">
        <v>1</v>
      </c>
      <c r="I191" s="9">
        <v>1</v>
      </c>
      <c r="J191" s="9">
        <v>1</v>
      </c>
      <c r="K191" s="9">
        <v>1</v>
      </c>
      <c r="L191" s="9">
        <v>1</v>
      </c>
      <c r="M191" s="9">
        <v>1</v>
      </c>
      <c r="N191" s="9">
        <v>1</v>
      </c>
      <c r="O191" s="9">
        <v>1</v>
      </c>
    </row>
    <row r="192" spans="1:15" x14ac:dyDescent="0.2">
      <c r="A192" s="9">
        <v>191</v>
      </c>
      <c r="B192" s="24"/>
      <c r="C192" s="24"/>
      <c r="D192" s="9">
        <v>4</v>
      </c>
      <c r="E192" s="9">
        <v>5</v>
      </c>
      <c r="F192" s="9">
        <v>4</v>
      </c>
      <c r="G192" s="9">
        <v>4</v>
      </c>
      <c r="H192" s="9">
        <v>3</v>
      </c>
      <c r="I192" s="9">
        <v>4</v>
      </c>
      <c r="J192" s="9">
        <v>2</v>
      </c>
      <c r="K192" s="9">
        <v>4</v>
      </c>
      <c r="L192" s="9">
        <v>4</v>
      </c>
      <c r="M192" s="9">
        <v>4</v>
      </c>
      <c r="N192" s="9">
        <v>4</v>
      </c>
      <c r="O192" s="9">
        <v>4</v>
      </c>
    </row>
    <row r="193" spans="1:15" x14ac:dyDescent="0.2">
      <c r="A193" s="9">
        <v>192</v>
      </c>
      <c r="B193" s="24"/>
      <c r="C193" s="24"/>
      <c r="D193" s="9">
        <v>1</v>
      </c>
      <c r="E193" s="9">
        <v>4</v>
      </c>
      <c r="F193" s="9">
        <v>1</v>
      </c>
      <c r="G193" s="9">
        <v>4</v>
      </c>
      <c r="H193" s="9">
        <v>1</v>
      </c>
      <c r="I193" s="9">
        <v>4</v>
      </c>
      <c r="J193" s="9">
        <v>1</v>
      </c>
      <c r="K193" s="9">
        <v>4</v>
      </c>
      <c r="L193" s="9">
        <v>1</v>
      </c>
      <c r="M193" s="9">
        <v>4</v>
      </c>
      <c r="N193" s="9">
        <v>1</v>
      </c>
      <c r="O193" s="9">
        <v>4</v>
      </c>
    </row>
    <row r="194" spans="1:15" x14ac:dyDescent="0.2">
      <c r="A194" s="9">
        <v>193</v>
      </c>
      <c r="B194" s="24"/>
      <c r="C194" s="24"/>
      <c r="D194" s="9">
        <v>2</v>
      </c>
      <c r="E194" s="9">
        <v>1</v>
      </c>
      <c r="F194" s="9">
        <v>1</v>
      </c>
      <c r="G194" s="9">
        <v>1</v>
      </c>
      <c r="H194" s="9">
        <v>2</v>
      </c>
      <c r="I194" s="9">
        <v>3</v>
      </c>
      <c r="J194" s="9">
        <v>2</v>
      </c>
      <c r="K194" s="9">
        <v>3</v>
      </c>
      <c r="L194" s="9">
        <v>2</v>
      </c>
      <c r="M194" s="9">
        <v>3</v>
      </c>
      <c r="N194" s="9">
        <v>2</v>
      </c>
      <c r="O194" s="9">
        <v>2</v>
      </c>
    </row>
    <row r="195" spans="1:15" x14ac:dyDescent="0.2">
      <c r="A195" s="9">
        <v>194</v>
      </c>
      <c r="B195" s="24"/>
      <c r="C195" s="24"/>
      <c r="D195" s="9">
        <v>2</v>
      </c>
      <c r="E195" s="9">
        <v>1</v>
      </c>
      <c r="F195" s="9">
        <v>4</v>
      </c>
      <c r="G195" s="9">
        <v>2</v>
      </c>
      <c r="H195" s="9">
        <v>1</v>
      </c>
      <c r="I195" s="9">
        <v>2</v>
      </c>
      <c r="J195" s="9">
        <v>1</v>
      </c>
      <c r="K195" s="9">
        <v>1</v>
      </c>
      <c r="L195" s="9">
        <v>5</v>
      </c>
      <c r="M195" s="9">
        <v>4</v>
      </c>
      <c r="N195" s="9">
        <v>2</v>
      </c>
      <c r="O195" s="9">
        <v>2</v>
      </c>
    </row>
    <row r="196" spans="1:15" x14ac:dyDescent="0.2">
      <c r="A196" s="9">
        <v>195</v>
      </c>
      <c r="B196" s="58"/>
      <c r="C196" s="58"/>
      <c r="D196" s="9">
        <v>1</v>
      </c>
      <c r="E196" s="9">
        <v>1</v>
      </c>
      <c r="F196" s="9">
        <v>2</v>
      </c>
      <c r="G196" s="9">
        <v>1</v>
      </c>
      <c r="H196" s="9">
        <v>2</v>
      </c>
      <c r="I196" s="9">
        <v>1</v>
      </c>
      <c r="J196" s="9">
        <v>2</v>
      </c>
      <c r="K196" s="9">
        <v>1</v>
      </c>
      <c r="L196" s="9">
        <v>1</v>
      </c>
      <c r="M196" s="9">
        <v>1</v>
      </c>
      <c r="N196" s="9">
        <v>1</v>
      </c>
      <c r="O196" s="9">
        <v>1</v>
      </c>
    </row>
    <row r="197" spans="1:15" x14ac:dyDescent="0.2">
      <c r="A197" s="9">
        <v>196</v>
      </c>
      <c r="B197" s="58"/>
      <c r="C197" s="58"/>
      <c r="D197" s="9">
        <v>1</v>
      </c>
      <c r="E197" s="9">
        <v>3</v>
      </c>
      <c r="F197" s="9">
        <v>1</v>
      </c>
      <c r="G197" s="9">
        <v>3</v>
      </c>
      <c r="H197" s="9">
        <v>1</v>
      </c>
      <c r="I197" s="9">
        <v>3</v>
      </c>
      <c r="J197" s="9">
        <v>1</v>
      </c>
      <c r="K197" s="9">
        <v>3</v>
      </c>
      <c r="L197" s="9">
        <v>1</v>
      </c>
      <c r="M197" s="9">
        <v>3</v>
      </c>
      <c r="N197" s="9">
        <v>1</v>
      </c>
      <c r="O197" s="9">
        <v>3</v>
      </c>
    </row>
    <row r="198" spans="1:15" x14ac:dyDescent="0.2">
      <c r="A198" s="9">
        <v>197</v>
      </c>
      <c r="B198" s="32"/>
      <c r="C198" s="32"/>
      <c r="D198" s="32">
        <v>1</v>
      </c>
      <c r="E198" s="32">
        <v>1</v>
      </c>
      <c r="F198" s="32">
        <v>2</v>
      </c>
      <c r="G198" s="32">
        <v>1</v>
      </c>
      <c r="H198" s="32">
        <v>4</v>
      </c>
      <c r="I198" s="32">
        <v>3</v>
      </c>
      <c r="J198" s="32">
        <v>3</v>
      </c>
      <c r="K198" s="32">
        <v>3</v>
      </c>
      <c r="L198" s="32">
        <v>4</v>
      </c>
      <c r="M198" s="32">
        <v>3</v>
      </c>
      <c r="N198" s="32">
        <v>2</v>
      </c>
      <c r="O198" s="32">
        <v>2</v>
      </c>
    </row>
    <row r="199" spans="1:15" x14ac:dyDescent="0.2">
      <c r="A199" s="9">
        <v>198</v>
      </c>
      <c r="B199" s="32"/>
      <c r="C199" s="32"/>
      <c r="D199" s="32"/>
      <c r="E199" s="32"/>
      <c r="F199" s="32"/>
      <c r="G199" s="32"/>
      <c r="H199" s="32"/>
      <c r="I199" s="32"/>
      <c r="J199" s="32"/>
      <c r="K199" s="32"/>
      <c r="L199" s="32"/>
      <c r="M199" s="32"/>
      <c r="N199" s="32"/>
      <c r="O199" s="32"/>
    </row>
    <row r="200" spans="1:15" x14ac:dyDescent="0.2">
      <c r="A200" s="9">
        <v>199</v>
      </c>
      <c r="B200" s="58"/>
      <c r="C200" s="58"/>
      <c r="D200" s="9">
        <v>1</v>
      </c>
      <c r="E200" s="9">
        <v>1</v>
      </c>
      <c r="F200" s="9">
        <v>1</v>
      </c>
      <c r="G200" s="9">
        <v>1</v>
      </c>
      <c r="H200" s="9">
        <v>3</v>
      </c>
      <c r="I200" s="9">
        <v>3</v>
      </c>
      <c r="J200" s="9">
        <v>1</v>
      </c>
      <c r="K200" s="9">
        <v>1</v>
      </c>
      <c r="L200" s="9">
        <v>2</v>
      </c>
      <c r="M200" s="9">
        <v>2</v>
      </c>
      <c r="N200" s="9">
        <v>1</v>
      </c>
      <c r="O200" s="9">
        <v>1</v>
      </c>
    </row>
    <row r="201" spans="1:15" x14ac:dyDescent="0.2">
      <c r="A201" s="9">
        <v>200</v>
      </c>
      <c r="B201" s="58"/>
      <c r="C201" s="58"/>
      <c r="D201" s="9">
        <v>5</v>
      </c>
      <c r="E201" s="9">
        <v>5</v>
      </c>
      <c r="F201" s="9">
        <v>5</v>
      </c>
      <c r="G201" s="9">
        <v>5</v>
      </c>
      <c r="H201" s="9">
        <v>5</v>
      </c>
      <c r="I201" s="9">
        <v>5</v>
      </c>
      <c r="J201" s="9">
        <v>5</v>
      </c>
      <c r="K201" s="9">
        <v>5</v>
      </c>
      <c r="L201" s="9">
        <v>5</v>
      </c>
      <c r="M201" s="9">
        <v>5</v>
      </c>
      <c r="N201" s="9">
        <v>1</v>
      </c>
      <c r="O201" s="9">
        <v>3</v>
      </c>
    </row>
    <row r="202" spans="1:15" x14ac:dyDescent="0.2">
      <c r="A202" s="9">
        <v>201</v>
      </c>
      <c r="B202" s="58"/>
      <c r="C202" s="58"/>
      <c r="D202" s="9">
        <v>3</v>
      </c>
      <c r="E202" s="9">
        <v>2</v>
      </c>
      <c r="F202" s="9">
        <v>2</v>
      </c>
      <c r="G202" s="9">
        <v>2</v>
      </c>
      <c r="H202" s="9">
        <v>4</v>
      </c>
      <c r="I202" s="9">
        <v>3</v>
      </c>
      <c r="J202" s="9">
        <v>4</v>
      </c>
      <c r="K202" s="9">
        <v>3</v>
      </c>
      <c r="L202" s="9">
        <v>2</v>
      </c>
      <c r="M202" s="9">
        <v>2</v>
      </c>
      <c r="N202" s="9">
        <v>2</v>
      </c>
      <c r="O202" s="9">
        <v>2</v>
      </c>
    </row>
    <row r="203" spans="1:15" x14ac:dyDescent="0.2">
      <c r="A203" s="9">
        <v>202</v>
      </c>
      <c r="B203" s="58"/>
      <c r="C203" s="58"/>
      <c r="D203" s="9">
        <v>1</v>
      </c>
      <c r="E203" s="9">
        <v>1</v>
      </c>
      <c r="F203" s="9">
        <v>2</v>
      </c>
      <c r="G203" s="9">
        <v>1</v>
      </c>
      <c r="H203" s="9">
        <v>2</v>
      </c>
      <c r="I203" s="9">
        <v>1</v>
      </c>
      <c r="J203" s="9">
        <v>1</v>
      </c>
      <c r="K203" s="9">
        <v>1</v>
      </c>
      <c r="L203" s="9">
        <v>2</v>
      </c>
      <c r="M203" s="9">
        <v>1</v>
      </c>
      <c r="N203" s="9">
        <v>2</v>
      </c>
      <c r="O203" s="9">
        <v>1</v>
      </c>
    </row>
    <row r="204" spans="1:15" x14ac:dyDescent="0.2">
      <c r="A204" s="9">
        <v>203</v>
      </c>
      <c r="B204" s="58"/>
      <c r="C204" s="58"/>
      <c r="D204" s="9">
        <v>2</v>
      </c>
      <c r="E204" s="9">
        <v>1</v>
      </c>
      <c r="F204" s="9">
        <v>3</v>
      </c>
      <c r="G204" s="9">
        <v>1</v>
      </c>
      <c r="H204" s="9">
        <v>3</v>
      </c>
      <c r="I204" s="9">
        <v>3</v>
      </c>
      <c r="J204" s="9">
        <v>3</v>
      </c>
      <c r="K204" s="9">
        <v>2</v>
      </c>
      <c r="L204" s="9">
        <v>4</v>
      </c>
      <c r="M204" s="9">
        <v>1</v>
      </c>
      <c r="N204" s="9">
        <v>3</v>
      </c>
      <c r="O204" s="9">
        <v>1</v>
      </c>
    </row>
    <row r="205" spans="1:15" x14ac:dyDescent="0.2">
      <c r="A205" s="9">
        <v>204</v>
      </c>
      <c r="B205" s="58"/>
      <c r="C205" s="58"/>
      <c r="D205" s="9">
        <v>5</v>
      </c>
      <c r="E205" s="9">
        <v>5</v>
      </c>
      <c r="F205" s="9">
        <v>5</v>
      </c>
      <c r="G205" s="9">
        <v>1</v>
      </c>
      <c r="H205" s="9">
        <v>1</v>
      </c>
      <c r="I205" s="9">
        <v>1</v>
      </c>
      <c r="J205" s="9">
        <v>1</v>
      </c>
      <c r="K205" s="9">
        <v>1</v>
      </c>
      <c r="L205" s="9">
        <v>1</v>
      </c>
      <c r="M205" s="9">
        <v>1</v>
      </c>
      <c r="N205" s="9">
        <v>3</v>
      </c>
      <c r="O205" s="9">
        <v>2</v>
      </c>
    </row>
    <row r="206" spans="1:15" x14ac:dyDescent="0.2">
      <c r="A206" s="9">
        <v>205</v>
      </c>
      <c r="B206" s="58"/>
      <c r="C206" s="58"/>
      <c r="D206" s="9">
        <v>3</v>
      </c>
      <c r="E206" s="9">
        <v>1</v>
      </c>
      <c r="F206" s="9">
        <v>3</v>
      </c>
      <c r="G206" s="9">
        <v>1</v>
      </c>
      <c r="H206" s="9">
        <v>3</v>
      </c>
      <c r="I206" s="9">
        <v>1</v>
      </c>
      <c r="J206" s="9">
        <v>3</v>
      </c>
      <c r="K206" s="9">
        <v>1</v>
      </c>
      <c r="L206" s="9">
        <v>2</v>
      </c>
      <c r="M206" s="9">
        <v>1</v>
      </c>
      <c r="N206" s="9">
        <v>3</v>
      </c>
      <c r="O206" s="9">
        <v>1</v>
      </c>
    </row>
    <row r="207" spans="1:15" x14ac:dyDescent="0.2">
      <c r="A207" s="9">
        <v>206</v>
      </c>
      <c r="B207" s="32"/>
      <c r="C207" s="32"/>
      <c r="D207" s="32">
        <v>1</v>
      </c>
      <c r="E207" s="32">
        <v>1</v>
      </c>
      <c r="F207" s="32">
        <v>1</v>
      </c>
      <c r="G207" s="32">
        <v>1</v>
      </c>
      <c r="H207" s="32">
        <v>2</v>
      </c>
      <c r="I207" s="32">
        <v>1</v>
      </c>
      <c r="J207" s="32">
        <v>1</v>
      </c>
      <c r="K207" s="32">
        <v>1</v>
      </c>
      <c r="L207" s="32">
        <v>1</v>
      </c>
      <c r="M207" s="32">
        <v>1</v>
      </c>
      <c r="N207" s="32">
        <v>1</v>
      </c>
      <c r="O207" s="32">
        <v>1</v>
      </c>
    </row>
    <row r="208" spans="1:15" x14ac:dyDescent="0.2">
      <c r="A208" s="9">
        <v>207</v>
      </c>
      <c r="B208" s="58"/>
      <c r="C208" s="58"/>
      <c r="D208" s="9">
        <v>2</v>
      </c>
      <c r="E208" s="9">
        <v>1</v>
      </c>
      <c r="F208" s="9">
        <v>2</v>
      </c>
      <c r="G208" s="9">
        <v>1</v>
      </c>
      <c r="H208" s="9">
        <v>2</v>
      </c>
      <c r="I208" s="9">
        <v>2</v>
      </c>
      <c r="J208" s="9">
        <v>1</v>
      </c>
      <c r="K208" s="9">
        <v>1</v>
      </c>
      <c r="L208" s="9">
        <v>1</v>
      </c>
      <c r="M208" s="9">
        <v>1</v>
      </c>
      <c r="N208" s="9">
        <v>1</v>
      </c>
      <c r="O208" s="9">
        <v>1</v>
      </c>
    </row>
    <row r="209" spans="1:15" x14ac:dyDescent="0.2">
      <c r="A209" s="9">
        <v>208</v>
      </c>
      <c r="B209" s="58"/>
      <c r="C209" s="58"/>
      <c r="D209" s="9">
        <v>1</v>
      </c>
      <c r="E209" s="9">
        <v>5</v>
      </c>
      <c r="F209" s="9">
        <v>2</v>
      </c>
      <c r="G209" s="9">
        <v>4</v>
      </c>
      <c r="H209" s="9">
        <v>3</v>
      </c>
      <c r="I209" s="9">
        <v>3</v>
      </c>
      <c r="J209" s="9">
        <v>1</v>
      </c>
      <c r="K209" s="9">
        <v>5</v>
      </c>
      <c r="L209" s="9">
        <v>1</v>
      </c>
      <c r="M209" s="9">
        <v>5</v>
      </c>
      <c r="N209" s="9">
        <v>1</v>
      </c>
      <c r="O209" s="9">
        <v>5</v>
      </c>
    </row>
    <row r="210" spans="1:15" x14ac:dyDescent="0.2">
      <c r="A210" s="9">
        <v>209</v>
      </c>
      <c r="B210" s="58"/>
      <c r="C210" s="58"/>
      <c r="D210" s="9">
        <v>1</v>
      </c>
      <c r="E210" s="9">
        <v>5</v>
      </c>
      <c r="F210" s="9">
        <v>2</v>
      </c>
      <c r="G210" s="9">
        <v>2</v>
      </c>
      <c r="H210" s="9">
        <v>5</v>
      </c>
      <c r="I210" s="9">
        <v>3</v>
      </c>
      <c r="J210" s="9">
        <v>1</v>
      </c>
      <c r="K210" s="9">
        <v>5</v>
      </c>
      <c r="L210" s="9">
        <v>1</v>
      </c>
      <c r="M210" s="9">
        <v>5</v>
      </c>
      <c r="N210" s="9">
        <v>1</v>
      </c>
      <c r="O210" s="9">
        <v>5</v>
      </c>
    </row>
    <row r="211" spans="1:15" x14ac:dyDescent="0.2">
      <c r="A211" s="9">
        <v>210</v>
      </c>
      <c r="B211" s="58"/>
      <c r="C211" s="58"/>
      <c r="D211" s="9">
        <v>4</v>
      </c>
      <c r="E211" s="9">
        <v>1</v>
      </c>
      <c r="F211" s="9">
        <v>2</v>
      </c>
      <c r="G211" s="9">
        <v>2</v>
      </c>
      <c r="H211" s="9">
        <v>4</v>
      </c>
      <c r="I211" s="9">
        <v>3</v>
      </c>
      <c r="J211" s="9">
        <v>4</v>
      </c>
      <c r="K211" s="9">
        <v>3</v>
      </c>
      <c r="L211" s="9">
        <v>2</v>
      </c>
      <c r="M211" s="9">
        <v>2</v>
      </c>
      <c r="N211" s="9">
        <v>3</v>
      </c>
      <c r="O211" s="9">
        <v>2</v>
      </c>
    </row>
    <row r="212" spans="1:15" x14ac:dyDescent="0.2">
      <c r="A212" s="9">
        <v>211</v>
      </c>
      <c r="B212" s="58"/>
      <c r="C212" s="58"/>
      <c r="D212" s="9">
        <v>4</v>
      </c>
      <c r="E212" s="9">
        <v>5</v>
      </c>
      <c r="F212" s="9">
        <v>4</v>
      </c>
      <c r="G212" s="9">
        <v>5</v>
      </c>
      <c r="H212" s="9">
        <v>3</v>
      </c>
      <c r="I212" s="9">
        <v>3</v>
      </c>
      <c r="J212" s="9">
        <v>4</v>
      </c>
      <c r="K212" s="9">
        <v>5</v>
      </c>
      <c r="L212" s="9">
        <v>2</v>
      </c>
      <c r="M212" s="9">
        <v>3</v>
      </c>
      <c r="N212" s="9">
        <v>4</v>
      </c>
      <c r="O212" s="9">
        <v>4</v>
      </c>
    </row>
    <row r="213" spans="1:15" x14ac:dyDescent="0.2">
      <c r="A213" s="9">
        <v>212</v>
      </c>
      <c r="B213" s="58"/>
      <c r="C213" s="58"/>
      <c r="D213" s="9">
        <v>3</v>
      </c>
      <c r="E213" s="9">
        <v>2</v>
      </c>
      <c r="F213" s="9">
        <v>4</v>
      </c>
      <c r="G213" s="9">
        <v>1</v>
      </c>
      <c r="H213" s="9">
        <v>3</v>
      </c>
      <c r="I213" s="9">
        <v>2</v>
      </c>
      <c r="J213" s="9">
        <v>2</v>
      </c>
      <c r="K213" s="9">
        <v>3</v>
      </c>
      <c r="L213" s="9">
        <v>4</v>
      </c>
      <c r="M213" s="9">
        <v>1</v>
      </c>
      <c r="N213" s="9">
        <v>2</v>
      </c>
      <c r="O213" s="9">
        <v>2</v>
      </c>
    </row>
    <row r="214" spans="1:15" x14ac:dyDescent="0.2">
      <c r="A214" s="9">
        <v>213</v>
      </c>
      <c r="B214" s="58"/>
      <c r="C214" s="58"/>
      <c r="D214" s="9">
        <v>5</v>
      </c>
      <c r="E214" s="9">
        <v>5</v>
      </c>
      <c r="F214" s="9">
        <v>1</v>
      </c>
      <c r="G214" s="9">
        <v>2</v>
      </c>
      <c r="H214" s="9">
        <v>2</v>
      </c>
      <c r="I214" s="9">
        <v>2</v>
      </c>
      <c r="J214" s="9">
        <v>1</v>
      </c>
      <c r="K214" s="9">
        <v>1</v>
      </c>
      <c r="L214" s="9">
        <v>3</v>
      </c>
      <c r="M214" s="9">
        <v>3</v>
      </c>
      <c r="N214" s="9">
        <v>5</v>
      </c>
      <c r="O214" s="9">
        <v>5</v>
      </c>
    </row>
    <row r="215" spans="1:15" x14ac:dyDescent="0.2">
      <c r="A215" s="9">
        <v>214</v>
      </c>
      <c r="B215" s="58"/>
      <c r="C215" s="58"/>
      <c r="D215" s="9">
        <v>3</v>
      </c>
      <c r="E215" s="9">
        <v>1</v>
      </c>
      <c r="F215" s="9">
        <v>3</v>
      </c>
      <c r="G215" s="9">
        <v>2</v>
      </c>
      <c r="H215" s="9">
        <v>1</v>
      </c>
      <c r="I215" s="9">
        <v>2</v>
      </c>
      <c r="J215" s="9">
        <v>3</v>
      </c>
      <c r="K215" s="9">
        <v>2</v>
      </c>
      <c r="L215" s="9">
        <v>4</v>
      </c>
      <c r="M215" s="9">
        <v>2</v>
      </c>
      <c r="N215" s="9">
        <v>4</v>
      </c>
      <c r="O215" s="9">
        <v>2</v>
      </c>
    </row>
    <row r="216" spans="1:15" x14ac:dyDescent="0.2">
      <c r="A216" s="9">
        <v>215</v>
      </c>
      <c r="B216" s="32"/>
      <c r="C216" s="32"/>
      <c r="D216" s="32"/>
      <c r="E216" s="32"/>
      <c r="F216" s="32"/>
      <c r="G216" s="32"/>
      <c r="H216" s="32"/>
      <c r="I216" s="32"/>
      <c r="J216" s="32"/>
      <c r="K216" s="32"/>
      <c r="L216" s="32"/>
      <c r="M216" s="32"/>
      <c r="N216" s="32"/>
      <c r="O216" s="32"/>
    </row>
    <row r="217" spans="1:15" x14ac:dyDescent="0.2">
      <c r="A217" s="9">
        <v>216</v>
      </c>
      <c r="B217" s="58"/>
      <c r="C217" s="58"/>
      <c r="D217" s="9">
        <v>1</v>
      </c>
      <c r="E217" s="9">
        <v>3</v>
      </c>
      <c r="F217" s="9">
        <v>1</v>
      </c>
      <c r="G217" s="9">
        <v>3</v>
      </c>
      <c r="H217" s="9">
        <v>1</v>
      </c>
      <c r="I217" s="9">
        <v>3</v>
      </c>
      <c r="J217" s="9">
        <v>1</v>
      </c>
      <c r="K217" s="9">
        <v>3</v>
      </c>
      <c r="L217" s="9">
        <v>1</v>
      </c>
      <c r="M217" s="9">
        <v>3</v>
      </c>
      <c r="N217" s="9">
        <v>1</v>
      </c>
      <c r="O217" s="9">
        <v>3</v>
      </c>
    </row>
    <row r="218" spans="1:15" x14ac:dyDescent="0.2">
      <c r="A218" s="9">
        <v>217</v>
      </c>
      <c r="B218" s="58"/>
      <c r="C218" s="58"/>
      <c r="D218" s="9">
        <v>1</v>
      </c>
      <c r="E218" s="9">
        <v>1</v>
      </c>
      <c r="F218" s="9">
        <v>1</v>
      </c>
      <c r="G218" s="9">
        <v>1</v>
      </c>
      <c r="H218" s="9">
        <v>1</v>
      </c>
      <c r="I218" s="9">
        <v>1</v>
      </c>
      <c r="J218" s="9">
        <v>1</v>
      </c>
      <c r="K218" s="9">
        <v>1</v>
      </c>
      <c r="L218" s="9">
        <v>1</v>
      </c>
      <c r="M218" s="9">
        <v>1</v>
      </c>
      <c r="N218" s="9">
        <v>1</v>
      </c>
      <c r="O218" s="9">
        <v>1</v>
      </c>
    </row>
    <row r="219" spans="1:15" x14ac:dyDescent="0.2">
      <c r="A219" s="9">
        <v>218</v>
      </c>
      <c r="B219" s="58"/>
      <c r="C219" s="58"/>
      <c r="D219" s="9">
        <v>4</v>
      </c>
      <c r="E219" s="9">
        <v>1</v>
      </c>
      <c r="F219" s="9">
        <v>3</v>
      </c>
      <c r="G219" s="9">
        <v>1</v>
      </c>
      <c r="H219" s="9">
        <v>3</v>
      </c>
      <c r="I219" s="9">
        <v>1</v>
      </c>
      <c r="J219" s="9">
        <v>3</v>
      </c>
      <c r="K219" s="9">
        <v>1</v>
      </c>
      <c r="L219" s="9">
        <v>3</v>
      </c>
      <c r="M219" s="9">
        <v>1</v>
      </c>
      <c r="N219" s="9">
        <v>4</v>
      </c>
      <c r="O219" s="9">
        <v>1</v>
      </c>
    </row>
    <row r="220" spans="1:15" x14ac:dyDescent="0.2">
      <c r="A220" s="9">
        <v>219</v>
      </c>
      <c r="B220" s="58"/>
      <c r="C220" s="58"/>
      <c r="D220" s="9">
        <v>4</v>
      </c>
      <c r="E220" s="9">
        <v>4</v>
      </c>
      <c r="F220" s="9">
        <v>4</v>
      </c>
      <c r="G220" s="9">
        <v>4</v>
      </c>
      <c r="H220" s="9">
        <v>4</v>
      </c>
      <c r="I220" s="9">
        <v>4</v>
      </c>
      <c r="J220" s="9">
        <v>4</v>
      </c>
      <c r="K220" s="9">
        <v>4</v>
      </c>
      <c r="L220" s="9">
        <v>4</v>
      </c>
      <c r="M220" s="9">
        <v>4</v>
      </c>
      <c r="N220" s="9">
        <v>4</v>
      </c>
      <c r="O220" s="9">
        <v>4</v>
      </c>
    </row>
    <row r="221" spans="1:15" x14ac:dyDescent="0.2">
      <c r="A221" s="9">
        <v>220</v>
      </c>
      <c r="B221" s="58"/>
      <c r="C221" s="58"/>
      <c r="D221" s="9">
        <v>1</v>
      </c>
      <c r="E221" s="9">
        <v>1</v>
      </c>
      <c r="F221" s="9">
        <v>1</v>
      </c>
      <c r="G221" s="9">
        <v>1</v>
      </c>
      <c r="H221" s="9">
        <v>2</v>
      </c>
      <c r="I221" s="9">
        <v>1</v>
      </c>
      <c r="J221" s="9">
        <v>2</v>
      </c>
      <c r="K221" s="9">
        <v>2</v>
      </c>
      <c r="L221" s="9">
        <v>2</v>
      </c>
      <c r="M221" s="9">
        <v>1</v>
      </c>
      <c r="N221" s="9">
        <v>3</v>
      </c>
      <c r="O221" s="9">
        <v>3</v>
      </c>
    </row>
    <row r="222" spans="1:15" x14ac:dyDescent="0.2">
      <c r="A222" s="9">
        <v>221</v>
      </c>
      <c r="B222" s="58"/>
      <c r="C222" s="58"/>
      <c r="D222" s="9">
        <v>2</v>
      </c>
      <c r="E222" s="9">
        <v>1</v>
      </c>
      <c r="F222" s="9">
        <v>2</v>
      </c>
      <c r="G222" s="9">
        <v>2</v>
      </c>
      <c r="H222" s="9">
        <v>1</v>
      </c>
      <c r="I222" s="9">
        <v>2</v>
      </c>
      <c r="J222" s="9">
        <v>2</v>
      </c>
      <c r="K222" s="9">
        <v>2</v>
      </c>
      <c r="L222" s="9">
        <v>3</v>
      </c>
      <c r="M222" s="9">
        <v>2</v>
      </c>
      <c r="N222" s="9">
        <v>2</v>
      </c>
      <c r="O222" s="9">
        <v>2</v>
      </c>
    </row>
    <row r="223" spans="1:15" x14ac:dyDescent="0.2">
      <c r="A223" s="9">
        <v>222</v>
      </c>
      <c r="B223" s="58"/>
      <c r="C223" s="58"/>
      <c r="D223" s="9">
        <v>5</v>
      </c>
      <c r="E223" s="9">
        <v>2</v>
      </c>
      <c r="F223" s="9">
        <v>5</v>
      </c>
      <c r="G223" s="9">
        <v>1</v>
      </c>
      <c r="H223" s="9">
        <v>3</v>
      </c>
      <c r="I223" s="9">
        <v>3</v>
      </c>
      <c r="J223" s="9">
        <v>4</v>
      </c>
      <c r="K223" s="9">
        <v>3</v>
      </c>
      <c r="L223" s="9">
        <v>4</v>
      </c>
      <c r="M223" s="9">
        <v>2</v>
      </c>
      <c r="N223" s="9">
        <v>4</v>
      </c>
      <c r="O223" s="9">
        <v>3</v>
      </c>
    </row>
    <row r="224" spans="1:15" x14ac:dyDescent="0.2">
      <c r="A224" s="9">
        <v>223</v>
      </c>
      <c r="B224" s="32"/>
      <c r="C224" s="32"/>
      <c r="D224" s="32">
        <v>1</v>
      </c>
      <c r="E224" s="32">
        <v>1</v>
      </c>
      <c r="F224" s="32">
        <v>2</v>
      </c>
      <c r="G224" s="32">
        <v>1</v>
      </c>
      <c r="H224" s="32">
        <v>3</v>
      </c>
      <c r="I224" s="32">
        <v>2</v>
      </c>
      <c r="J224" s="32">
        <v>2</v>
      </c>
      <c r="K224" s="32">
        <v>1</v>
      </c>
      <c r="L224" s="32">
        <v>2</v>
      </c>
      <c r="M224" s="32">
        <v>1</v>
      </c>
      <c r="N224" s="32">
        <v>2</v>
      </c>
      <c r="O224" s="32">
        <v>1</v>
      </c>
    </row>
    <row r="225" spans="1:15" x14ac:dyDescent="0.2">
      <c r="A225" s="9">
        <v>224</v>
      </c>
      <c r="B225" s="58"/>
      <c r="C225" s="58"/>
      <c r="D225" s="9">
        <v>3</v>
      </c>
      <c r="E225" s="9">
        <v>3</v>
      </c>
      <c r="F225" s="9">
        <v>3</v>
      </c>
      <c r="G225" s="9">
        <v>3</v>
      </c>
      <c r="H225" s="9">
        <v>3</v>
      </c>
      <c r="I225" s="9">
        <v>3</v>
      </c>
      <c r="J225" s="9">
        <v>3</v>
      </c>
      <c r="K225" s="9">
        <v>3</v>
      </c>
      <c r="L225" s="9">
        <v>3</v>
      </c>
      <c r="M225" s="9">
        <v>3</v>
      </c>
      <c r="N225" s="9">
        <v>3</v>
      </c>
      <c r="O225" s="9">
        <v>3</v>
      </c>
    </row>
    <row r="226" spans="1:15" x14ac:dyDescent="0.2">
      <c r="A226" s="9">
        <v>225</v>
      </c>
      <c r="B226" s="58"/>
      <c r="C226" s="58"/>
      <c r="D226" s="9">
        <v>2</v>
      </c>
      <c r="E226" s="9">
        <v>1</v>
      </c>
      <c r="F226" s="9">
        <v>1</v>
      </c>
      <c r="G226" s="9">
        <v>3</v>
      </c>
      <c r="H226" s="9">
        <v>3</v>
      </c>
      <c r="I226" s="9">
        <v>3</v>
      </c>
      <c r="J226" s="9">
        <v>1</v>
      </c>
      <c r="K226" s="9">
        <v>3</v>
      </c>
      <c r="L226" s="9">
        <v>2</v>
      </c>
      <c r="M226" s="9">
        <v>2</v>
      </c>
      <c r="N226" s="9">
        <v>3</v>
      </c>
      <c r="O226" s="9">
        <v>2</v>
      </c>
    </row>
    <row r="227" spans="1:15" x14ac:dyDescent="0.2">
      <c r="A227" s="9">
        <v>226</v>
      </c>
      <c r="B227" s="58"/>
      <c r="C227" s="58"/>
      <c r="D227" s="9">
        <v>2</v>
      </c>
      <c r="E227" s="9">
        <v>1</v>
      </c>
      <c r="F227" s="9">
        <v>1</v>
      </c>
      <c r="G227" s="9">
        <v>1</v>
      </c>
      <c r="H227" s="9">
        <v>3</v>
      </c>
      <c r="I227" s="9">
        <v>2</v>
      </c>
      <c r="J227" s="9">
        <v>1</v>
      </c>
      <c r="K227" s="9">
        <v>1</v>
      </c>
      <c r="L227" s="9">
        <v>3</v>
      </c>
      <c r="M227" s="9">
        <v>1</v>
      </c>
      <c r="N227" s="9">
        <v>4</v>
      </c>
      <c r="O227" s="9">
        <v>1</v>
      </c>
    </row>
    <row r="228" spans="1:15" x14ac:dyDescent="0.2">
      <c r="A228" s="9">
        <v>227</v>
      </c>
      <c r="B228" s="58"/>
      <c r="C228" s="58"/>
      <c r="D228" s="9">
        <v>3</v>
      </c>
      <c r="E228" s="9">
        <v>3</v>
      </c>
      <c r="F228" s="9">
        <v>2</v>
      </c>
      <c r="G228" s="9">
        <v>2</v>
      </c>
      <c r="H228" s="9">
        <v>3</v>
      </c>
      <c r="I228" s="9">
        <v>2</v>
      </c>
      <c r="J228" s="9">
        <v>3</v>
      </c>
      <c r="K228" s="9">
        <v>3</v>
      </c>
      <c r="L228" s="9">
        <v>3</v>
      </c>
      <c r="M228" s="9">
        <v>2</v>
      </c>
      <c r="N228" s="9">
        <v>3</v>
      </c>
      <c r="O228" s="9">
        <v>2</v>
      </c>
    </row>
    <row r="229" spans="1:15" x14ac:dyDescent="0.2">
      <c r="A229" s="9">
        <v>228</v>
      </c>
      <c r="B229" s="58"/>
      <c r="C229" s="58"/>
      <c r="D229" s="9">
        <v>1</v>
      </c>
      <c r="E229" s="9">
        <v>3</v>
      </c>
      <c r="F229" s="9">
        <v>3</v>
      </c>
      <c r="G229" s="9">
        <v>4</v>
      </c>
      <c r="H229" s="9">
        <v>4</v>
      </c>
      <c r="I229" s="9">
        <v>5</v>
      </c>
      <c r="J229" s="9">
        <v>1</v>
      </c>
      <c r="K229" s="9">
        <v>3</v>
      </c>
      <c r="L229" s="9">
        <v>1</v>
      </c>
      <c r="M229" s="9">
        <v>3</v>
      </c>
      <c r="N229" s="9">
        <v>1</v>
      </c>
      <c r="O229" s="9">
        <v>3</v>
      </c>
    </row>
    <row r="230" spans="1:15" x14ac:dyDescent="0.2">
      <c r="A230" s="9">
        <v>229</v>
      </c>
      <c r="B230" s="58"/>
      <c r="C230" s="58"/>
      <c r="D230" s="9">
        <v>5</v>
      </c>
      <c r="E230" s="9">
        <v>1</v>
      </c>
      <c r="F230" s="9">
        <v>5</v>
      </c>
      <c r="G230" s="9">
        <v>1</v>
      </c>
      <c r="H230" s="9">
        <v>5</v>
      </c>
      <c r="I230" s="9">
        <v>1</v>
      </c>
      <c r="J230" s="9">
        <v>1</v>
      </c>
      <c r="K230" s="9">
        <v>1</v>
      </c>
      <c r="L230" s="9">
        <v>5</v>
      </c>
      <c r="M230" s="9">
        <v>1</v>
      </c>
      <c r="N230" s="9">
        <v>5</v>
      </c>
      <c r="O230" s="9">
        <v>1</v>
      </c>
    </row>
    <row r="231" spans="1:15" x14ac:dyDescent="0.2">
      <c r="A231" s="9">
        <v>230</v>
      </c>
      <c r="B231" s="58"/>
      <c r="C231" s="58"/>
      <c r="D231" s="9">
        <v>1</v>
      </c>
      <c r="E231" s="9">
        <v>3</v>
      </c>
      <c r="F231" s="9">
        <v>1</v>
      </c>
      <c r="G231" s="9">
        <v>3</v>
      </c>
      <c r="H231" s="9">
        <v>1</v>
      </c>
      <c r="I231" s="9">
        <v>1</v>
      </c>
      <c r="J231" s="9">
        <v>1</v>
      </c>
      <c r="K231" s="9">
        <v>1</v>
      </c>
      <c r="L231" s="9">
        <v>1</v>
      </c>
      <c r="M231" s="9">
        <v>1</v>
      </c>
      <c r="N231" s="9">
        <v>1</v>
      </c>
      <c r="O231" s="9">
        <v>1</v>
      </c>
    </row>
    <row r="232" spans="1:15" x14ac:dyDescent="0.2">
      <c r="A232" s="9">
        <v>231</v>
      </c>
      <c r="B232" s="58"/>
      <c r="C232" s="58"/>
      <c r="D232" s="9">
        <v>2</v>
      </c>
      <c r="E232" s="9">
        <v>1</v>
      </c>
      <c r="F232" s="9">
        <v>1</v>
      </c>
      <c r="G232" s="9">
        <v>2</v>
      </c>
      <c r="H232" s="9">
        <v>1</v>
      </c>
      <c r="I232" s="9">
        <v>2</v>
      </c>
      <c r="J232" s="9">
        <v>1</v>
      </c>
      <c r="K232" s="9">
        <v>2</v>
      </c>
      <c r="L232" s="9">
        <v>2</v>
      </c>
      <c r="M232" s="9">
        <v>1</v>
      </c>
      <c r="N232" s="9">
        <v>2</v>
      </c>
      <c r="O232" s="9">
        <v>1</v>
      </c>
    </row>
    <row r="233" spans="1:15" x14ac:dyDescent="0.2">
      <c r="A233" s="9">
        <v>232</v>
      </c>
      <c r="B233" s="58"/>
      <c r="C233" s="58"/>
      <c r="D233" s="9">
        <v>4</v>
      </c>
      <c r="E233" s="9">
        <v>4</v>
      </c>
      <c r="F233" s="9">
        <v>5</v>
      </c>
      <c r="G233" s="9">
        <v>3</v>
      </c>
      <c r="H233" s="9">
        <v>5</v>
      </c>
      <c r="I233" s="9">
        <v>4</v>
      </c>
      <c r="J233" s="9">
        <v>5</v>
      </c>
      <c r="K233" s="9">
        <v>4</v>
      </c>
      <c r="L233" s="9">
        <v>5</v>
      </c>
      <c r="M233" s="9">
        <v>4</v>
      </c>
      <c r="N233" s="9">
        <v>5</v>
      </c>
      <c r="O233" s="9">
        <v>4</v>
      </c>
    </row>
    <row r="234" spans="1:15" x14ac:dyDescent="0.2">
      <c r="A234" s="9">
        <v>233</v>
      </c>
      <c r="B234" s="58"/>
      <c r="C234" s="58"/>
      <c r="D234" s="9">
        <v>1</v>
      </c>
      <c r="E234" s="9">
        <v>4</v>
      </c>
      <c r="F234" s="9">
        <v>3</v>
      </c>
      <c r="G234" s="9">
        <v>2</v>
      </c>
      <c r="H234" s="9">
        <v>1</v>
      </c>
      <c r="I234" s="9">
        <v>4</v>
      </c>
      <c r="J234" s="9">
        <v>1</v>
      </c>
      <c r="K234" s="9">
        <v>4</v>
      </c>
      <c r="L234" s="9">
        <v>4</v>
      </c>
      <c r="M234" s="9">
        <v>2</v>
      </c>
      <c r="N234" s="9">
        <v>1</v>
      </c>
      <c r="O234" s="9">
        <v>4</v>
      </c>
    </row>
    <row r="235" spans="1:15" x14ac:dyDescent="0.2">
      <c r="A235" s="9">
        <v>234</v>
      </c>
      <c r="B235" s="58"/>
      <c r="C235" s="58"/>
      <c r="D235" s="9">
        <v>2</v>
      </c>
      <c r="E235" s="9">
        <v>1</v>
      </c>
      <c r="F235" s="9">
        <v>1</v>
      </c>
      <c r="G235" s="9">
        <v>1</v>
      </c>
      <c r="H235" s="9">
        <v>2</v>
      </c>
      <c r="I235" s="9">
        <v>2</v>
      </c>
      <c r="J235" s="9">
        <v>1</v>
      </c>
      <c r="K235" s="9">
        <v>1</v>
      </c>
      <c r="L235" s="9">
        <v>1</v>
      </c>
      <c r="M235" s="9">
        <v>1</v>
      </c>
      <c r="N235" s="9">
        <v>1</v>
      </c>
      <c r="O235" s="9">
        <v>1</v>
      </c>
    </row>
    <row r="236" spans="1:15" x14ac:dyDescent="0.2">
      <c r="A236" s="9">
        <v>235</v>
      </c>
      <c r="B236" s="58"/>
      <c r="C236" s="58"/>
      <c r="D236" s="9">
        <v>2</v>
      </c>
      <c r="E236" s="9">
        <v>1</v>
      </c>
      <c r="F236" s="9">
        <v>2</v>
      </c>
      <c r="G236" s="9">
        <v>1</v>
      </c>
      <c r="H236" s="9">
        <v>2</v>
      </c>
      <c r="I236" s="9">
        <v>1</v>
      </c>
      <c r="J236" s="9">
        <v>1</v>
      </c>
      <c r="K236" s="9">
        <v>1</v>
      </c>
      <c r="L236" s="9">
        <v>3</v>
      </c>
      <c r="M236" s="9">
        <v>1</v>
      </c>
      <c r="N236" s="9">
        <v>2</v>
      </c>
      <c r="O236" s="9">
        <v>1</v>
      </c>
    </row>
    <row r="237" spans="1:15" x14ac:dyDescent="0.2">
      <c r="A237" s="9">
        <v>236</v>
      </c>
      <c r="B237" s="58"/>
      <c r="C237" s="58"/>
      <c r="D237" s="9">
        <v>1</v>
      </c>
      <c r="E237" s="9">
        <v>1</v>
      </c>
      <c r="F237" s="9">
        <v>1</v>
      </c>
      <c r="G237" s="9">
        <v>1</v>
      </c>
      <c r="H237" s="9">
        <v>1</v>
      </c>
      <c r="I237" s="9">
        <v>1</v>
      </c>
      <c r="J237" s="9">
        <v>1</v>
      </c>
      <c r="K237" s="9">
        <v>1</v>
      </c>
      <c r="L237" s="9">
        <v>1</v>
      </c>
      <c r="M237" s="9">
        <v>1</v>
      </c>
      <c r="N237" s="9">
        <v>1</v>
      </c>
      <c r="O237" s="9">
        <v>1</v>
      </c>
    </row>
    <row r="238" spans="1:15" x14ac:dyDescent="0.2">
      <c r="A238" s="9">
        <v>237</v>
      </c>
      <c r="B238" s="58"/>
      <c r="C238" s="58"/>
      <c r="D238" s="9">
        <v>2</v>
      </c>
      <c r="E238" s="9">
        <v>2</v>
      </c>
      <c r="F238" s="9">
        <v>4</v>
      </c>
      <c r="G238" s="9">
        <v>4</v>
      </c>
      <c r="H238" s="9">
        <v>4</v>
      </c>
      <c r="I238" s="9">
        <v>4</v>
      </c>
      <c r="J238" s="9">
        <v>2</v>
      </c>
      <c r="K238" s="9">
        <v>3</v>
      </c>
      <c r="L238" s="9">
        <v>3</v>
      </c>
      <c r="M238" s="9">
        <v>3</v>
      </c>
      <c r="N238" s="9">
        <v>2</v>
      </c>
      <c r="O238" s="9">
        <v>3</v>
      </c>
    </row>
    <row r="239" spans="1:15" x14ac:dyDescent="0.2">
      <c r="A239" s="9">
        <v>238</v>
      </c>
      <c r="B239" s="58"/>
      <c r="C239" s="58"/>
      <c r="D239" s="9">
        <v>4</v>
      </c>
      <c r="E239" s="9">
        <v>1</v>
      </c>
      <c r="F239" s="9">
        <v>4</v>
      </c>
      <c r="G239" s="9">
        <v>2</v>
      </c>
      <c r="H239" s="9">
        <v>4</v>
      </c>
      <c r="I239" s="9">
        <v>3</v>
      </c>
      <c r="J239" s="9">
        <v>5</v>
      </c>
      <c r="K239" s="9">
        <v>3</v>
      </c>
      <c r="L239" s="9">
        <v>3</v>
      </c>
      <c r="M239" s="9">
        <v>1</v>
      </c>
      <c r="N239" s="9">
        <v>4</v>
      </c>
      <c r="O239" s="9">
        <v>1</v>
      </c>
    </row>
    <row r="240" spans="1:15" x14ac:dyDescent="0.2">
      <c r="A240" s="9">
        <v>239</v>
      </c>
      <c r="B240" s="58"/>
      <c r="C240" s="58"/>
      <c r="D240" s="9">
        <v>1</v>
      </c>
      <c r="E240" s="9">
        <v>2</v>
      </c>
      <c r="F240" s="9">
        <v>1</v>
      </c>
      <c r="G240" s="9">
        <v>3</v>
      </c>
      <c r="H240" s="9">
        <v>1</v>
      </c>
      <c r="I240" s="9">
        <v>1</v>
      </c>
      <c r="J240" s="9">
        <v>1</v>
      </c>
      <c r="K240" s="9">
        <v>3</v>
      </c>
      <c r="L240" s="9">
        <v>1</v>
      </c>
      <c r="M240" s="9">
        <v>2</v>
      </c>
      <c r="N240" s="9">
        <v>3</v>
      </c>
      <c r="O240" s="9">
        <v>1</v>
      </c>
    </row>
    <row r="241" spans="1:15" x14ac:dyDescent="0.2">
      <c r="A241" s="9">
        <v>240</v>
      </c>
      <c r="B241" s="58"/>
      <c r="C241" s="58"/>
      <c r="D241" s="32"/>
      <c r="E241" s="32"/>
      <c r="F241" s="32"/>
      <c r="G241" s="32"/>
      <c r="H241" s="32"/>
      <c r="I241" s="32"/>
      <c r="J241" s="32"/>
      <c r="K241" s="32"/>
      <c r="L241" s="32"/>
      <c r="M241" s="32"/>
      <c r="N241" s="32"/>
      <c r="O241" s="32"/>
    </row>
    <row r="242" spans="1:15" x14ac:dyDescent="0.2">
      <c r="A242" s="9">
        <v>241</v>
      </c>
      <c r="B242" s="58"/>
      <c r="C242" s="58"/>
      <c r="D242" s="9">
        <v>1</v>
      </c>
      <c r="E242" s="9">
        <v>1</v>
      </c>
      <c r="F242" s="9">
        <v>3</v>
      </c>
      <c r="G242" s="9">
        <v>2</v>
      </c>
      <c r="H242" s="9">
        <v>2</v>
      </c>
      <c r="I242" s="9">
        <v>2</v>
      </c>
      <c r="J242" s="9">
        <v>1</v>
      </c>
      <c r="K242" s="9">
        <v>1</v>
      </c>
      <c r="L242" s="9">
        <v>2</v>
      </c>
      <c r="M242" s="9">
        <v>1</v>
      </c>
      <c r="N242" s="9">
        <v>1</v>
      </c>
      <c r="O242" s="9">
        <v>1</v>
      </c>
    </row>
    <row r="243" spans="1:15" x14ac:dyDescent="0.2">
      <c r="A243" s="9">
        <v>242</v>
      </c>
      <c r="B243" s="58"/>
      <c r="C243" s="58"/>
      <c r="D243" s="9">
        <v>1</v>
      </c>
      <c r="E243" s="9">
        <v>1</v>
      </c>
      <c r="F243" s="9">
        <v>1</v>
      </c>
      <c r="G243" s="9">
        <v>1</v>
      </c>
      <c r="H243" s="9">
        <v>1</v>
      </c>
      <c r="I243" s="9">
        <v>5</v>
      </c>
      <c r="J243" s="9">
        <v>1</v>
      </c>
      <c r="K243" s="9">
        <v>1</v>
      </c>
      <c r="L243" s="9">
        <v>2</v>
      </c>
      <c r="M243" s="9">
        <v>1</v>
      </c>
      <c r="N243" s="9">
        <v>1</v>
      </c>
      <c r="O243" s="9">
        <v>1</v>
      </c>
    </row>
    <row r="244" spans="1:15" x14ac:dyDescent="0.2">
      <c r="A244" s="9">
        <v>243</v>
      </c>
      <c r="B244" s="58"/>
      <c r="C244" s="58"/>
      <c r="D244" s="9">
        <v>4</v>
      </c>
      <c r="E244" s="9">
        <v>5</v>
      </c>
      <c r="F244" s="9">
        <v>4</v>
      </c>
      <c r="G244" s="9">
        <v>5</v>
      </c>
      <c r="H244" s="9">
        <v>3</v>
      </c>
      <c r="I244" s="9">
        <v>5</v>
      </c>
      <c r="J244" s="9">
        <v>4</v>
      </c>
      <c r="K244" s="9">
        <v>5</v>
      </c>
      <c r="L244" s="9">
        <v>4</v>
      </c>
      <c r="M244" s="9">
        <v>5</v>
      </c>
      <c r="N244" s="9">
        <v>4</v>
      </c>
      <c r="O244" s="9">
        <v>5</v>
      </c>
    </row>
    <row r="245" spans="1:15" x14ac:dyDescent="0.2">
      <c r="A245" s="9">
        <v>244</v>
      </c>
      <c r="B245" s="58"/>
      <c r="C245" s="58"/>
      <c r="D245" s="9">
        <v>2</v>
      </c>
      <c r="E245" s="9">
        <v>2</v>
      </c>
      <c r="F245" s="9">
        <v>2</v>
      </c>
      <c r="G245" s="9">
        <v>2</v>
      </c>
      <c r="H245" s="9">
        <v>4</v>
      </c>
      <c r="I245" s="9">
        <v>3</v>
      </c>
      <c r="J245" s="9">
        <v>2</v>
      </c>
      <c r="K245" s="9">
        <v>3</v>
      </c>
      <c r="L245" s="9">
        <v>2</v>
      </c>
      <c r="M245" s="9">
        <v>3</v>
      </c>
      <c r="N245" s="9">
        <v>2</v>
      </c>
      <c r="O245" s="9">
        <v>3</v>
      </c>
    </row>
    <row r="246" spans="1:15" x14ac:dyDescent="0.2">
      <c r="A246" s="9">
        <v>245</v>
      </c>
      <c r="B246" s="58"/>
      <c r="C246" s="58"/>
      <c r="D246" s="9">
        <v>5</v>
      </c>
      <c r="E246" s="9">
        <v>1</v>
      </c>
      <c r="F246" s="9">
        <v>2</v>
      </c>
      <c r="G246" s="9">
        <v>1</v>
      </c>
      <c r="H246" s="9">
        <v>3</v>
      </c>
      <c r="I246" s="9">
        <v>1</v>
      </c>
      <c r="J246" s="9">
        <v>1</v>
      </c>
      <c r="K246" s="9">
        <v>1</v>
      </c>
      <c r="L246" s="9">
        <v>2</v>
      </c>
      <c r="M246" s="9">
        <v>2</v>
      </c>
      <c r="N246" s="9">
        <v>2</v>
      </c>
      <c r="O246" s="9">
        <v>1</v>
      </c>
    </row>
    <row r="247" spans="1:15" x14ac:dyDescent="0.2">
      <c r="A247" s="9">
        <v>246</v>
      </c>
      <c r="B247" s="58"/>
      <c r="C247" s="58"/>
      <c r="D247" s="9">
        <v>2</v>
      </c>
      <c r="E247" s="9">
        <v>1</v>
      </c>
      <c r="F247" s="9">
        <v>1</v>
      </c>
      <c r="G247" s="9">
        <v>1</v>
      </c>
      <c r="H247" s="9">
        <v>1</v>
      </c>
      <c r="I247" s="9">
        <v>1</v>
      </c>
      <c r="J247" s="9">
        <v>1</v>
      </c>
      <c r="K247" s="9">
        <v>1</v>
      </c>
      <c r="L247" s="9">
        <v>1</v>
      </c>
      <c r="M247" s="9">
        <v>1</v>
      </c>
      <c r="N247" s="9">
        <v>1</v>
      </c>
      <c r="O247" s="9">
        <v>1</v>
      </c>
    </row>
    <row r="248" spans="1:15" x14ac:dyDescent="0.2">
      <c r="A248" s="9">
        <v>247</v>
      </c>
      <c r="B248" s="58"/>
      <c r="C248" s="58"/>
      <c r="D248" s="9">
        <v>3</v>
      </c>
      <c r="E248" s="9">
        <v>1</v>
      </c>
      <c r="F248" s="9">
        <v>3</v>
      </c>
      <c r="G248" s="9">
        <v>1</v>
      </c>
      <c r="H248" s="9">
        <v>3</v>
      </c>
      <c r="I248" s="9">
        <v>1</v>
      </c>
      <c r="J248" s="9">
        <v>2</v>
      </c>
      <c r="K248" s="9">
        <v>1</v>
      </c>
      <c r="L248" s="9">
        <v>3</v>
      </c>
      <c r="M248" s="9">
        <v>1</v>
      </c>
      <c r="N248" s="9">
        <v>3</v>
      </c>
      <c r="O248" s="9">
        <v>1</v>
      </c>
    </row>
    <row r="249" spans="1:15" x14ac:dyDescent="0.2">
      <c r="A249" s="9">
        <v>248</v>
      </c>
      <c r="B249" s="58"/>
      <c r="C249" s="58"/>
      <c r="D249" s="9">
        <v>1</v>
      </c>
      <c r="E249" s="9">
        <v>3</v>
      </c>
      <c r="F249" s="9">
        <v>1</v>
      </c>
      <c r="G249" s="9">
        <v>3</v>
      </c>
      <c r="H249" s="9">
        <v>1</v>
      </c>
      <c r="I249" s="9">
        <v>3</v>
      </c>
      <c r="J249" s="9">
        <v>1</v>
      </c>
      <c r="K249" s="9">
        <v>3</v>
      </c>
      <c r="L249" s="9">
        <v>2</v>
      </c>
      <c r="M249" s="9">
        <v>3</v>
      </c>
      <c r="N249" s="9">
        <v>4</v>
      </c>
      <c r="O249" s="9">
        <v>3</v>
      </c>
    </row>
    <row r="250" spans="1:15" x14ac:dyDescent="0.2">
      <c r="A250" s="9">
        <v>249</v>
      </c>
      <c r="B250" s="58"/>
      <c r="C250" s="58"/>
      <c r="D250" s="9">
        <v>2</v>
      </c>
      <c r="E250" s="9">
        <v>4</v>
      </c>
      <c r="F250" s="9">
        <v>2</v>
      </c>
      <c r="G250" s="9">
        <v>1</v>
      </c>
      <c r="H250" s="9">
        <v>3</v>
      </c>
      <c r="I250" s="9">
        <v>2</v>
      </c>
      <c r="J250" s="9">
        <v>4</v>
      </c>
      <c r="K250" s="9">
        <v>2</v>
      </c>
      <c r="L250" s="9">
        <v>4</v>
      </c>
      <c r="M250" s="9">
        <v>5</v>
      </c>
      <c r="N250" s="9">
        <v>5</v>
      </c>
      <c r="O250" s="9">
        <v>3</v>
      </c>
    </row>
    <row r="251" spans="1:15" x14ac:dyDescent="0.2">
      <c r="A251" s="9">
        <v>250</v>
      </c>
      <c r="B251" s="58"/>
      <c r="C251" s="58"/>
      <c r="D251" s="9">
        <v>3</v>
      </c>
      <c r="E251" s="9">
        <v>1</v>
      </c>
      <c r="F251" s="9">
        <v>4</v>
      </c>
      <c r="G251" s="9">
        <v>1</v>
      </c>
      <c r="H251" s="9">
        <v>3</v>
      </c>
      <c r="I251" s="9">
        <v>1</v>
      </c>
      <c r="J251" s="9">
        <v>1</v>
      </c>
      <c r="K251" s="9">
        <v>2</v>
      </c>
      <c r="L251" s="9">
        <v>3</v>
      </c>
      <c r="M251" s="9">
        <v>1</v>
      </c>
      <c r="N251" s="9">
        <v>2</v>
      </c>
      <c r="O251" s="9">
        <v>1</v>
      </c>
    </row>
    <row r="252" spans="1:15" x14ac:dyDescent="0.2">
      <c r="A252" s="9">
        <v>251</v>
      </c>
      <c r="B252" s="58"/>
      <c r="C252" s="58"/>
      <c r="D252" s="9">
        <v>2</v>
      </c>
      <c r="E252" s="9">
        <v>1</v>
      </c>
      <c r="F252" s="9">
        <v>1</v>
      </c>
      <c r="G252" s="9">
        <v>1</v>
      </c>
      <c r="H252" s="9">
        <v>1</v>
      </c>
      <c r="I252" s="9">
        <v>1</v>
      </c>
      <c r="J252" s="9">
        <v>3</v>
      </c>
      <c r="K252" s="9">
        <v>3</v>
      </c>
      <c r="L252" s="9">
        <v>2</v>
      </c>
      <c r="M252" s="9">
        <v>2</v>
      </c>
      <c r="N252" s="9">
        <v>2</v>
      </c>
      <c r="O252" s="9">
        <v>2</v>
      </c>
    </row>
    <row r="253" spans="1:15" x14ac:dyDescent="0.2">
      <c r="A253" s="9">
        <v>252</v>
      </c>
      <c r="B253" s="58"/>
      <c r="C253" s="58"/>
      <c r="D253" s="9">
        <v>3</v>
      </c>
      <c r="E253" s="9">
        <v>1</v>
      </c>
      <c r="F253" s="9">
        <v>4</v>
      </c>
      <c r="G253" s="9">
        <v>3</v>
      </c>
      <c r="H253" s="9">
        <v>3</v>
      </c>
      <c r="I253" s="9">
        <v>1</v>
      </c>
      <c r="J253" s="9">
        <v>3</v>
      </c>
      <c r="K253" s="9">
        <v>3</v>
      </c>
      <c r="L253" s="9">
        <v>5</v>
      </c>
      <c r="M253" s="9">
        <v>2</v>
      </c>
      <c r="N253" s="9">
        <v>5</v>
      </c>
      <c r="O253" s="9">
        <v>2</v>
      </c>
    </row>
    <row r="254" spans="1:15" x14ac:dyDescent="0.2">
      <c r="A254" s="9">
        <v>253</v>
      </c>
      <c r="B254" s="58"/>
      <c r="C254" s="58"/>
      <c r="D254" s="9">
        <v>2</v>
      </c>
      <c r="E254" s="9">
        <v>1</v>
      </c>
      <c r="F254" s="9">
        <v>2</v>
      </c>
      <c r="G254" s="9">
        <v>1</v>
      </c>
      <c r="H254" s="9">
        <v>5</v>
      </c>
      <c r="I254" s="9">
        <v>3</v>
      </c>
      <c r="J254" s="9">
        <v>4</v>
      </c>
      <c r="K254" s="9">
        <v>4</v>
      </c>
      <c r="L254" s="9">
        <v>3</v>
      </c>
      <c r="M254" s="9">
        <v>3</v>
      </c>
      <c r="N254" s="9">
        <v>3</v>
      </c>
      <c r="O254" s="9">
        <v>2</v>
      </c>
    </row>
    <row r="255" spans="1:15" x14ac:dyDescent="0.2">
      <c r="A255" s="9">
        <v>254</v>
      </c>
      <c r="B255" s="58"/>
      <c r="C255" s="58"/>
      <c r="D255" s="9">
        <v>2</v>
      </c>
      <c r="E255" s="9">
        <v>2</v>
      </c>
      <c r="F255" s="9">
        <v>2</v>
      </c>
      <c r="G255" s="9">
        <v>2</v>
      </c>
      <c r="H255" s="9">
        <v>2</v>
      </c>
      <c r="I255" s="9">
        <v>2</v>
      </c>
      <c r="J255" s="9">
        <v>2</v>
      </c>
      <c r="K255" s="9">
        <v>2</v>
      </c>
      <c r="L255" s="9">
        <v>2</v>
      </c>
      <c r="M255" s="9">
        <v>2</v>
      </c>
      <c r="N255" s="9">
        <v>2</v>
      </c>
      <c r="O255" s="9">
        <v>2</v>
      </c>
    </row>
    <row r="256" spans="1:15" x14ac:dyDescent="0.2">
      <c r="A256" s="9">
        <v>255</v>
      </c>
      <c r="B256" s="58"/>
      <c r="C256" s="58"/>
      <c r="D256" s="32"/>
      <c r="E256" s="32"/>
      <c r="F256" s="32"/>
      <c r="G256" s="32"/>
      <c r="H256" s="32"/>
      <c r="I256" s="32"/>
      <c r="J256" s="32"/>
      <c r="K256" s="32"/>
      <c r="L256" s="32"/>
      <c r="M256" s="32"/>
      <c r="N256" s="32"/>
      <c r="O256" s="32"/>
    </row>
    <row r="257" spans="1:15" x14ac:dyDescent="0.2">
      <c r="A257" s="9">
        <v>256</v>
      </c>
      <c r="B257" s="58"/>
      <c r="C257" s="58"/>
      <c r="D257" s="32"/>
      <c r="E257" s="32"/>
      <c r="F257" s="32"/>
      <c r="G257" s="32"/>
      <c r="H257" s="32"/>
      <c r="I257" s="32"/>
      <c r="J257" s="32"/>
      <c r="K257" s="32"/>
      <c r="L257" s="32"/>
      <c r="M257" s="32"/>
      <c r="N257" s="32"/>
      <c r="O257" s="32"/>
    </row>
    <row r="258" spans="1:15" x14ac:dyDescent="0.2">
      <c r="A258" s="9">
        <v>257</v>
      </c>
      <c r="B258" s="58"/>
      <c r="C258" s="58"/>
      <c r="D258" s="9">
        <v>2</v>
      </c>
      <c r="E258" s="9">
        <v>2</v>
      </c>
      <c r="F258" s="9">
        <v>1</v>
      </c>
      <c r="G258" s="9">
        <v>3</v>
      </c>
      <c r="H258" s="9">
        <v>1</v>
      </c>
      <c r="I258" s="9">
        <v>3</v>
      </c>
      <c r="J258" s="9">
        <v>1</v>
      </c>
      <c r="K258" s="9">
        <v>3</v>
      </c>
      <c r="L258" s="9">
        <v>1</v>
      </c>
      <c r="M258" s="9">
        <v>3</v>
      </c>
      <c r="N258" s="9">
        <v>1</v>
      </c>
      <c r="O258" s="9">
        <v>3</v>
      </c>
    </row>
    <row r="259" spans="1:15" x14ac:dyDescent="0.2">
      <c r="A259" s="9">
        <v>258</v>
      </c>
      <c r="B259" s="58"/>
      <c r="C259" s="58"/>
      <c r="D259" s="9">
        <v>2</v>
      </c>
      <c r="E259" s="9">
        <v>2</v>
      </c>
      <c r="F259" s="9">
        <v>2</v>
      </c>
      <c r="G259" s="9">
        <v>2</v>
      </c>
      <c r="H259" s="9">
        <v>1</v>
      </c>
      <c r="I259" s="9">
        <v>3</v>
      </c>
      <c r="J259" s="9">
        <v>1</v>
      </c>
      <c r="K259" s="9">
        <v>3</v>
      </c>
      <c r="L259" s="9">
        <v>5</v>
      </c>
      <c r="M259" s="9">
        <v>2</v>
      </c>
      <c r="N259" s="9">
        <v>4</v>
      </c>
      <c r="O259" s="9">
        <v>3</v>
      </c>
    </row>
    <row r="260" spans="1:15" x14ac:dyDescent="0.2">
      <c r="A260" s="9">
        <v>259</v>
      </c>
      <c r="B260" s="58"/>
      <c r="C260" s="58"/>
      <c r="D260" s="9">
        <v>1</v>
      </c>
      <c r="E260" s="9">
        <v>5</v>
      </c>
      <c r="F260" s="9">
        <v>1</v>
      </c>
      <c r="G260" s="9">
        <v>5</v>
      </c>
      <c r="H260" s="9">
        <v>1</v>
      </c>
      <c r="I260" s="9">
        <v>5</v>
      </c>
      <c r="J260" s="9">
        <v>1</v>
      </c>
      <c r="K260" s="9">
        <v>5</v>
      </c>
      <c r="L260" s="9">
        <v>1</v>
      </c>
      <c r="M260" s="9">
        <v>2</v>
      </c>
      <c r="N260" s="9">
        <v>1</v>
      </c>
      <c r="O260" s="9">
        <v>2</v>
      </c>
    </row>
    <row r="261" spans="1:15" x14ac:dyDescent="0.2">
      <c r="A261" s="9">
        <v>260</v>
      </c>
      <c r="B261" s="58"/>
      <c r="C261" s="58"/>
      <c r="D261" s="9">
        <v>2</v>
      </c>
      <c r="E261" s="9">
        <v>1</v>
      </c>
      <c r="F261" s="9">
        <v>4</v>
      </c>
      <c r="G261" s="9">
        <v>1</v>
      </c>
      <c r="H261" s="9">
        <v>3</v>
      </c>
      <c r="I261" s="9">
        <v>1</v>
      </c>
      <c r="J261" s="9">
        <v>3</v>
      </c>
      <c r="K261" s="9">
        <v>2</v>
      </c>
      <c r="L261" s="9">
        <v>2</v>
      </c>
      <c r="M261" s="9">
        <v>2</v>
      </c>
      <c r="N261" s="9">
        <v>2</v>
      </c>
      <c r="O261" s="9">
        <v>2</v>
      </c>
    </row>
    <row r="262" spans="1:15" x14ac:dyDescent="0.2">
      <c r="A262" s="9">
        <v>261</v>
      </c>
      <c r="B262" s="58"/>
      <c r="C262" s="58"/>
      <c r="D262" s="9">
        <v>1</v>
      </c>
      <c r="E262" s="9">
        <v>3</v>
      </c>
      <c r="F262" s="9">
        <v>1</v>
      </c>
      <c r="G262" s="9">
        <v>3</v>
      </c>
      <c r="H262" s="9">
        <v>4</v>
      </c>
      <c r="I262" s="9">
        <v>2</v>
      </c>
      <c r="J262" s="9">
        <v>2</v>
      </c>
      <c r="K262" s="9">
        <v>2</v>
      </c>
      <c r="L262" s="9">
        <v>2</v>
      </c>
      <c r="M262" s="9">
        <v>1</v>
      </c>
      <c r="N262" s="9">
        <v>2</v>
      </c>
      <c r="O262" s="9">
        <v>1</v>
      </c>
    </row>
    <row r="263" spans="1:15" x14ac:dyDescent="0.2">
      <c r="A263" s="9">
        <v>262</v>
      </c>
      <c r="B263" s="58"/>
      <c r="C263" s="58"/>
      <c r="D263" s="9">
        <v>3</v>
      </c>
      <c r="E263" s="9">
        <v>1</v>
      </c>
      <c r="F263" s="9">
        <v>3</v>
      </c>
      <c r="G263" s="9">
        <v>1</v>
      </c>
      <c r="H263" s="9">
        <v>3</v>
      </c>
      <c r="I263" s="9">
        <v>2</v>
      </c>
      <c r="J263" s="9">
        <v>3</v>
      </c>
      <c r="K263" s="9">
        <v>2</v>
      </c>
      <c r="L263" s="9">
        <v>3</v>
      </c>
      <c r="M263" s="9">
        <v>1</v>
      </c>
      <c r="N263" s="9">
        <v>4</v>
      </c>
      <c r="O263" s="9">
        <v>1</v>
      </c>
    </row>
    <row r="264" spans="1:15" x14ac:dyDescent="0.2">
      <c r="A264" s="9">
        <v>263</v>
      </c>
      <c r="B264" s="58"/>
      <c r="C264" s="58"/>
      <c r="D264" s="9">
        <v>1</v>
      </c>
      <c r="E264" s="9">
        <v>2</v>
      </c>
      <c r="F264" s="9">
        <v>1</v>
      </c>
      <c r="G264" s="9">
        <v>2</v>
      </c>
      <c r="H264" s="9">
        <v>1</v>
      </c>
      <c r="I264" s="9">
        <v>2</v>
      </c>
      <c r="J264" s="9">
        <v>1</v>
      </c>
      <c r="K264" s="9">
        <v>2</v>
      </c>
      <c r="L264" s="9">
        <v>1</v>
      </c>
      <c r="M264" s="9">
        <v>2</v>
      </c>
      <c r="N264" s="9">
        <v>1</v>
      </c>
      <c r="O264" s="9">
        <v>2</v>
      </c>
    </row>
    <row r="265" spans="1:15" x14ac:dyDescent="0.2">
      <c r="A265" s="9">
        <v>264</v>
      </c>
      <c r="B265" s="58"/>
      <c r="C265" s="58"/>
      <c r="D265" s="9">
        <v>3</v>
      </c>
      <c r="E265" s="9">
        <v>1</v>
      </c>
      <c r="F265" s="9">
        <v>3</v>
      </c>
      <c r="G265" s="9">
        <v>1</v>
      </c>
      <c r="H265" s="9">
        <v>1</v>
      </c>
      <c r="I265" s="9">
        <v>1</v>
      </c>
      <c r="J265" s="9">
        <v>1</v>
      </c>
      <c r="K265" s="9">
        <v>2</v>
      </c>
      <c r="L265" s="9">
        <v>2</v>
      </c>
      <c r="M265" s="9">
        <v>2</v>
      </c>
      <c r="N265" s="9">
        <v>2</v>
      </c>
      <c r="O265" s="9">
        <v>1</v>
      </c>
    </row>
    <row r="266" spans="1:15" x14ac:dyDescent="0.2">
      <c r="A266" s="9">
        <v>265</v>
      </c>
      <c r="B266" s="58"/>
      <c r="C266" s="58"/>
      <c r="D266" s="9">
        <v>1</v>
      </c>
      <c r="E266" s="9">
        <v>1</v>
      </c>
      <c r="F266" s="9">
        <v>1</v>
      </c>
      <c r="G266" s="9">
        <v>1</v>
      </c>
      <c r="H266" s="9">
        <v>1</v>
      </c>
      <c r="I266" s="9">
        <v>1</v>
      </c>
      <c r="J266" s="9">
        <v>1</v>
      </c>
      <c r="K266" s="9">
        <v>1</v>
      </c>
      <c r="L266" s="9">
        <v>3</v>
      </c>
      <c r="M266" s="9">
        <v>1</v>
      </c>
      <c r="N266" s="9">
        <v>2</v>
      </c>
      <c r="O266" s="9">
        <v>1</v>
      </c>
    </row>
    <row r="267" spans="1:15" x14ac:dyDescent="0.2">
      <c r="A267" s="9">
        <v>266</v>
      </c>
      <c r="B267" s="58"/>
      <c r="C267" s="58"/>
      <c r="D267" s="9">
        <v>5</v>
      </c>
      <c r="E267" s="9">
        <v>4</v>
      </c>
      <c r="F267" s="9">
        <v>1</v>
      </c>
      <c r="G267" s="9">
        <v>5</v>
      </c>
      <c r="H267" s="9">
        <v>1</v>
      </c>
      <c r="I267" s="9">
        <v>5</v>
      </c>
      <c r="J267" s="9">
        <v>1</v>
      </c>
      <c r="K267" s="9">
        <v>5</v>
      </c>
      <c r="L267" s="9">
        <v>1</v>
      </c>
      <c r="M267" s="9">
        <v>5</v>
      </c>
      <c r="N267" s="9">
        <v>1</v>
      </c>
      <c r="O267" s="9">
        <v>5</v>
      </c>
    </row>
    <row r="268" spans="1:15" x14ac:dyDescent="0.2">
      <c r="A268" s="9">
        <v>267</v>
      </c>
      <c r="B268" s="58"/>
      <c r="C268" s="58"/>
      <c r="D268" s="9">
        <v>1</v>
      </c>
      <c r="E268" s="9">
        <v>3</v>
      </c>
      <c r="F268" s="9">
        <v>1</v>
      </c>
      <c r="G268" s="9">
        <v>3</v>
      </c>
      <c r="H268" s="9">
        <v>3</v>
      </c>
      <c r="I268" s="9">
        <v>3</v>
      </c>
      <c r="J268" s="9">
        <v>4</v>
      </c>
      <c r="K268" s="9">
        <v>3</v>
      </c>
      <c r="L268" s="9">
        <v>3</v>
      </c>
      <c r="M268" s="9">
        <v>3</v>
      </c>
      <c r="N268" s="9">
        <v>2</v>
      </c>
      <c r="O268" s="9">
        <v>3</v>
      </c>
    </row>
    <row r="269" spans="1:15" x14ac:dyDescent="0.2">
      <c r="A269" s="9">
        <v>268</v>
      </c>
      <c r="B269" s="58"/>
      <c r="C269" s="58"/>
      <c r="D269" s="9">
        <v>1</v>
      </c>
      <c r="E269" s="9">
        <v>1</v>
      </c>
      <c r="F269" s="9">
        <v>1</v>
      </c>
      <c r="G269" s="9">
        <v>1</v>
      </c>
      <c r="H269" s="9">
        <v>1</v>
      </c>
      <c r="I269" s="9">
        <v>1</v>
      </c>
      <c r="J269" s="9">
        <v>1</v>
      </c>
      <c r="K269" s="9">
        <v>1</v>
      </c>
      <c r="L269" s="9">
        <v>1</v>
      </c>
      <c r="M269" s="9">
        <v>1</v>
      </c>
      <c r="N269" s="9">
        <v>1</v>
      </c>
      <c r="O269" s="9">
        <v>1</v>
      </c>
    </row>
    <row r="270" spans="1:15" x14ac:dyDescent="0.2">
      <c r="A270" s="9">
        <v>269</v>
      </c>
      <c r="B270" s="58"/>
      <c r="C270" s="58"/>
      <c r="D270" s="9">
        <v>3</v>
      </c>
      <c r="E270" s="9">
        <v>3</v>
      </c>
      <c r="F270" s="9">
        <v>3</v>
      </c>
      <c r="G270" s="9">
        <v>3</v>
      </c>
      <c r="H270" s="9">
        <v>3</v>
      </c>
      <c r="I270" s="9">
        <v>3</v>
      </c>
      <c r="J270" s="9">
        <v>3</v>
      </c>
      <c r="K270" s="9">
        <v>3</v>
      </c>
      <c r="L270" s="9">
        <v>3</v>
      </c>
      <c r="M270" s="9">
        <v>3</v>
      </c>
      <c r="N270" s="9">
        <v>3</v>
      </c>
      <c r="O270" s="9">
        <v>3</v>
      </c>
    </row>
    <row r="271" spans="1:15" x14ac:dyDescent="0.2">
      <c r="A271" s="9">
        <v>270</v>
      </c>
      <c r="B271" s="58"/>
      <c r="C271" s="58"/>
      <c r="D271" s="9">
        <v>2</v>
      </c>
      <c r="E271" s="9">
        <v>2</v>
      </c>
      <c r="F271" s="9">
        <v>3</v>
      </c>
      <c r="G271" s="9">
        <v>1</v>
      </c>
      <c r="H271" s="9">
        <v>1</v>
      </c>
      <c r="I271" s="9">
        <v>3</v>
      </c>
      <c r="J271" s="9">
        <v>1</v>
      </c>
      <c r="K271" s="9">
        <v>1</v>
      </c>
      <c r="L271" s="9">
        <v>4</v>
      </c>
      <c r="M271" s="9">
        <v>3</v>
      </c>
      <c r="N271" s="9">
        <v>2</v>
      </c>
      <c r="O271" s="9">
        <v>2</v>
      </c>
    </row>
    <row r="272" spans="1:15" x14ac:dyDescent="0.2">
      <c r="A272" s="9">
        <v>271</v>
      </c>
      <c r="B272" s="58"/>
      <c r="C272" s="58"/>
      <c r="D272" s="9">
        <v>1</v>
      </c>
      <c r="E272" s="9">
        <v>4</v>
      </c>
      <c r="F272" s="9">
        <v>1</v>
      </c>
      <c r="G272" s="9">
        <v>4</v>
      </c>
      <c r="H272" s="9">
        <v>2</v>
      </c>
      <c r="I272" s="9">
        <v>4</v>
      </c>
      <c r="J272" s="9">
        <v>1</v>
      </c>
      <c r="K272" s="9">
        <v>4</v>
      </c>
      <c r="L272" s="9">
        <v>1</v>
      </c>
      <c r="M272" s="9">
        <v>3</v>
      </c>
      <c r="N272" s="9">
        <v>1</v>
      </c>
      <c r="O272" s="9">
        <v>3</v>
      </c>
    </row>
    <row r="273" spans="1:15" x14ac:dyDescent="0.2">
      <c r="A273" s="9">
        <v>272</v>
      </c>
      <c r="B273" s="58"/>
      <c r="C273" s="58"/>
      <c r="D273" s="9">
        <v>1</v>
      </c>
      <c r="E273" s="9">
        <v>1</v>
      </c>
      <c r="F273" s="9">
        <v>2</v>
      </c>
      <c r="G273" s="9">
        <v>1</v>
      </c>
      <c r="H273" s="9">
        <v>3</v>
      </c>
      <c r="I273" s="9">
        <v>2</v>
      </c>
      <c r="J273" s="9">
        <v>1</v>
      </c>
      <c r="K273" s="9">
        <v>1</v>
      </c>
      <c r="L273" s="9">
        <v>2</v>
      </c>
      <c r="M273" s="9">
        <v>1</v>
      </c>
      <c r="N273" s="9">
        <v>2</v>
      </c>
      <c r="O273" s="9">
        <v>1</v>
      </c>
    </row>
    <row r="274" spans="1:15" x14ac:dyDescent="0.2">
      <c r="A274" s="9">
        <v>273</v>
      </c>
      <c r="B274" s="24"/>
      <c r="C274" s="24"/>
      <c r="D274" s="9">
        <v>5</v>
      </c>
      <c r="E274" s="9">
        <v>1</v>
      </c>
      <c r="F274" s="9">
        <v>4</v>
      </c>
      <c r="G274" s="9">
        <v>3</v>
      </c>
      <c r="H274" s="9">
        <v>3</v>
      </c>
      <c r="I274" s="9">
        <v>3</v>
      </c>
      <c r="J274" s="9">
        <v>5</v>
      </c>
      <c r="K274" s="9">
        <v>3</v>
      </c>
      <c r="L274" s="9">
        <v>4</v>
      </c>
      <c r="M274" s="9">
        <v>3</v>
      </c>
      <c r="N274" s="9">
        <v>5</v>
      </c>
      <c r="O274" s="9">
        <v>3</v>
      </c>
    </row>
    <row r="275" spans="1:15" x14ac:dyDescent="0.2">
      <c r="A275" s="9">
        <v>274</v>
      </c>
      <c r="B275" s="24"/>
      <c r="C275" s="24"/>
      <c r="D275" s="9">
        <v>1</v>
      </c>
      <c r="E275" s="9">
        <v>2</v>
      </c>
      <c r="F275" s="9">
        <v>1</v>
      </c>
      <c r="G275" s="9">
        <v>2</v>
      </c>
      <c r="H275" s="9">
        <v>1</v>
      </c>
      <c r="I275" s="9">
        <v>2</v>
      </c>
      <c r="J275" s="9">
        <v>1</v>
      </c>
      <c r="K275" s="9">
        <v>2</v>
      </c>
      <c r="L275" s="9">
        <v>3</v>
      </c>
      <c r="M275" s="9">
        <v>1</v>
      </c>
      <c r="N275" s="9">
        <v>2</v>
      </c>
      <c r="O275" s="9">
        <v>2</v>
      </c>
    </row>
    <row r="276" spans="1:15" x14ac:dyDescent="0.2">
      <c r="A276" s="9">
        <v>275</v>
      </c>
      <c r="B276" s="24"/>
      <c r="C276" s="24"/>
      <c r="D276" s="9">
        <v>3</v>
      </c>
      <c r="E276" s="9">
        <v>1</v>
      </c>
      <c r="F276" s="9">
        <v>2</v>
      </c>
      <c r="G276" s="9">
        <v>1</v>
      </c>
      <c r="H276" s="9">
        <v>4</v>
      </c>
      <c r="I276" s="9">
        <v>2</v>
      </c>
      <c r="J276" s="9">
        <v>3</v>
      </c>
      <c r="K276" s="9">
        <v>2</v>
      </c>
      <c r="L276" s="9">
        <v>3</v>
      </c>
      <c r="M276" s="9">
        <v>1</v>
      </c>
      <c r="N276" s="9">
        <v>3</v>
      </c>
      <c r="O276" s="9">
        <v>1</v>
      </c>
    </row>
    <row r="277" spans="1:15" x14ac:dyDescent="0.2">
      <c r="A277" s="9">
        <v>276</v>
      </c>
      <c r="B277" s="24"/>
      <c r="C277" s="24"/>
      <c r="D277" s="9">
        <v>4</v>
      </c>
      <c r="E277" s="9">
        <v>2</v>
      </c>
      <c r="F277" s="9">
        <v>4</v>
      </c>
      <c r="G277" s="9">
        <v>2</v>
      </c>
      <c r="H277" s="9">
        <v>2</v>
      </c>
      <c r="I277" s="9">
        <v>3</v>
      </c>
      <c r="J277" s="9">
        <v>1</v>
      </c>
      <c r="K277" s="9">
        <v>5</v>
      </c>
      <c r="L277" s="9">
        <v>4</v>
      </c>
      <c r="M277" s="9">
        <v>4</v>
      </c>
      <c r="N277" s="9">
        <v>3</v>
      </c>
      <c r="O277" s="9">
        <v>3</v>
      </c>
    </row>
  </sheetData>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C60A2-09E8-41D9-A694-BFA0DC9EB9E7}">
  <dimension ref="A1:AJ277"/>
  <sheetViews>
    <sheetView topLeftCell="E1" zoomScale="70" zoomScaleNormal="70" workbookViewId="0">
      <pane ySplit="1" topLeftCell="A2" activePane="bottomLeft" state="frozen"/>
      <selection activeCell="F1" sqref="F1"/>
      <selection pane="bottomLeft" activeCell="F1" sqref="F1"/>
    </sheetView>
  </sheetViews>
  <sheetFormatPr defaultColWidth="9.140625" defaultRowHeight="12.75" x14ac:dyDescent="0.2"/>
  <cols>
    <col min="1" max="1" width="9.140625" style="11"/>
    <col min="2" max="2" width="17.28515625" style="11" customWidth="1"/>
    <col min="3" max="3" width="27" style="11" customWidth="1"/>
    <col min="4" max="4" width="45.7109375" style="11" customWidth="1"/>
    <col min="5" max="6" width="9.140625" style="11"/>
    <col min="7" max="7" width="17.140625" style="11" customWidth="1"/>
    <col min="8" max="8" width="15.140625" style="11" customWidth="1"/>
    <col min="9" max="11" width="9.140625" style="11"/>
    <col min="12" max="12" width="15.28515625" style="11" customWidth="1"/>
    <col min="13" max="21" width="10.7109375" style="11" customWidth="1"/>
    <col min="22" max="22" width="26.140625" style="11" customWidth="1"/>
    <col min="23" max="23" width="7.28515625" style="11" customWidth="1"/>
    <col min="24" max="16384" width="9.140625" style="11"/>
  </cols>
  <sheetData>
    <row r="1" spans="1:36" s="2" customFormat="1" ht="51" x14ac:dyDescent="0.2">
      <c r="B1" s="2" t="s">
        <v>688</v>
      </c>
      <c r="C1" s="2" t="s">
        <v>689</v>
      </c>
      <c r="D1" s="22" t="s">
        <v>3615</v>
      </c>
      <c r="G1" s="8" t="s">
        <v>688</v>
      </c>
      <c r="H1" s="8" t="s">
        <v>3570</v>
      </c>
      <c r="I1" s="8" t="s">
        <v>4002</v>
      </c>
      <c r="J1" s="8" t="s">
        <v>4014</v>
      </c>
      <c r="K1" s="8" t="s">
        <v>4003</v>
      </c>
      <c r="L1" s="8"/>
      <c r="M1" s="8" t="s">
        <v>105</v>
      </c>
      <c r="N1" s="8" t="s">
        <v>324</v>
      </c>
      <c r="O1" s="8" t="s">
        <v>309</v>
      </c>
      <c r="P1" s="8" t="s">
        <v>443</v>
      </c>
      <c r="Q1" s="8" t="s">
        <v>107</v>
      </c>
      <c r="R1" s="8" t="s">
        <v>3959</v>
      </c>
      <c r="S1" s="8" t="s">
        <v>377</v>
      </c>
      <c r="T1" s="8" t="s">
        <v>161</v>
      </c>
      <c r="U1" s="8"/>
      <c r="V1" s="8" t="s">
        <v>689</v>
      </c>
      <c r="W1" s="8" t="s">
        <v>3570</v>
      </c>
      <c r="X1" s="8" t="s">
        <v>4002</v>
      </c>
      <c r="Y1" s="8" t="s">
        <v>4014</v>
      </c>
      <c r="Z1" s="8" t="s">
        <v>4003</v>
      </c>
      <c r="AA1" s="8"/>
      <c r="AB1" s="8"/>
      <c r="AC1" s="8" t="s">
        <v>105</v>
      </c>
      <c r="AD1" s="8" t="s">
        <v>324</v>
      </c>
      <c r="AE1" s="8" t="s">
        <v>309</v>
      </c>
      <c r="AF1" s="8" t="s">
        <v>443</v>
      </c>
      <c r="AG1" s="8" t="s">
        <v>107</v>
      </c>
      <c r="AH1" s="8" t="s">
        <v>3959</v>
      </c>
      <c r="AI1" s="8" t="s">
        <v>377</v>
      </c>
      <c r="AJ1" s="8" t="s">
        <v>161</v>
      </c>
    </row>
    <row r="2" spans="1:36" x14ac:dyDescent="0.2">
      <c r="A2" s="11">
        <v>1</v>
      </c>
      <c r="B2" s="11" t="s">
        <v>99</v>
      </c>
      <c r="C2" s="11" t="s">
        <v>84</v>
      </c>
      <c r="G2" s="11" t="s">
        <v>99</v>
      </c>
      <c r="H2" s="11">
        <f>COUNTIF($B$2:$B$496,"the core facility")</f>
        <v>99</v>
      </c>
      <c r="I2" s="11">
        <f>COUNTIFS(B$2:B$496,"the core facility",'1'!$F$2:$F$496,"*staff*")</f>
        <v>56</v>
      </c>
      <c r="J2" s="11">
        <f>COUNTIFS(B$2:B$496,"the core facility",'1'!$F$2:$F$496,"*both*")</f>
        <v>42</v>
      </c>
      <c r="K2" s="11">
        <f>COUNTIFS(B$2:B$496,"the core facility",'1'!$F$2:$F$496,"*users work*")</f>
        <v>1</v>
      </c>
      <c r="M2" s="11">
        <f>COUNTIFS($B$2:$B$496,"the core facility",'1'!$B$2:$B$496,"*flow cytometry*")</f>
        <v>6</v>
      </c>
      <c r="N2" s="11">
        <f>COUNTIFS($B$2:$B$496,"the core facility",'1'!$B$2:$B$496,"*genomics*")</f>
        <v>18</v>
      </c>
      <c r="O2" s="11">
        <f>COUNTIFS($B$2:$B$496,"the core facility",'1'!$B$2:$B$496,"*histology*")</f>
        <v>4</v>
      </c>
      <c r="P2" s="11">
        <f>COUNTIFS($B$2:$B$496,"the core facility",'1'!$B$2:$B$496,"*metabolomics*")</f>
        <v>4</v>
      </c>
      <c r="Q2" s="11">
        <f>COUNTIFS($B$2:$B$496,"the core facility",'1'!$B$2:$B$496,"*microscopy*")</f>
        <v>9</v>
      </c>
      <c r="R2" s="11">
        <f>COUNTIFS($B$2:$B$496,"the core facility",'1'!$B$2:$B$496,"*mouse*")</f>
        <v>6</v>
      </c>
      <c r="S2" s="11">
        <f>COUNTIFS($B$2:$B$496,"the core facility",'1'!$B$2:$B$496,"*protein expression*")</f>
        <v>5</v>
      </c>
      <c r="T2" s="11">
        <f>COUNTIFS($B$2:$B$496,"the core facility",'1'!$B$2:$B$496,"*proteomics*")</f>
        <v>25</v>
      </c>
      <c r="V2" s="11" t="s">
        <v>84</v>
      </c>
      <c r="W2" s="11">
        <f>COUNTIF($C$2:$C$496,"Yes")</f>
        <v>121</v>
      </c>
      <c r="X2" s="11">
        <f>COUNTIFS(C$2:C$496,"yes",'1'!$F$2:$F$496,"*staff*")</f>
        <v>46</v>
      </c>
      <c r="Y2" s="11">
        <f>COUNTIFS(C$2:C$496,"yes",'1'!$F$2:$F$496,"*both*")</f>
        <v>69</v>
      </c>
      <c r="Z2" s="11">
        <f>COUNTIFS(C$2:C$496,"yes",'1'!$F$2:$F$496,"*users work*")</f>
        <v>6</v>
      </c>
      <c r="AC2" s="11">
        <f>COUNTIFS($C$2:$C$496,"Yes",'1'!$B$2:$B$496,"*flow cytometry*")</f>
        <v>10</v>
      </c>
      <c r="AD2" s="11">
        <f>COUNTIFS($C$2:$C$496,"Yes",'1'!$B$2:$B$496,"*genomics*")</f>
        <v>20</v>
      </c>
      <c r="AE2" s="11">
        <f>COUNTIFS($C$2:$C$496,"Yes",'1'!$B$2:$B$496,"*histology*")</f>
        <v>6</v>
      </c>
      <c r="AF2" s="11">
        <f>COUNTIFS($C$2:$C$496,"Yes",'1'!$B$2:$B$496,"*metabolomics*")</f>
        <v>3</v>
      </c>
      <c r="AG2" s="11">
        <f>COUNTIFS($C$2:$C$496,"Yes",'1'!$B$2:$B$496,"*microscopy*")</f>
        <v>24</v>
      </c>
      <c r="AH2" s="11">
        <f>COUNTIFS($C$2:$C$496,"Yes",'1'!$B$2:$B$496,"*mouse*")</f>
        <v>8</v>
      </c>
      <c r="AI2" s="11">
        <f>COUNTIFS($C$2:$C$496,"Yes",'1'!$B$2:$B$496,"*protein expression*")</f>
        <v>4</v>
      </c>
      <c r="AJ2" s="11">
        <f>COUNTIFS($C$2:$C$496,"Yes",'1'!$B$2:$B$496,"*proteomics*")</f>
        <v>22</v>
      </c>
    </row>
    <row r="3" spans="1:36" x14ac:dyDescent="0.2">
      <c r="A3" s="11">
        <v>2</v>
      </c>
      <c r="B3" s="11" t="s">
        <v>118</v>
      </c>
      <c r="C3" s="11" t="s">
        <v>84</v>
      </c>
      <c r="G3" s="11" t="s">
        <v>118</v>
      </c>
      <c r="H3" s="11">
        <f>COUNTIF($B$2:$B$496,"both")</f>
        <v>80</v>
      </c>
      <c r="I3" s="11">
        <f>COUNTIFS(B$2:B$496,"both",'1'!$F$2:$F$496,"*staff*")</f>
        <v>9</v>
      </c>
      <c r="J3" s="11">
        <f>COUNTIFS(B$2:B$496,"both",'1'!$F$2:$F$496,"*both*")</f>
        <v>65</v>
      </c>
      <c r="K3" s="11">
        <f>COUNTIFS(B$2:B$496,"both",'1'!$F$2:$F$496,"*users work*")</f>
        <v>6</v>
      </c>
      <c r="M3" s="11">
        <f>COUNTIFS($B$2:$B$496,"both",'1'!$B$2:$B$496,"*flow cytometry*")</f>
        <v>15</v>
      </c>
      <c r="N3" s="11">
        <f>COUNTIFS($B$2:$B$496,"both",'1'!$B$2:$B$496,"*genomics*")</f>
        <v>12</v>
      </c>
      <c r="O3" s="11">
        <f>COUNTIFS($B$2:$B$496,"both",'1'!$B$2:$B$496,"*histology*")</f>
        <v>3</v>
      </c>
      <c r="P3" s="11">
        <f>COUNTIFS($B$2:$B$496,"both",'1'!$B$2:$B$496,"*metabolomics*")</f>
        <v>2</v>
      </c>
      <c r="Q3" s="11">
        <f>COUNTIFS($B$2:$B$496,"both",'1'!$B$2:$B$496,"*microscopy*")</f>
        <v>17</v>
      </c>
      <c r="R3" s="11">
        <f>COUNTIFS($B$2:$B$496,"both",'1'!$B$2:$B$496,"*mouse*")</f>
        <v>3</v>
      </c>
      <c r="S3" s="11">
        <f>COUNTIFS($B$2:$B$496,"both",'1'!$B$2:$B$496,"*protein expression*")</f>
        <v>2</v>
      </c>
      <c r="T3" s="11">
        <f>COUNTIFS($B$2:$B$496,"both",'1'!$B$2:$B$496,"*proteomics*")</f>
        <v>8</v>
      </c>
      <c r="V3" s="11" t="s">
        <v>82</v>
      </c>
      <c r="W3" s="11">
        <f>COUNTIF($C$2:$C$496,"No")</f>
        <v>56</v>
      </c>
      <c r="X3" s="11">
        <f>COUNTIFS(C$2:C$496,"no",'1'!$F$2:$F$496,"*staff*")</f>
        <v>13</v>
      </c>
      <c r="Y3" s="11">
        <f>COUNTIFS(C$2:C$496,"no",'1'!$F$2:$F$496,"*both*")</f>
        <v>35</v>
      </c>
      <c r="Z3" s="11">
        <f>COUNTIFS(C$2:C$496,"no",'1'!$F$2:$F$496,"*users work*")</f>
        <v>8</v>
      </c>
      <c r="AC3" s="11">
        <f>COUNTIFS($C$2:$C$496,"No",'1'!$B$2:$B$496,"*flow cytometry*")</f>
        <v>8</v>
      </c>
      <c r="AD3" s="11">
        <f>COUNTIFS($C$2:$C$496,"No",'1'!$B$2:$B$496,"*genomics*")</f>
        <v>4</v>
      </c>
      <c r="AE3" s="11">
        <f>COUNTIFS($C$2:$C$496,"No",'1'!$B$2:$B$496,"*histology*")</f>
        <v>2</v>
      </c>
      <c r="AF3" s="11">
        <f>COUNTIFS($C$2:$C$496,"No",'1'!$B$2:$B$496,"*metabolomics*")</f>
        <v>1</v>
      </c>
      <c r="AG3" s="11">
        <f>COUNTIFS($C$2:$C$496,"No",'1'!$B$2:$B$496,"*microscopy*")</f>
        <v>12</v>
      </c>
      <c r="AH3" s="11">
        <f>COUNTIFS($C$2:$C$496,"No",'1'!$B$2:$B$496,"*mouse*")</f>
        <v>2</v>
      </c>
      <c r="AI3" s="11">
        <f>COUNTIFS($C$2:$C$496,"No",'1'!$B$2:$B$496,"*protein expression*")</f>
        <v>2</v>
      </c>
      <c r="AJ3" s="11">
        <f>COUNTIFS($C$2:$C$496,"No",'1'!$B$2:$B$496,"*proteomics*")</f>
        <v>10</v>
      </c>
    </row>
    <row r="4" spans="1:36" x14ac:dyDescent="0.2">
      <c r="A4" s="11">
        <v>3</v>
      </c>
      <c r="B4" s="11" t="s">
        <v>97</v>
      </c>
      <c r="C4" s="11" t="s">
        <v>106</v>
      </c>
      <c r="G4" s="11" t="s">
        <v>97</v>
      </c>
      <c r="H4" s="11">
        <f>COUNTIF($B$2:$B$496,"the user")</f>
        <v>81</v>
      </c>
      <c r="I4" s="11">
        <f>COUNTIFS(B$2:B$496,"the user",'1'!$F$2:$F$496,"*staff*")</f>
        <v>3</v>
      </c>
      <c r="J4" s="11">
        <f>COUNTIFS(B$2:B$496,"the user",'1'!$F$2:$F$496,"*both*")</f>
        <v>58</v>
      </c>
      <c r="K4" s="11">
        <f>COUNTIFS(B$2:B$496,"the user",'1'!$F$2:$F$496,"*users work*")</f>
        <v>20</v>
      </c>
      <c r="M4" s="11">
        <f>COUNTIFS($B$2:$B$496,"the user",'1'!$B$2:$B$496,"*flow cytometry*")</f>
        <v>25</v>
      </c>
      <c r="N4" s="11">
        <f>COUNTIFS($B$2:$B$496,"the user",'1'!$B$2:$B$496,"*genomics*")</f>
        <v>0</v>
      </c>
      <c r="O4" s="11">
        <f>COUNTIFS($B$2:$B$496,"the user",'1'!$B$2:$B$496,"*histology*")</f>
        <v>4</v>
      </c>
      <c r="P4" s="11">
        <f>COUNTIFS($B$2:$B$496,"the user",'1'!$B$2:$B$496,"*metabolomics*")</f>
        <v>1</v>
      </c>
      <c r="Q4" s="11">
        <f>COUNTIFS($B$2:$B$496,"the user",'1'!$B$2:$B$496,"*microscopy*")</f>
        <v>34</v>
      </c>
      <c r="R4" s="11">
        <f>COUNTIFS($B$2:$B$496,"the user",'1'!$B$2:$B$496,"*mouse*")</f>
        <v>4</v>
      </c>
      <c r="S4" s="11">
        <f>COUNTIFS($B$2:$B$496,"the user",'1'!$B$2:$B$496,"*protein expression*")</f>
        <v>1</v>
      </c>
      <c r="T4" s="11">
        <f>COUNTIFS($B$2:$B$496,"the user",'1'!$B$2:$B$496,"*proteomics*")</f>
        <v>2</v>
      </c>
      <c r="V4" s="11" t="s">
        <v>4232</v>
      </c>
      <c r="W4" s="11">
        <f>COUNTIF($C$2:$C$496,"I don’t know")</f>
        <v>83</v>
      </c>
      <c r="X4" s="11">
        <f>COUNTIFS(C$2:C$496,"I don’t know",'1'!$F$2:$F$496,"*staff*")</f>
        <v>9</v>
      </c>
      <c r="Y4" s="11">
        <f>COUNTIFS(C$2:C$496,"I don’t know",'1'!$F$2:$F$496,"*both*")</f>
        <v>61</v>
      </c>
      <c r="Z4" s="11">
        <f>COUNTIFS(C$2:C$496,"I don’t know",'1'!$F$2:$F$496,"*users work*")</f>
        <v>13</v>
      </c>
      <c r="AC4" s="11">
        <f>COUNTIFS($C$2:$C$496,"I don’t know",'1'!$B$2:$B$496,"*flow cytometry*")</f>
        <v>28</v>
      </c>
      <c r="AD4" s="11">
        <f>COUNTIFS($C$2:$C$496,"I don’t know",'1'!$B$2:$B$496,"*genomics*")</f>
        <v>6</v>
      </c>
      <c r="AE4" s="11">
        <f>COUNTIFS($C$2:$C$496,"I don’t know",'1'!$B$2:$B$496,"*histology*")</f>
        <v>3</v>
      </c>
      <c r="AF4" s="11">
        <f>COUNTIFS($C$2:$C$496,"I don’t know",'1'!$B$2:$B$496,"*metabolomics*")</f>
        <v>3</v>
      </c>
      <c r="AG4" s="11">
        <f>COUNTIFS($C$2:$C$496,"I don’t know",'1'!$B$2:$B$496,"*microscopy*")</f>
        <v>24</v>
      </c>
      <c r="AH4" s="11">
        <f>COUNTIFS($C$2:$C$496,"I don’t know",'1'!$B$2:$B$496,"*mouse*")</f>
        <v>3</v>
      </c>
      <c r="AI4" s="11">
        <f>COUNTIFS($C$2:$C$496,"I don’t know",'1'!$B$2:$B$496,"*protein expression*")</f>
        <v>2</v>
      </c>
      <c r="AJ4" s="11">
        <f>COUNTIFS($C$2:$C$496,"I don’t know",'1'!$B$2:$B$496,"*proteomics*")</f>
        <v>3</v>
      </c>
    </row>
    <row r="5" spans="1:36" x14ac:dyDescent="0.2">
      <c r="A5" s="11">
        <v>4</v>
      </c>
      <c r="B5" s="11" t="s">
        <v>99</v>
      </c>
      <c r="C5" s="11" t="s">
        <v>84</v>
      </c>
      <c r="H5" s="11">
        <f>SUM(H2:H4)</f>
        <v>260</v>
      </c>
      <c r="W5" s="11">
        <f>SUM(W2:W4)</f>
        <v>260</v>
      </c>
    </row>
    <row r="6" spans="1:36" x14ac:dyDescent="0.2">
      <c r="A6" s="11">
        <v>5</v>
      </c>
      <c r="B6" s="11" t="s">
        <v>97</v>
      </c>
      <c r="C6" s="11" t="s">
        <v>106</v>
      </c>
    </row>
    <row r="7" spans="1:36" x14ac:dyDescent="0.2">
      <c r="A7" s="11">
        <v>6</v>
      </c>
      <c r="B7" s="11" t="s">
        <v>118</v>
      </c>
      <c r="C7" s="11" t="s">
        <v>84</v>
      </c>
    </row>
    <row r="8" spans="1:36" x14ac:dyDescent="0.2">
      <c r="A8" s="11">
        <v>7</v>
      </c>
      <c r="B8" s="11" t="s">
        <v>118</v>
      </c>
      <c r="C8" s="11" t="s">
        <v>84</v>
      </c>
    </row>
    <row r="9" spans="1:36" x14ac:dyDescent="0.2">
      <c r="A9" s="11">
        <v>8</v>
      </c>
      <c r="B9" s="11" t="s">
        <v>97</v>
      </c>
      <c r="C9" s="11" t="s">
        <v>82</v>
      </c>
    </row>
    <row r="10" spans="1:36" ht="89.25" x14ac:dyDescent="0.2">
      <c r="A10" s="11">
        <v>9</v>
      </c>
      <c r="B10" s="11" t="s">
        <v>97</v>
      </c>
      <c r="C10" s="11" t="s">
        <v>82</v>
      </c>
      <c r="D10" s="7" t="s">
        <v>1021</v>
      </c>
    </row>
    <row r="11" spans="1:36" ht="25.5" x14ac:dyDescent="0.2">
      <c r="A11" s="11">
        <v>10</v>
      </c>
      <c r="B11" s="11" t="s">
        <v>97</v>
      </c>
      <c r="C11" s="11" t="s">
        <v>82</v>
      </c>
      <c r="D11" s="11" t="s">
        <v>232</v>
      </c>
    </row>
    <row r="12" spans="1:36" x14ac:dyDescent="0.2">
      <c r="A12" s="11">
        <v>11</v>
      </c>
      <c r="B12" s="11" t="s">
        <v>97</v>
      </c>
      <c r="C12" s="11" t="s">
        <v>106</v>
      </c>
    </row>
    <row r="13" spans="1:36" x14ac:dyDescent="0.2">
      <c r="A13" s="11">
        <v>12</v>
      </c>
      <c r="B13" s="11" t="s">
        <v>99</v>
      </c>
      <c r="C13" s="11" t="s">
        <v>84</v>
      </c>
    </row>
    <row r="14" spans="1:36" x14ac:dyDescent="0.2">
      <c r="A14" s="11">
        <v>13</v>
      </c>
      <c r="B14" s="11" t="s">
        <v>97</v>
      </c>
      <c r="C14" s="11" t="s">
        <v>106</v>
      </c>
    </row>
    <row r="15" spans="1:36" x14ac:dyDescent="0.2">
      <c r="A15" s="11">
        <v>14</v>
      </c>
      <c r="B15" s="11" t="s">
        <v>99</v>
      </c>
      <c r="C15" s="11" t="s">
        <v>82</v>
      </c>
      <c r="D15" s="7" t="s">
        <v>1022</v>
      </c>
    </row>
    <row r="16" spans="1:36" x14ac:dyDescent="0.2">
      <c r="A16" s="11">
        <v>15</v>
      </c>
      <c r="B16" s="11" t="s">
        <v>97</v>
      </c>
      <c r="C16" s="11" t="s">
        <v>106</v>
      </c>
    </row>
    <row r="17" spans="1:4" x14ac:dyDescent="0.2">
      <c r="A17" s="11">
        <v>16</v>
      </c>
      <c r="B17" s="11" t="s">
        <v>118</v>
      </c>
      <c r="C17" s="11" t="s">
        <v>84</v>
      </c>
    </row>
    <row r="18" spans="1:4" ht="25.5" x14ac:dyDescent="0.2">
      <c r="A18" s="11">
        <v>17</v>
      </c>
      <c r="B18" s="11" t="s">
        <v>97</v>
      </c>
      <c r="C18" s="11" t="s">
        <v>82</v>
      </c>
      <c r="D18" s="11" t="s">
        <v>4126</v>
      </c>
    </row>
    <row r="19" spans="1:4" x14ac:dyDescent="0.2">
      <c r="A19" s="11">
        <v>18</v>
      </c>
      <c r="B19" s="11" t="s">
        <v>99</v>
      </c>
      <c r="C19" s="11" t="s">
        <v>106</v>
      </c>
    </row>
    <row r="20" spans="1:4" x14ac:dyDescent="0.2">
      <c r="A20" s="11">
        <v>19</v>
      </c>
      <c r="B20" s="33"/>
      <c r="C20" s="33"/>
      <c r="D20" s="33"/>
    </row>
    <row r="21" spans="1:4" x14ac:dyDescent="0.2">
      <c r="A21" s="11">
        <v>20</v>
      </c>
      <c r="B21" s="33"/>
      <c r="C21" s="33"/>
      <c r="D21" s="33"/>
    </row>
    <row r="22" spans="1:4" x14ac:dyDescent="0.2">
      <c r="A22" s="11">
        <v>21</v>
      </c>
      <c r="B22" s="11" t="s">
        <v>99</v>
      </c>
      <c r="C22" s="11" t="s">
        <v>82</v>
      </c>
    </row>
    <row r="23" spans="1:4" x14ac:dyDescent="0.2">
      <c r="A23" s="11">
        <v>22</v>
      </c>
      <c r="B23" s="11" t="s">
        <v>99</v>
      </c>
      <c r="C23" s="11" t="s">
        <v>84</v>
      </c>
    </row>
    <row r="24" spans="1:4" x14ac:dyDescent="0.2">
      <c r="A24" s="11">
        <v>23</v>
      </c>
      <c r="B24" s="11" t="s">
        <v>118</v>
      </c>
      <c r="C24" s="11" t="s">
        <v>106</v>
      </c>
    </row>
    <row r="25" spans="1:4" ht="76.5" x14ac:dyDescent="0.2">
      <c r="A25" s="11">
        <v>24</v>
      </c>
      <c r="B25" s="11" t="s">
        <v>118</v>
      </c>
      <c r="C25" s="11" t="s">
        <v>82</v>
      </c>
      <c r="D25" s="11" t="s">
        <v>411</v>
      </c>
    </row>
    <row r="26" spans="1:4" x14ac:dyDescent="0.2">
      <c r="A26" s="11">
        <v>25</v>
      </c>
      <c r="B26" s="11" t="s">
        <v>99</v>
      </c>
      <c r="C26" s="11" t="s">
        <v>106</v>
      </c>
    </row>
    <row r="27" spans="1:4" x14ac:dyDescent="0.2">
      <c r="A27" s="11">
        <v>26</v>
      </c>
      <c r="B27" s="11" t="s">
        <v>118</v>
      </c>
      <c r="C27" s="11" t="s">
        <v>84</v>
      </c>
    </row>
    <row r="28" spans="1:4" x14ac:dyDescent="0.2">
      <c r="A28" s="11">
        <v>27</v>
      </c>
      <c r="B28" s="11" t="s">
        <v>97</v>
      </c>
      <c r="C28" s="11" t="s">
        <v>106</v>
      </c>
    </row>
    <row r="29" spans="1:4" ht="38.25" x14ac:dyDescent="0.2">
      <c r="A29" s="11">
        <v>28</v>
      </c>
      <c r="B29" s="11" t="s">
        <v>99</v>
      </c>
      <c r="C29" s="11" t="s">
        <v>82</v>
      </c>
      <c r="D29" s="7" t="s">
        <v>1023</v>
      </c>
    </row>
    <row r="30" spans="1:4" x14ac:dyDescent="0.2">
      <c r="A30" s="11">
        <v>29</v>
      </c>
      <c r="B30" s="11" t="s">
        <v>99</v>
      </c>
      <c r="C30" s="11" t="s">
        <v>84</v>
      </c>
    </row>
    <row r="31" spans="1:4" x14ac:dyDescent="0.2">
      <c r="A31" s="11">
        <v>30</v>
      </c>
      <c r="B31" s="11" t="s">
        <v>99</v>
      </c>
      <c r="C31" s="11" t="s">
        <v>84</v>
      </c>
    </row>
    <row r="32" spans="1:4" x14ac:dyDescent="0.2">
      <c r="A32" s="11">
        <v>31</v>
      </c>
      <c r="B32" s="11" t="s">
        <v>99</v>
      </c>
      <c r="C32" s="11" t="s">
        <v>84</v>
      </c>
    </row>
    <row r="33" spans="1:4" x14ac:dyDescent="0.2">
      <c r="A33" s="11">
        <v>32</v>
      </c>
      <c r="B33" s="11" t="s">
        <v>99</v>
      </c>
      <c r="C33" s="11" t="s">
        <v>84</v>
      </c>
    </row>
    <row r="34" spans="1:4" x14ac:dyDescent="0.2">
      <c r="A34" s="11">
        <v>33</v>
      </c>
      <c r="B34" s="11" t="s">
        <v>118</v>
      </c>
      <c r="C34" s="11" t="s">
        <v>84</v>
      </c>
    </row>
    <row r="35" spans="1:4" ht="25.5" x14ac:dyDescent="0.2">
      <c r="A35" s="11">
        <v>34</v>
      </c>
      <c r="B35" s="11" t="s">
        <v>97</v>
      </c>
      <c r="C35" s="11" t="s">
        <v>82</v>
      </c>
      <c r="D35" s="11" t="s">
        <v>552</v>
      </c>
    </row>
    <row r="36" spans="1:4" x14ac:dyDescent="0.2">
      <c r="A36" s="11">
        <v>35</v>
      </c>
      <c r="B36" s="11" t="s">
        <v>118</v>
      </c>
      <c r="C36" s="11" t="s">
        <v>82</v>
      </c>
      <c r="D36" s="19" t="s">
        <v>571</v>
      </c>
    </row>
    <row r="37" spans="1:4" x14ac:dyDescent="0.2">
      <c r="A37" s="11">
        <v>36</v>
      </c>
      <c r="B37" s="11" t="s">
        <v>118</v>
      </c>
      <c r="C37" s="11" t="s">
        <v>106</v>
      </c>
    </row>
    <row r="38" spans="1:4" x14ac:dyDescent="0.2">
      <c r="A38" s="11">
        <v>37</v>
      </c>
      <c r="B38" s="11" t="s">
        <v>118</v>
      </c>
      <c r="C38" s="11" t="s">
        <v>84</v>
      </c>
    </row>
    <row r="39" spans="1:4" x14ac:dyDescent="0.2">
      <c r="A39" s="11">
        <v>38</v>
      </c>
      <c r="B39" s="11" t="s">
        <v>97</v>
      </c>
      <c r="C39" s="11" t="s">
        <v>106</v>
      </c>
    </row>
    <row r="40" spans="1:4" x14ac:dyDescent="0.2">
      <c r="A40" s="11">
        <v>39</v>
      </c>
      <c r="B40" s="11" t="s">
        <v>99</v>
      </c>
      <c r="C40" s="11" t="s">
        <v>84</v>
      </c>
    </row>
    <row r="41" spans="1:4" ht="38.25" x14ac:dyDescent="0.2">
      <c r="A41" s="11">
        <v>40</v>
      </c>
      <c r="B41" s="11" t="s">
        <v>99</v>
      </c>
      <c r="C41" s="11" t="s">
        <v>82</v>
      </c>
      <c r="D41" s="11" t="s">
        <v>4127</v>
      </c>
    </row>
    <row r="42" spans="1:4" x14ac:dyDescent="0.2">
      <c r="A42" s="11">
        <v>41</v>
      </c>
      <c r="B42" s="11" t="s">
        <v>97</v>
      </c>
      <c r="C42" s="11" t="s">
        <v>106</v>
      </c>
    </row>
    <row r="43" spans="1:4" x14ac:dyDescent="0.2">
      <c r="A43" s="11">
        <v>42</v>
      </c>
      <c r="B43" s="11" t="s">
        <v>118</v>
      </c>
      <c r="C43" s="11" t="s">
        <v>84</v>
      </c>
    </row>
    <row r="44" spans="1:4" x14ac:dyDescent="0.2">
      <c r="A44" s="11">
        <v>43</v>
      </c>
      <c r="B44" s="11" t="s">
        <v>99</v>
      </c>
      <c r="C44" s="11" t="s">
        <v>84</v>
      </c>
    </row>
    <row r="45" spans="1:4" x14ac:dyDescent="0.2">
      <c r="A45" s="11">
        <v>44</v>
      </c>
      <c r="B45" s="33"/>
      <c r="C45" s="33"/>
      <c r="D45" s="33"/>
    </row>
    <row r="46" spans="1:4" x14ac:dyDescent="0.2">
      <c r="A46" s="11">
        <v>45</v>
      </c>
      <c r="B46" s="11" t="s">
        <v>118</v>
      </c>
      <c r="C46" s="11" t="s">
        <v>84</v>
      </c>
    </row>
    <row r="47" spans="1:4" ht="25.5" x14ac:dyDescent="0.2">
      <c r="A47" s="11">
        <v>46</v>
      </c>
      <c r="B47" s="11" t="s">
        <v>97</v>
      </c>
      <c r="C47" s="11" t="s">
        <v>82</v>
      </c>
      <c r="D47" s="7" t="s">
        <v>1024</v>
      </c>
    </row>
    <row r="48" spans="1:4" x14ac:dyDescent="0.2">
      <c r="A48" s="11">
        <v>47</v>
      </c>
      <c r="B48" s="11" t="s">
        <v>118</v>
      </c>
      <c r="C48" s="11" t="s">
        <v>84</v>
      </c>
    </row>
    <row r="49" spans="1:4" x14ac:dyDescent="0.2">
      <c r="A49" s="11">
        <v>48</v>
      </c>
      <c r="B49" s="11" t="s">
        <v>118</v>
      </c>
      <c r="C49" s="11" t="s">
        <v>106</v>
      </c>
    </row>
    <row r="50" spans="1:4" x14ac:dyDescent="0.2">
      <c r="A50" s="11">
        <v>49</v>
      </c>
      <c r="B50" s="11" t="s">
        <v>99</v>
      </c>
      <c r="C50" s="11" t="s">
        <v>84</v>
      </c>
    </row>
    <row r="51" spans="1:4" x14ac:dyDescent="0.2">
      <c r="A51" s="11">
        <v>50</v>
      </c>
      <c r="B51" s="11" t="s">
        <v>97</v>
      </c>
      <c r="C51" s="11" t="s">
        <v>106</v>
      </c>
    </row>
    <row r="52" spans="1:4" x14ac:dyDescent="0.2">
      <c r="A52" s="11">
        <v>51</v>
      </c>
      <c r="B52" s="11" t="s">
        <v>118</v>
      </c>
      <c r="C52" s="11" t="s">
        <v>84</v>
      </c>
    </row>
    <row r="53" spans="1:4" x14ac:dyDescent="0.2">
      <c r="A53" s="11">
        <v>52</v>
      </c>
      <c r="B53" s="11" t="s">
        <v>118</v>
      </c>
      <c r="C53" s="11" t="s">
        <v>84</v>
      </c>
    </row>
    <row r="54" spans="1:4" x14ac:dyDescent="0.2">
      <c r="A54" s="11">
        <v>53</v>
      </c>
      <c r="B54" s="11" t="s">
        <v>97</v>
      </c>
      <c r="C54" s="11" t="s">
        <v>106</v>
      </c>
    </row>
    <row r="55" spans="1:4" x14ac:dyDescent="0.2">
      <c r="A55" s="11">
        <v>54</v>
      </c>
      <c r="B55" s="11" t="s">
        <v>99</v>
      </c>
      <c r="C55" s="11" t="s">
        <v>84</v>
      </c>
    </row>
    <row r="56" spans="1:4" ht="102" x14ac:dyDescent="0.2">
      <c r="A56" s="11">
        <v>55</v>
      </c>
      <c r="B56" s="11" t="s">
        <v>118</v>
      </c>
      <c r="C56" s="11" t="s">
        <v>82</v>
      </c>
      <c r="D56" s="11" t="s">
        <v>1025</v>
      </c>
    </row>
    <row r="57" spans="1:4" x14ac:dyDescent="0.2">
      <c r="A57" s="11">
        <v>56</v>
      </c>
      <c r="B57" s="11" t="s">
        <v>97</v>
      </c>
      <c r="C57" s="11" t="s">
        <v>106</v>
      </c>
    </row>
    <row r="58" spans="1:4" x14ac:dyDescent="0.2">
      <c r="A58" s="11">
        <v>57</v>
      </c>
      <c r="B58" s="11" t="s">
        <v>97</v>
      </c>
      <c r="C58" s="11" t="s">
        <v>84</v>
      </c>
    </row>
    <row r="59" spans="1:4" x14ac:dyDescent="0.2">
      <c r="A59" s="11">
        <v>58</v>
      </c>
      <c r="B59" s="11" t="s">
        <v>99</v>
      </c>
      <c r="C59" s="11" t="s">
        <v>84</v>
      </c>
    </row>
    <row r="60" spans="1:4" x14ac:dyDescent="0.2">
      <c r="A60" s="11">
        <v>59</v>
      </c>
      <c r="B60" s="11" t="s">
        <v>118</v>
      </c>
      <c r="C60" s="11" t="s">
        <v>82</v>
      </c>
      <c r="D60" s="11" t="s">
        <v>1101</v>
      </c>
    </row>
    <row r="61" spans="1:4" ht="25.5" x14ac:dyDescent="0.2">
      <c r="A61" s="11">
        <v>60</v>
      </c>
      <c r="B61" s="11" t="s">
        <v>97</v>
      </c>
      <c r="C61" s="11" t="s">
        <v>82</v>
      </c>
      <c r="D61" s="11" t="s">
        <v>3836</v>
      </c>
    </row>
    <row r="62" spans="1:4" ht="25.5" x14ac:dyDescent="0.2">
      <c r="A62" s="11">
        <v>61</v>
      </c>
      <c r="B62" s="11" t="s">
        <v>99</v>
      </c>
      <c r="C62" s="11" t="s">
        <v>82</v>
      </c>
      <c r="D62" s="11" t="s">
        <v>1302</v>
      </c>
    </row>
    <row r="63" spans="1:4" x14ac:dyDescent="0.2">
      <c r="A63" s="11">
        <v>62</v>
      </c>
      <c r="B63" s="11" t="s">
        <v>97</v>
      </c>
      <c r="C63" s="11" t="s">
        <v>82</v>
      </c>
      <c r="D63" s="64" t="s">
        <v>1313</v>
      </c>
    </row>
    <row r="64" spans="1:4" ht="102" x14ac:dyDescent="0.2">
      <c r="A64" s="11">
        <v>63</v>
      </c>
      <c r="B64" s="11" t="s">
        <v>97</v>
      </c>
      <c r="C64" s="11" t="s">
        <v>82</v>
      </c>
      <c r="D64" s="11" t="s">
        <v>1331</v>
      </c>
    </row>
    <row r="65" spans="1:4" x14ac:dyDescent="0.2">
      <c r="A65" s="11">
        <v>64</v>
      </c>
      <c r="B65" s="33"/>
      <c r="C65" s="33"/>
      <c r="D65" s="33"/>
    </row>
    <row r="66" spans="1:4" x14ac:dyDescent="0.2">
      <c r="A66" s="11">
        <v>65</v>
      </c>
      <c r="B66" s="11" t="s">
        <v>99</v>
      </c>
      <c r="C66" s="11" t="s">
        <v>84</v>
      </c>
    </row>
    <row r="67" spans="1:4" x14ac:dyDescent="0.2">
      <c r="A67" s="11">
        <v>66</v>
      </c>
      <c r="B67" s="11" t="s">
        <v>97</v>
      </c>
      <c r="C67" s="11" t="s">
        <v>84</v>
      </c>
    </row>
    <row r="68" spans="1:4" x14ac:dyDescent="0.2">
      <c r="A68" s="11">
        <v>67</v>
      </c>
      <c r="B68" s="11" t="s">
        <v>118</v>
      </c>
      <c r="C68" s="11" t="s">
        <v>84</v>
      </c>
    </row>
    <row r="69" spans="1:4" x14ac:dyDescent="0.2">
      <c r="A69" s="11">
        <v>68</v>
      </c>
      <c r="B69" s="11" t="s">
        <v>99</v>
      </c>
      <c r="C69" s="11" t="s">
        <v>84</v>
      </c>
    </row>
    <row r="70" spans="1:4" x14ac:dyDescent="0.2">
      <c r="A70" s="11">
        <v>69</v>
      </c>
      <c r="B70" s="11" t="s">
        <v>97</v>
      </c>
      <c r="C70" s="11" t="s">
        <v>106</v>
      </c>
    </row>
    <row r="71" spans="1:4" x14ac:dyDescent="0.2">
      <c r="A71" s="11">
        <v>70</v>
      </c>
      <c r="B71" s="11" t="s">
        <v>99</v>
      </c>
      <c r="C71" s="11" t="s">
        <v>84</v>
      </c>
    </row>
    <row r="72" spans="1:4" x14ac:dyDescent="0.2">
      <c r="A72" s="11">
        <v>71</v>
      </c>
      <c r="B72" s="11" t="s">
        <v>97</v>
      </c>
      <c r="C72" s="11" t="s">
        <v>106</v>
      </c>
    </row>
    <row r="73" spans="1:4" x14ac:dyDescent="0.2">
      <c r="A73" s="11">
        <v>72</v>
      </c>
      <c r="B73" s="11" t="s">
        <v>97</v>
      </c>
      <c r="C73" s="11" t="s">
        <v>84</v>
      </c>
    </row>
    <row r="74" spans="1:4" x14ac:dyDescent="0.2">
      <c r="A74" s="11">
        <v>73</v>
      </c>
      <c r="B74" s="33"/>
      <c r="C74" s="33"/>
      <c r="D74" s="33"/>
    </row>
    <row r="75" spans="1:4" x14ac:dyDescent="0.2">
      <c r="A75" s="11">
        <v>74</v>
      </c>
      <c r="B75" s="11" t="s">
        <v>99</v>
      </c>
      <c r="C75" s="11" t="s">
        <v>84</v>
      </c>
    </row>
    <row r="76" spans="1:4" x14ac:dyDescent="0.2">
      <c r="A76" s="11">
        <v>75</v>
      </c>
      <c r="B76" s="33"/>
      <c r="C76" s="33"/>
      <c r="D76" s="33"/>
    </row>
    <row r="77" spans="1:4" x14ac:dyDescent="0.2">
      <c r="A77" s="11">
        <v>76</v>
      </c>
      <c r="B77" s="11" t="s">
        <v>99</v>
      </c>
      <c r="C77" s="11" t="s">
        <v>106</v>
      </c>
    </row>
    <row r="78" spans="1:4" ht="25.5" x14ac:dyDescent="0.2">
      <c r="A78" s="11">
        <v>77</v>
      </c>
      <c r="B78" s="11" t="s">
        <v>99</v>
      </c>
      <c r="C78" s="11" t="s">
        <v>82</v>
      </c>
      <c r="D78" s="11" t="s">
        <v>1425</v>
      </c>
    </row>
    <row r="79" spans="1:4" x14ac:dyDescent="0.2">
      <c r="A79" s="11">
        <v>78</v>
      </c>
      <c r="B79" s="11" t="s">
        <v>118</v>
      </c>
      <c r="C79" s="11" t="s">
        <v>84</v>
      </c>
    </row>
    <row r="80" spans="1:4" x14ac:dyDescent="0.2">
      <c r="A80" s="11">
        <v>79</v>
      </c>
      <c r="B80" s="11" t="s">
        <v>99</v>
      </c>
      <c r="C80" s="11" t="s">
        <v>84</v>
      </c>
    </row>
    <row r="81" spans="1:4" x14ac:dyDescent="0.2">
      <c r="A81" s="11">
        <v>80</v>
      </c>
      <c r="B81" s="11" t="s">
        <v>118</v>
      </c>
      <c r="C81" s="11" t="s">
        <v>106</v>
      </c>
    </row>
    <row r="82" spans="1:4" x14ac:dyDescent="0.2">
      <c r="A82" s="11">
        <v>81</v>
      </c>
      <c r="B82" s="11" t="s">
        <v>99</v>
      </c>
      <c r="C82" s="11" t="s">
        <v>106</v>
      </c>
    </row>
    <row r="83" spans="1:4" ht="38.25" x14ac:dyDescent="0.2">
      <c r="A83" s="11">
        <v>82</v>
      </c>
      <c r="B83" s="11" t="s">
        <v>99</v>
      </c>
      <c r="C83" s="11" t="s">
        <v>82</v>
      </c>
      <c r="D83" s="11" t="s">
        <v>1466</v>
      </c>
    </row>
    <row r="84" spans="1:4" x14ac:dyDescent="0.2">
      <c r="A84" s="11">
        <v>83</v>
      </c>
      <c r="B84" s="11" t="s">
        <v>99</v>
      </c>
      <c r="C84" s="11" t="s">
        <v>84</v>
      </c>
    </row>
    <row r="85" spans="1:4" x14ac:dyDescent="0.2">
      <c r="A85" s="11">
        <v>84</v>
      </c>
      <c r="B85" s="11" t="s">
        <v>99</v>
      </c>
      <c r="C85" s="11" t="s">
        <v>106</v>
      </c>
    </row>
    <row r="86" spans="1:4" x14ac:dyDescent="0.2">
      <c r="A86" s="11">
        <v>85</v>
      </c>
      <c r="B86" s="11" t="s">
        <v>118</v>
      </c>
      <c r="C86" s="11" t="s">
        <v>84</v>
      </c>
    </row>
    <row r="87" spans="1:4" x14ac:dyDescent="0.2">
      <c r="A87" s="11">
        <v>86</v>
      </c>
      <c r="B87" s="33"/>
      <c r="C87" s="33"/>
      <c r="D87" s="33"/>
    </row>
    <row r="88" spans="1:4" ht="25.5" x14ac:dyDescent="0.2">
      <c r="A88" s="11">
        <v>87</v>
      </c>
      <c r="B88" s="11" t="s">
        <v>99</v>
      </c>
      <c r="C88" s="11" t="s">
        <v>82</v>
      </c>
      <c r="D88" s="11" t="s">
        <v>1523</v>
      </c>
    </row>
    <row r="89" spans="1:4" x14ac:dyDescent="0.2">
      <c r="A89" s="11">
        <v>88</v>
      </c>
      <c r="B89" s="11" t="s">
        <v>118</v>
      </c>
      <c r="C89" s="11" t="s">
        <v>84</v>
      </c>
    </row>
    <row r="90" spans="1:4" x14ac:dyDescent="0.2">
      <c r="A90" s="11">
        <v>89</v>
      </c>
      <c r="B90" s="11" t="s">
        <v>97</v>
      </c>
      <c r="C90" s="11" t="s">
        <v>106</v>
      </c>
    </row>
    <row r="91" spans="1:4" x14ac:dyDescent="0.2">
      <c r="A91" s="11">
        <v>90</v>
      </c>
      <c r="B91" s="11" t="s">
        <v>97</v>
      </c>
      <c r="C91" s="11" t="s">
        <v>106</v>
      </c>
    </row>
    <row r="92" spans="1:4" x14ac:dyDescent="0.2">
      <c r="A92" s="11">
        <v>91</v>
      </c>
      <c r="B92" s="33"/>
      <c r="C92" s="33"/>
      <c r="D92" s="33"/>
    </row>
    <row r="93" spans="1:4" x14ac:dyDescent="0.2">
      <c r="A93" s="11">
        <v>92</v>
      </c>
      <c r="B93" s="11" t="s">
        <v>97</v>
      </c>
      <c r="C93" s="11" t="s">
        <v>84</v>
      </c>
    </row>
    <row r="94" spans="1:4" x14ac:dyDescent="0.2">
      <c r="A94" s="11">
        <v>93</v>
      </c>
      <c r="B94" s="11" t="s">
        <v>97</v>
      </c>
      <c r="C94" s="11" t="s">
        <v>106</v>
      </c>
    </row>
    <row r="95" spans="1:4" x14ac:dyDescent="0.2">
      <c r="A95" s="11">
        <v>94</v>
      </c>
      <c r="B95" s="11" t="s">
        <v>118</v>
      </c>
      <c r="C95" s="11" t="s">
        <v>106</v>
      </c>
    </row>
    <row r="96" spans="1:4" x14ac:dyDescent="0.2">
      <c r="A96" s="11">
        <v>95</v>
      </c>
      <c r="B96" s="11" t="s">
        <v>118</v>
      </c>
      <c r="C96" s="11" t="s">
        <v>106</v>
      </c>
    </row>
    <row r="97" spans="1:4" x14ac:dyDescent="0.2">
      <c r="A97" s="11">
        <v>96</v>
      </c>
      <c r="B97" s="11" t="s">
        <v>118</v>
      </c>
      <c r="C97" s="11" t="s">
        <v>84</v>
      </c>
    </row>
    <row r="98" spans="1:4" ht="25.5" x14ac:dyDescent="0.2">
      <c r="A98" s="11">
        <v>97</v>
      </c>
      <c r="B98" s="11" t="s">
        <v>118</v>
      </c>
      <c r="C98" s="11" t="s">
        <v>82</v>
      </c>
      <c r="D98" s="11" t="s">
        <v>3837</v>
      </c>
    </row>
    <row r="99" spans="1:4" x14ac:dyDescent="0.2">
      <c r="A99" s="11">
        <v>98</v>
      </c>
      <c r="B99" s="11" t="s">
        <v>99</v>
      </c>
      <c r="C99" s="11" t="s">
        <v>84</v>
      </c>
    </row>
    <row r="100" spans="1:4" ht="25.5" x14ac:dyDescent="0.2">
      <c r="A100" s="11">
        <v>99</v>
      </c>
      <c r="B100" s="11" t="s">
        <v>118</v>
      </c>
      <c r="C100" s="11" t="s">
        <v>82</v>
      </c>
      <c r="D100" s="11" t="s">
        <v>3838</v>
      </c>
    </row>
    <row r="101" spans="1:4" x14ac:dyDescent="0.2">
      <c r="A101" s="11">
        <v>100</v>
      </c>
      <c r="B101" s="11" t="s">
        <v>118</v>
      </c>
      <c r="C101" s="11" t="s">
        <v>106</v>
      </c>
    </row>
    <row r="102" spans="1:4" x14ac:dyDescent="0.2">
      <c r="A102" s="11">
        <v>101</v>
      </c>
      <c r="B102" s="11" t="s">
        <v>118</v>
      </c>
      <c r="C102" s="11" t="s">
        <v>106</v>
      </c>
    </row>
    <row r="103" spans="1:4" x14ac:dyDescent="0.2">
      <c r="A103" s="11">
        <v>102</v>
      </c>
      <c r="B103" s="11" t="s">
        <v>118</v>
      </c>
      <c r="C103" s="11" t="s">
        <v>84</v>
      </c>
    </row>
    <row r="104" spans="1:4" x14ac:dyDescent="0.2">
      <c r="A104" s="11">
        <v>103</v>
      </c>
      <c r="B104" s="11" t="s">
        <v>97</v>
      </c>
      <c r="C104" s="11" t="s">
        <v>84</v>
      </c>
    </row>
    <row r="105" spans="1:4" x14ac:dyDescent="0.2">
      <c r="A105" s="11">
        <v>104</v>
      </c>
      <c r="B105" s="11" t="s">
        <v>118</v>
      </c>
      <c r="C105" s="11" t="s">
        <v>84</v>
      </c>
    </row>
    <row r="106" spans="1:4" x14ac:dyDescent="0.2">
      <c r="A106" s="11">
        <v>105</v>
      </c>
      <c r="B106" s="11" t="s">
        <v>99</v>
      </c>
      <c r="C106" s="11" t="s">
        <v>84</v>
      </c>
    </row>
    <row r="107" spans="1:4" x14ac:dyDescent="0.2">
      <c r="A107" s="11">
        <v>106</v>
      </c>
      <c r="B107" s="11" t="s">
        <v>99</v>
      </c>
      <c r="C107" s="11" t="s">
        <v>84</v>
      </c>
    </row>
    <row r="108" spans="1:4" x14ac:dyDescent="0.2">
      <c r="A108" s="11">
        <v>107</v>
      </c>
      <c r="B108" s="11" t="s">
        <v>99</v>
      </c>
      <c r="C108" s="11" t="s">
        <v>106</v>
      </c>
    </row>
    <row r="109" spans="1:4" x14ac:dyDescent="0.2">
      <c r="A109" s="11">
        <v>108</v>
      </c>
      <c r="B109" s="11" t="s">
        <v>118</v>
      </c>
      <c r="C109" s="11" t="s">
        <v>84</v>
      </c>
    </row>
    <row r="110" spans="1:4" x14ac:dyDescent="0.2">
      <c r="A110" s="11">
        <v>109</v>
      </c>
      <c r="B110" s="11" t="s">
        <v>99</v>
      </c>
      <c r="C110" s="11" t="s">
        <v>84</v>
      </c>
    </row>
    <row r="111" spans="1:4" x14ac:dyDescent="0.2">
      <c r="A111" s="11">
        <v>110</v>
      </c>
      <c r="B111" s="11" t="s">
        <v>97</v>
      </c>
      <c r="C111" s="11" t="s">
        <v>106</v>
      </c>
    </row>
    <row r="112" spans="1:4" x14ac:dyDescent="0.2">
      <c r="A112" s="11">
        <v>111</v>
      </c>
      <c r="B112" s="11" t="s">
        <v>99</v>
      </c>
      <c r="C112" s="11" t="s">
        <v>84</v>
      </c>
    </row>
    <row r="113" spans="1:4" x14ac:dyDescent="0.2">
      <c r="A113" s="11">
        <v>112</v>
      </c>
      <c r="B113" s="11" t="s">
        <v>97</v>
      </c>
      <c r="C113" s="11" t="s">
        <v>82</v>
      </c>
    </row>
    <row r="114" spans="1:4" x14ac:dyDescent="0.2">
      <c r="A114" s="11">
        <v>113</v>
      </c>
      <c r="B114" s="33"/>
      <c r="C114" s="33"/>
      <c r="D114" s="33"/>
    </row>
    <row r="115" spans="1:4" x14ac:dyDescent="0.2">
      <c r="A115" s="11">
        <v>114</v>
      </c>
      <c r="B115" s="11" t="s">
        <v>97</v>
      </c>
      <c r="C115" s="11" t="s">
        <v>106</v>
      </c>
    </row>
    <row r="116" spans="1:4" x14ac:dyDescent="0.2">
      <c r="A116" s="11">
        <v>115</v>
      </c>
      <c r="B116" s="11" t="s">
        <v>97</v>
      </c>
      <c r="C116" s="11" t="s">
        <v>106</v>
      </c>
    </row>
    <row r="117" spans="1:4" x14ac:dyDescent="0.2">
      <c r="A117" s="11">
        <v>116</v>
      </c>
      <c r="B117" s="11" t="s">
        <v>118</v>
      </c>
      <c r="C117" s="11" t="s">
        <v>106</v>
      </c>
    </row>
    <row r="118" spans="1:4" ht="38.25" x14ac:dyDescent="0.2">
      <c r="A118" s="11">
        <v>117</v>
      </c>
      <c r="B118" s="11" t="s">
        <v>118</v>
      </c>
      <c r="C118" s="11" t="s">
        <v>82</v>
      </c>
      <c r="D118" s="7" t="s">
        <v>3839</v>
      </c>
    </row>
    <row r="119" spans="1:4" x14ac:dyDescent="0.2">
      <c r="A119" s="11">
        <v>118</v>
      </c>
      <c r="B119" s="11" t="s">
        <v>118</v>
      </c>
      <c r="C119" s="11" t="s">
        <v>84</v>
      </c>
    </row>
    <row r="120" spans="1:4" x14ac:dyDescent="0.2">
      <c r="A120" s="11">
        <v>119</v>
      </c>
      <c r="B120" s="11" t="s">
        <v>118</v>
      </c>
      <c r="C120" s="11" t="s">
        <v>82</v>
      </c>
      <c r="D120" s="11" t="s">
        <v>1773</v>
      </c>
    </row>
    <row r="121" spans="1:4" ht="63.75" x14ac:dyDescent="0.2">
      <c r="A121" s="11">
        <v>120</v>
      </c>
      <c r="B121" s="11" t="s">
        <v>99</v>
      </c>
      <c r="C121" s="11" t="s">
        <v>82</v>
      </c>
      <c r="D121" s="11" t="s">
        <v>3840</v>
      </c>
    </row>
    <row r="122" spans="1:4" x14ac:dyDescent="0.2">
      <c r="A122" s="11">
        <v>121</v>
      </c>
      <c r="B122" s="11" t="s">
        <v>97</v>
      </c>
      <c r="C122" s="11" t="s">
        <v>84</v>
      </c>
    </row>
    <row r="123" spans="1:4" x14ac:dyDescent="0.2">
      <c r="A123" s="11">
        <v>122</v>
      </c>
      <c r="B123" s="11" t="s">
        <v>99</v>
      </c>
      <c r="C123" s="11" t="s">
        <v>106</v>
      </c>
    </row>
    <row r="124" spans="1:4" ht="25.5" x14ac:dyDescent="0.2">
      <c r="A124" s="11">
        <v>123</v>
      </c>
      <c r="B124" s="11" t="s">
        <v>118</v>
      </c>
      <c r="C124" s="11" t="s">
        <v>82</v>
      </c>
      <c r="D124" s="64" t="s">
        <v>1811</v>
      </c>
    </row>
    <row r="125" spans="1:4" x14ac:dyDescent="0.2">
      <c r="A125" s="11">
        <v>124</v>
      </c>
      <c r="B125" s="11" t="s">
        <v>99</v>
      </c>
      <c r="C125" s="11" t="s">
        <v>84</v>
      </c>
    </row>
    <row r="126" spans="1:4" x14ac:dyDescent="0.2">
      <c r="A126" s="11">
        <v>125</v>
      </c>
      <c r="B126" s="11" t="s">
        <v>118</v>
      </c>
      <c r="C126" s="11" t="s">
        <v>82</v>
      </c>
    </row>
    <row r="127" spans="1:4" x14ac:dyDescent="0.2">
      <c r="A127" s="11">
        <v>126</v>
      </c>
      <c r="B127" s="11" t="s">
        <v>97</v>
      </c>
      <c r="C127" s="11" t="s">
        <v>106</v>
      </c>
    </row>
    <row r="128" spans="1:4" x14ac:dyDescent="0.2">
      <c r="A128" s="11">
        <v>127</v>
      </c>
      <c r="B128" s="11" t="s">
        <v>97</v>
      </c>
      <c r="C128" s="11" t="s">
        <v>106</v>
      </c>
    </row>
    <row r="129" spans="1:4" x14ac:dyDescent="0.2">
      <c r="A129" s="11">
        <v>128</v>
      </c>
      <c r="B129" s="11" t="s">
        <v>97</v>
      </c>
      <c r="C129" s="11" t="s">
        <v>84</v>
      </c>
    </row>
    <row r="130" spans="1:4" x14ac:dyDescent="0.2">
      <c r="A130" s="11">
        <v>129</v>
      </c>
      <c r="B130" s="11" t="s">
        <v>118</v>
      </c>
      <c r="C130" s="11" t="s">
        <v>106</v>
      </c>
    </row>
    <row r="131" spans="1:4" ht="76.5" x14ac:dyDescent="0.2">
      <c r="A131" s="11">
        <v>130</v>
      </c>
      <c r="B131" s="11" t="s">
        <v>97</v>
      </c>
      <c r="C131" s="11" t="s">
        <v>82</v>
      </c>
      <c r="D131" s="11" t="s">
        <v>1884</v>
      </c>
    </row>
    <row r="132" spans="1:4" x14ac:dyDescent="0.2">
      <c r="A132" s="11">
        <v>131</v>
      </c>
      <c r="B132" s="11" t="s">
        <v>97</v>
      </c>
      <c r="C132" s="11" t="s">
        <v>106</v>
      </c>
    </row>
    <row r="133" spans="1:4" x14ac:dyDescent="0.2">
      <c r="A133" s="11">
        <v>132</v>
      </c>
      <c r="B133" s="11" t="s">
        <v>118</v>
      </c>
      <c r="C133" s="11" t="s">
        <v>106</v>
      </c>
    </row>
    <row r="134" spans="1:4" x14ac:dyDescent="0.2">
      <c r="A134" s="11">
        <v>133</v>
      </c>
      <c r="B134" s="11" t="s">
        <v>118</v>
      </c>
      <c r="C134" s="11" t="s">
        <v>84</v>
      </c>
    </row>
    <row r="135" spans="1:4" x14ac:dyDescent="0.2">
      <c r="A135" s="11">
        <v>134</v>
      </c>
      <c r="B135" s="11" t="s">
        <v>118</v>
      </c>
      <c r="C135" s="11" t="s">
        <v>84</v>
      </c>
    </row>
    <row r="136" spans="1:4" x14ac:dyDescent="0.2">
      <c r="A136" s="11">
        <v>135</v>
      </c>
      <c r="B136" s="11" t="s">
        <v>97</v>
      </c>
      <c r="C136" s="11" t="s">
        <v>84</v>
      </c>
    </row>
    <row r="137" spans="1:4" x14ac:dyDescent="0.2">
      <c r="A137" s="11">
        <v>136</v>
      </c>
      <c r="B137" s="11" t="s">
        <v>97</v>
      </c>
      <c r="C137" s="11" t="s">
        <v>106</v>
      </c>
    </row>
    <row r="138" spans="1:4" x14ac:dyDescent="0.2">
      <c r="A138" s="11">
        <v>137</v>
      </c>
      <c r="B138" s="11" t="s">
        <v>99</v>
      </c>
      <c r="C138" s="11" t="s">
        <v>82</v>
      </c>
    </row>
    <row r="139" spans="1:4" x14ac:dyDescent="0.2">
      <c r="A139" s="11">
        <v>138</v>
      </c>
      <c r="B139" s="33"/>
      <c r="C139" s="33"/>
      <c r="D139" s="33"/>
    </row>
    <row r="140" spans="1:4" x14ac:dyDescent="0.2">
      <c r="A140" s="11">
        <v>139</v>
      </c>
      <c r="B140" s="11" t="s">
        <v>118</v>
      </c>
      <c r="C140" s="11" t="s">
        <v>106</v>
      </c>
    </row>
    <row r="141" spans="1:4" x14ac:dyDescent="0.2">
      <c r="A141" s="11">
        <v>140</v>
      </c>
      <c r="B141" s="11" t="s">
        <v>99</v>
      </c>
      <c r="C141" s="11" t="s">
        <v>84</v>
      </c>
    </row>
    <row r="142" spans="1:4" ht="25.5" x14ac:dyDescent="0.2">
      <c r="A142" s="11">
        <v>141</v>
      </c>
      <c r="B142" s="11" t="s">
        <v>118</v>
      </c>
      <c r="C142" s="11" t="s">
        <v>82</v>
      </c>
      <c r="D142" s="11" t="s">
        <v>4128</v>
      </c>
    </row>
    <row r="143" spans="1:4" x14ac:dyDescent="0.2">
      <c r="A143" s="11">
        <v>142</v>
      </c>
      <c r="B143" s="33" t="s">
        <v>97</v>
      </c>
      <c r="C143" s="33" t="s">
        <v>84</v>
      </c>
      <c r="D143" s="33"/>
    </row>
    <row r="144" spans="1:4" x14ac:dyDescent="0.2">
      <c r="A144" s="11">
        <v>143</v>
      </c>
      <c r="B144" s="11" t="s">
        <v>97</v>
      </c>
      <c r="C144" s="11" t="s">
        <v>106</v>
      </c>
    </row>
    <row r="145" spans="1:4" x14ac:dyDescent="0.2">
      <c r="A145" s="11">
        <v>144</v>
      </c>
      <c r="B145" s="11" t="s">
        <v>97</v>
      </c>
      <c r="C145" s="11" t="s">
        <v>106</v>
      </c>
    </row>
    <row r="146" spans="1:4" ht="89.25" x14ac:dyDescent="0.2">
      <c r="A146" s="11">
        <v>145</v>
      </c>
      <c r="B146" s="11" t="s">
        <v>97</v>
      </c>
      <c r="C146" s="11" t="s">
        <v>82</v>
      </c>
      <c r="D146" s="19" t="s">
        <v>3841</v>
      </c>
    </row>
    <row r="147" spans="1:4" x14ac:dyDescent="0.2">
      <c r="A147" s="11">
        <v>146</v>
      </c>
      <c r="B147" s="11" t="s">
        <v>97</v>
      </c>
      <c r="C147" s="11" t="s">
        <v>106</v>
      </c>
    </row>
    <row r="148" spans="1:4" x14ac:dyDescent="0.2">
      <c r="A148" s="11">
        <v>147</v>
      </c>
      <c r="B148" s="11" t="s">
        <v>97</v>
      </c>
      <c r="C148" s="11" t="s">
        <v>106</v>
      </c>
    </row>
    <row r="149" spans="1:4" x14ac:dyDescent="0.2">
      <c r="A149" s="11">
        <v>148</v>
      </c>
      <c r="B149" s="11" t="s">
        <v>97</v>
      </c>
      <c r="C149" s="11" t="s">
        <v>84</v>
      </c>
    </row>
    <row r="150" spans="1:4" x14ac:dyDescent="0.2">
      <c r="A150" s="11">
        <v>149</v>
      </c>
      <c r="B150" s="11" t="s">
        <v>118</v>
      </c>
      <c r="C150" s="11" t="s">
        <v>84</v>
      </c>
    </row>
    <row r="151" spans="1:4" x14ac:dyDescent="0.2">
      <c r="A151" s="11">
        <v>150</v>
      </c>
      <c r="B151" s="11" t="s">
        <v>97</v>
      </c>
      <c r="C151" s="11" t="s">
        <v>106</v>
      </c>
    </row>
    <row r="152" spans="1:4" x14ac:dyDescent="0.2">
      <c r="A152" s="11">
        <v>151</v>
      </c>
      <c r="B152" s="33" t="s">
        <v>97</v>
      </c>
      <c r="C152" s="33" t="s">
        <v>106</v>
      </c>
      <c r="D152" s="33"/>
    </row>
    <row r="153" spans="1:4" x14ac:dyDescent="0.2">
      <c r="A153" s="11">
        <v>152</v>
      </c>
      <c r="B153" s="11" t="s">
        <v>97</v>
      </c>
      <c r="C153" s="11" t="s">
        <v>106</v>
      </c>
    </row>
    <row r="154" spans="1:4" x14ac:dyDescent="0.2">
      <c r="A154" s="11">
        <v>153</v>
      </c>
      <c r="B154" s="11" t="s">
        <v>99</v>
      </c>
      <c r="C154" s="11" t="s">
        <v>84</v>
      </c>
    </row>
    <row r="155" spans="1:4" x14ac:dyDescent="0.2">
      <c r="A155" s="11">
        <v>154</v>
      </c>
      <c r="B155" s="11" t="s">
        <v>99</v>
      </c>
      <c r="C155" s="11" t="s">
        <v>82</v>
      </c>
    </row>
    <row r="156" spans="1:4" x14ac:dyDescent="0.2">
      <c r="A156" s="11">
        <v>155</v>
      </c>
      <c r="B156" s="11" t="s">
        <v>97</v>
      </c>
      <c r="C156" s="11" t="s">
        <v>84</v>
      </c>
    </row>
    <row r="157" spans="1:4" x14ac:dyDescent="0.2">
      <c r="A157" s="11">
        <v>156</v>
      </c>
      <c r="B157" s="11" t="s">
        <v>97</v>
      </c>
      <c r="C157" s="11" t="s">
        <v>106</v>
      </c>
    </row>
    <row r="158" spans="1:4" x14ac:dyDescent="0.2">
      <c r="A158" s="11">
        <v>157</v>
      </c>
      <c r="B158" s="11" t="s">
        <v>97</v>
      </c>
      <c r="C158" s="11" t="s">
        <v>106</v>
      </c>
    </row>
    <row r="159" spans="1:4" x14ac:dyDescent="0.2">
      <c r="A159" s="11">
        <v>158</v>
      </c>
      <c r="B159" s="11" t="s">
        <v>99</v>
      </c>
      <c r="C159" s="11" t="s">
        <v>84</v>
      </c>
    </row>
    <row r="160" spans="1:4" x14ac:dyDescent="0.2">
      <c r="A160" s="11">
        <v>159</v>
      </c>
      <c r="B160" s="11" t="s">
        <v>118</v>
      </c>
      <c r="C160" s="11" t="s">
        <v>106</v>
      </c>
    </row>
    <row r="161" spans="1:4" x14ac:dyDescent="0.2">
      <c r="A161" s="11">
        <v>160</v>
      </c>
      <c r="B161" s="11" t="s">
        <v>97</v>
      </c>
      <c r="C161" s="11" t="s">
        <v>106</v>
      </c>
    </row>
    <row r="162" spans="1:4" x14ac:dyDescent="0.2">
      <c r="A162" s="11">
        <v>161</v>
      </c>
      <c r="B162" s="11" t="s">
        <v>99</v>
      </c>
      <c r="C162" s="11" t="s">
        <v>84</v>
      </c>
    </row>
    <row r="163" spans="1:4" ht="25.5" x14ac:dyDescent="0.2">
      <c r="A163" s="11">
        <v>162</v>
      </c>
      <c r="B163" s="11" t="s">
        <v>99</v>
      </c>
      <c r="C163" s="11" t="s">
        <v>82</v>
      </c>
      <c r="D163" s="11" t="s">
        <v>3842</v>
      </c>
    </row>
    <row r="164" spans="1:4" x14ac:dyDescent="0.2">
      <c r="A164" s="11">
        <v>163</v>
      </c>
      <c r="B164" s="11" t="s">
        <v>118</v>
      </c>
      <c r="C164" s="11" t="s">
        <v>84</v>
      </c>
    </row>
    <row r="165" spans="1:4" x14ac:dyDescent="0.2">
      <c r="A165" s="11">
        <v>164</v>
      </c>
      <c r="B165" s="11" t="s">
        <v>118</v>
      </c>
      <c r="C165" s="11" t="s">
        <v>106</v>
      </c>
    </row>
    <row r="166" spans="1:4" x14ac:dyDescent="0.2">
      <c r="A166" s="11">
        <v>165</v>
      </c>
      <c r="B166" s="11" t="s">
        <v>99</v>
      </c>
      <c r="C166" s="11" t="s">
        <v>84</v>
      </c>
    </row>
    <row r="167" spans="1:4" x14ac:dyDescent="0.2">
      <c r="A167" s="11">
        <v>166</v>
      </c>
      <c r="B167" s="11" t="s">
        <v>97</v>
      </c>
      <c r="C167" s="11" t="s">
        <v>106</v>
      </c>
    </row>
    <row r="168" spans="1:4" x14ac:dyDescent="0.2">
      <c r="A168" s="11">
        <v>167</v>
      </c>
      <c r="B168" s="11" t="s">
        <v>97</v>
      </c>
      <c r="C168" s="11" t="s">
        <v>106</v>
      </c>
    </row>
    <row r="169" spans="1:4" x14ac:dyDescent="0.2">
      <c r="A169" s="11">
        <v>168</v>
      </c>
      <c r="B169" s="11" t="s">
        <v>99</v>
      </c>
      <c r="C169" s="11" t="s">
        <v>84</v>
      </c>
    </row>
    <row r="170" spans="1:4" x14ac:dyDescent="0.2">
      <c r="A170" s="11">
        <v>169</v>
      </c>
      <c r="B170" s="11" t="s">
        <v>99</v>
      </c>
      <c r="C170" s="11" t="s">
        <v>106</v>
      </c>
    </row>
    <row r="171" spans="1:4" x14ac:dyDescent="0.2">
      <c r="A171" s="11">
        <v>170</v>
      </c>
      <c r="B171" s="11" t="s">
        <v>97</v>
      </c>
      <c r="C171" s="11" t="s">
        <v>106</v>
      </c>
    </row>
    <row r="172" spans="1:4" ht="38.25" x14ac:dyDescent="0.2">
      <c r="A172" s="11">
        <v>171</v>
      </c>
      <c r="B172" s="11" t="s">
        <v>118</v>
      </c>
      <c r="C172" s="11" t="s">
        <v>82</v>
      </c>
      <c r="D172" s="11" t="s">
        <v>3843</v>
      </c>
    </row>
    <row r="173" spans="1:4" x14ac:dyDescent="0.2">
      <c r="A173" s="11">
        <v>172</v>
      </c>
      <c r="B173" s="11" t="s">
        <v>99</v>
      </c>
      <c r="C173" s="11" t="s">
        <v>84</v>
      </c>
    </row>
    <row r="174" spans="1:4" x14ac:dyDescent="0.2">
      <c r="A174" s="11">
        <v>173</v>
      </c>
      <c r="B174" s="11" t="s">
        <v>118</v>
      </c>
      <c r="C174" s="11" t="s">
        <v>84</v>
      </c>
    </row>
    <row r="175" spans="1:4" x14ac:dyDescent="0.2">
      <c r="A175" s="11">
        <v>174</v>
      </c>
      <c r="B175" s="11" t="s">
        <v>99</v>
      </c>
      <c r="C175" s="11" t="s">
        <v>82</v>
      </c>
    </row>
    <row r="176" spans="1:4" ht="63.75" x14ac:dyDescent="0.2">
      <c r="A176" s="11">
        <v>175</v>
      </c>
      <c r="B176" s="11" t="s">
        <v>99</v>
      </c>
      <c r="C176" s="11" t="s">
        <v>82</v>
      </c>
      <c r="D176" s="11" t="s">
        <v>2415</v>
      </c>
    </row>
    <row r="177" spans="1:3" x14ac:dyDescent="0.2">
      <c r="A177" s="11">
        <v>176</v>
      </c>
      <c r="B177" s="11" t="s">
        <v>97</v>
      </c>
      <c r="C177" s="11" t="s">
        <v>106</v>
      </c>
    </row>
    <row r="178" spans="1:3" x14ac:dyDescent="0.2">
      <c r="A178" s="11">
        <v>177</v>
      </c>
      <c r="B178" s="11" t="s">
        <v>97</v>
      </c>
      <c r="C178" s="11" t="s">
        <v>84</v>
      </c>
    </row>
    <row r="179" spans="1:3" x14ac:dyDescent="0.2">
      <c r="A179" s="11">
        <v>178</v>
      </c>
      <c r="B179" s="11" t="s">
        <v>99</v>
      </c>
      <c r="C179" s="11" t="s">
        <v>106</v>
      </c>
    </row>
    <row r="180" spans="1:3" x14ac:dyDescent="0.2">
      <c r="A180" s="11">
        <v>179</v>
      </c>
      <c r="B180" s="11" t="s">
        <v>99</v>
      </c>
      <c r="C180" s="11" t="s">
        <v>84</v>
      </c>
    </row>
    <row r="181" spans="1:3" x14ac:dyDescent="0.2">
      <c r="A181" s="11">
        <v>180</v>
      </c>
      <c r="B181" s="11" t="s">
        <v>97</v>
      </c>
      <c r="C181" s="11" t="s">
        <v>106</v>
      </c>
    </row>
    <row r="182" spans="1:3" x14ac:dyDescent="0.2">
      <c r="A182" s="11">
        <v>181</v>
      </c>
      <c r="B182" s="11" t="s">
        <v>99</v>
      </c>
      <c r="C182" s="11" t="s">
        <v>84</v>
      </c>
    </row>
    <row r="183" spans="1:3" x14ac:dyDescent="0.2">
      <c r="A183" s="11">
        <v>182</v>
      </c>
      <c r="B183" s="11" t="s">
        <v>118</v>
      </c>
      <c r="C183" s="11" t="s">
        <v>106</v>
      </c>
    </row>
    <row r="184" spans="1:3" x14ac:dyDescent="0.2">
      <c r="A184" s="11">
        <v>183</v>
      </c>
      <c r="B184" s="11" t="s">
        <v>99</v>
      </c>
      <c r="C184" s="11" t="s">
        <v>84</v>
      </c>
    </row>
    <row r="185" spans="1:3" x14ac:dyDescent="0.2">
      <c r="A185" s="11">
        <v>184</v>
      </c>
      <c r="B185" s="11" t="s">
        <v>118</v>
      </c>
      <c r="C185" s="11" t="s">
        <v>84</v>
      </c>
    </row>
    <row r="186" spans="1:3" x14ac:dyDescent="0.2">
      <c r="A186" s="11">
        <v>185</v>
      </c>
      <c r="B186" s="11" t="s">
        <v>99</v>
      </c>
      <c r="C186" s="11" t="s">
        <v>84</v>
      </c>
    </row>
    <row r="187" spans="1:3" x14ac:dyDescent="0.2">
      <c r="A187" s="11">
        <v>186</v>
      </c>
      <c r="B187" s="11" t="s">
        <v>99</v>
      </c>
      <c r="C187" s="11" t="s">
        <v>106</v>
      </c>
    </row>
    <row r="188" spans="1:3" x14ac:dyDescent="0.2">
      <c r="A188" s="11">
        <v>187</v>
      </c>
      <c r="B188" s="11" t="s">
        <v>118</v>
      </c>
      <c r="C188" s="11" t="s">
        <v>82</v>
      </c>
    </row>
    <row r="189" spans="1:3" x14ac:dyDescent="0.2">
      <c r="A189" s="11">
        <v>188</v>
      </c>
      <c r="B189" s="11" t="s">
        <v>99</v>
      </c>
      <c r="C189" s="11" t="s">
        <v>106</v>
      </c>
    </row>
    <row r="190" spans="1:3" x14ac:dyDescent="0.2">
      <c r="A190" s="11">
        <v>189</v>
      </c>
      <c r="B190" s="11" t="s">
        <v>99</v>
      </c>
      <c r="C190" s="11" t="s">
        <v>106</v>
      </c>
    </row>
    <row r="191" spans="1:3" x14ac:dyDescent="0.2">
      <c r="A191" s="11">
        <v>190</v>
      </c>
      <c r="B191" s="11" t="s">
        <v>99</v>
      </c>
      <c r="C191" s="11" t="s">
        <v>84</v>
      </c>
    </row>
    <row r="192" spans="1:3" x14ac:dyDescent="0.2">
      <c r="A192" s="11">
        <v>191</v>
      </c>
      <c r="B192" s="11" t="s">
        <v>97</v>
      </c>
      <c r="C192" s="11" t="s">
        <v>84</v>
      </c>
    </row>
    <row r="193" spans="1:4" x14ac:dyDescent="0.2">
      <c r="A193" s="11">
        <v>192</v>
      </c>
      <c r="B193" s="11" t="s">
        <v>99</v>
      </c>
      <c r="C193" s="11" t="s">
        <v>82</v>
      </c>
    </row>
    <row r="194" spans="1:4" x14ac:dyDescent="0.2">
      <c r="A194" s="11">
        <v>193</v>
      </c>
      <c r="B194" s="11" t="s">
        <v>99</v>
      </c>
      <c r="C194" s="11" t="s">
        <v>84</v>
      </c>
    </row>
    <row r="195" spans="1:4" x14ac:dyDescent="0.2">
      <c r="A195" s="11">
        <v>194</v>
      </c>
      <c r="B195" s="11" t="s">
        <v>99</v>
      </c>
      <c r="C195" s="11" t="s">
        <v>82</v>
      </c>
      <c r="D195" s="19" t="s">
        <v>1350</v>
      </c>
    </row>
    <row r="196" spans="1:4" ht="25.5" x14ac:dyDescent="0.2">
      <c r="A196" s="11">
        <v>195</v>
      </c>
      <c r="B196" s="11" t="s">
        <v>97</v>
      </c>
      <c r="C196" s="11" t="s">
        <v>82</v>
      </c>
      <c r="D196" s="11" t="s">
        <v>2498</v>
      </c>
    </row>
    <row r="197" spans="1:4" x14ac:dyDescent="0.2">
      <c r="A197" s="11">
        <v>196</v>
      </c>
      <c r="B197" s="11" t="s">
        <v>99</v>
      </c>
      <c r="C197" s="11" t="s">
        <v>84</v>
      </c>
    </row>
    <row r="198" spans="1:4" x14ac:dyDescent="0.2">
      <c r="A198" s="11">
        <v>197</v>
      </c>
      <c r="B198" s="33" t="s">
        <v>118</v>
      </c>
      <c r="C198" s="33" t="s">
        <v>84</v>
      </c>
      <c r="D198" s="33"/>
    </row>
    <row r="199" spans="1:4" x14ac:dyDescent="0.2">
      <c r="A199" s="11">
        <v>198</v>
      </c>
      <c r="B199" s="33"/>
      <c r="C199" s="33"/>
      <c r="D199" s="33"/>
    </row>
    <row r="200" spans="1:4" x14ac:dyDescent="0.2">
      <c r="A200" s="11">
        <v>199</v>
      </c>
      <c r="B200" s="11" t="s">
        <v>99</v>
      </c>
      <c r="C200" s="11" t="s">
        <v>84</v>
      </c>
    </row>
    <row r="201" spans="1:4" x14ac:dyDescent="0.2">
      <c r="A201" s="11">
        <v>200</v>
      </c>
      <c r="B201" s="11" t="s">
        <v>99</v>
      </c>
      <c r="C201" s="11" t="s">
        <v>84</v>
      </c>
    </row>
    <row r="202" spans="1:4" x14ac:dyDescent="0.2">
      <c r="A202" s="11">
        <v>201</v>
      </c>
      <c r="B202" s="11" t="s">
        <v>118</v>
      </c>
      <c r="C202" s="11" t="s">
        <v>84</v>
      </c>
    </row>
    <row r="203" spans="1:4" x14ac:dyDescent="0.2">
      <c r="A203" s="11">
        <v>202</v>
      </c>
      <c r="B203" s="11" t="s">
        <v>99</v>
      </c>
      <c r="C203" s="11" t="s">
        <v>84</v>
      </c>
    </row>
    <row r="204" spans="1:4" x14ac:dyDescent="0.2">
      <c r="A204" s="11">
        <v>203</v>
      </c>
      <c r="B204" s="11" t="s">
        <v>97</v>
      </c>
      <c r="C204" s="11" t="s">
        <v>106</v>
      </c>
    </row>
    <row r="205" spans="1:4" x14ac:dyDescent="0.2">
      <c r="A205" s="11">
        <v>204</v>
      </c>
      <c r="B205" s="11" t="s">
        <v>97</v>
      </c>
      <c r="C205" s="11" t="s">
        <v>84</v>
      </c>
    </row>
    <row r="206" spans="1:4" x14ac:dyDescent="0.2">
      <c r="A206" s="11">
        <v>205</v>
      </c>
      <c r="B206" s="11" t="s">
        <v>118</v>
      </c>
      <c r="C206" s="11" t="s">
        <v>84</v>
      </c>
    </row>
    <row r="207" spans="1:4" x14ac:dyDescent="0.2">
      <c r="A207" s="11">
        <v>206</v>
      </c>
      <c r="B207" s="33" t="s">
        <v>99</v>
      </c>
      <c r="C207" s="33" t="s">
        <v>84</v>
      </c>
      <c r="D207" s="33"/>
    </row>
    <row r="208" spans="1:4" x14ac:dyDescent="0.2">
      <c r="A208" s="11">
        <v>207</v>
      </c>
      <c r="B208" s="11" t="s">
        <v>99</v>
      </c>
      <c r="C208" s="11" t="s">
        <v>84</v>
      </c>
    </row>
    <row r="209" spans="1:4" x14ac:dyDescent="0.2">
      <c r="A209" s="11">
        <v>208</v>
      </c>
      <c r="B209" s="11" t="s">
        <v>99</v>
      </c>
      <c r="C209" s="11" t="s">
        <v>84</v>
      </c>
    </row>
    <row r="210" spans="1:4" x14ac:dyDescent="0.2">
      <c r="A210" s="11">
        <v>209</v>
      </c>
      <c r="B210" s="11" t="s">
        <v>99</v>
      </c>
      <c r="C210" s="11" t="s">
        <v>84</v>
      </c>
    </row>
    <row r="211" spans="1:4" ht="51" x14ac:dyDescent="0.2">
      <c r="A211" s="11">
        <v>210</v>
      </c>
      <c r="B211" s="11" t="s">
        <v>118</v>
      </c>
      <c r="C211" s="11" t="s">
        <v>82</v>
      </c>
      <c r="D211" s="7" t="s">
        <v>3844</v>
      </c>
    </row>
    <row r="212" spans="1:4" ht="51" x14ac:dyDescent="0.2">
      <c r="A212" s="11">
        <v>211</v>
      </c>
      <c r="B212" s="11" t="s">
        <v>97</v>
      </c>
      <c r="C212" s="11" t="s">
        <v>82</v>
      </c>
      <c r="D212" s="7" t="s">
        <v>3845</v>
      </c>
    </row>
    <row r="213" spans="1:4" ht="25.5" x14ac:dyDescent="0.2">
      <c r="A213" s="11">
        <v>212</v>
      </c>
      <c r="B213" s="11" t="s">
        <v>97</v>
      </c>
      <c r="C213" s="11" t="s">
        <v>82</v>
      </c>
      <c r="D213" s="11" t="s">
        <v>2623</v>
      </c>
    </row>
    <row r="214" spans="1:4" x14ac:dyDescent="0.2">
      <c r="A214" s="11">
        <v>213</v>
      </c>
      <c r="B214" s="11" t="s">
        <v>118</v>
      </c>
      <c r="C214" s="11" t="s">
        <v>84</v>
      </c>
    </row>
    <row r="215" spans="1:4" x14ac:dyDescent="0.2">
      <c r="A215" s="11">
        <v>214</v>
      </c>
      <c r="B215" s="11" t="s">
        <v>97</v>
      </c>
      <c r="C215" s="11" t="s">
        <v>106</v>
      </c>
    </row>
    <row r="216" spans="1:4" x14ac:dyDescent="0.2">
      <c r="A216" s="11">
        <v>215</v>
      </c>
      <c r="B216" s="33"/>
      <c r="C216" s="33"/>
      <c r="D216" s="33"/>
    </row>
    <row r="217" spans="1:4" x14ac:dyDescent="0.2">
      <c r="A217" s="11">
        <v>216</v>
      </c>
      <c r="B217" s="11" t="s">
        <v>99</v>
      </c>
      <c r="C217" s="11" t="s">
        <v>84</v>
      </c>
    </row>
    <row r="218" spans="1:4" x14ac:dyDescent="0.2">
      <c r="A218" s="11">
        <v>217</v>
      </c>
      <c r="B218" s="11" t="s">
        <v>118</v>
      </c>
      <c r="C218" s="11" t="s">
        <v>106</v>
      </c>
    </row>
    <row r="219" spans="1:4" ht="25.5" x14ac:dyDescent="0.2">
      <c r="A219" s="11">
        <v>218</v>
      </c>
      <c r="B219" s="11" t="s">
        <v>99</v>
      </c>
      <c r="C219" s="11" t="s">
        <v>82</v>
      </c>
      <c r="D219" s="11" t="s">
        <v>2660</v>
      </c>
    </row>
    <row r="220" spans="1:4" x14ac:dyDescent="0.2">
      <c r="A220" s="11">
        <v>219</v>
      </c>
      <c r="B220" s="11" t="s">
        <v>99</v>
      </c>
      <c r="C220" s="11" t="s">
        <v>106</v>
      </c>
    </row>
    <row r="221" spans="1:4" x14ac:dyDescent="0.2">
      <c r="A221" s="11">
        <v>220</v>
      </c>
      <c r="B221" s="11" t="s">
        <v>99</v>
      </c>
      <c r="C221" s="11" t="s">
        <v>84</v>
      </c>
    </row>
    <row r="222" spans="1:4" x14ac:dyDescent="0.2">
      <c r="A222" s="11">
        <v>221</v>
      </c>
      <c r="B222" s="11" t="s">
        <v>97</v>
      </c>
      <c r="C222" s="11" t="s">
        <v>84</v>
      </c>
    </row>
    <row r="223" spans="1:4" x14ac:dyDescent="0.2">
      <c r="A223" s="11">
        <v>222</v>
      </c>
      <c r="B223" s="11" t="s">
        <v>99</v>
      </c>
      <c r="C223" s="11" t="s">
        <v>82</v>
      </c>
      <c r="D223" s="11" t="s">
        <v>2687</v>
      </c>
    </row>
    <row r="224" spans="1:4" x14ac:dyDescent="0.2">
      <c r="A224" s="11">
        <v>223</v>
      </c>
      <c r="B224" s="33"/>
      <c r="C224" s="33"/>
      <c r="D224" s="33"/>
    </row>
    <row r="225" spans="1:3" x14ac:dyDescent="0.2">
      <c r="A225" s="11">
        <v>224</v>
      </c>
      <c r="B225" s="11" t="s">
        <v>97</v>
      </c>
      <c r="C225" s="11" t="s">
        <v>106</v>
      </c>
    </row>
    <row r="226" spans="1:3" x14ac:dyDescent="0.2">
      <c r="A226" s="11">
        <v>225</v>
      </c>
      <c r="B226" s="11" t="s">
        <v>99</v>
      </c>
      <c r="C226" s="11" t="s">
        <v>84</v>
      </c>
    </row>
    <row r="227" spans="1:3" x14ac:dyDescent="0.2">
      <c r="A227" s="11">
        <v>226</v>
      </c>
      <c r="B227" s="11" t="s">
        <v>99</v>
      </c>
      <c r="C227" s="11" t="s">
        <v>84</v>
      </c>
    </row>
    <row r="228" spans="1:3" x14ac:dyDescent="0.2">
      <c r="A228" s="11">
        <v>227</v>
      </c>
      <c r="B228" s="11" t="s">
        <v>118</v>
      </c>
      <c r="C228" s="11" t="s">
        <v>106</v>
      </c>
    </row>
    <row r="229" spans="1:3" x14ac:dyDescent="0.2">
      <c r="A229" s="11">
        <v>228</v>
      </c>
      <c r="B229" s="11" t="s">
        <v>118</v>
      </c>
      <c r="C229" s="11" t="s">
        <v>84</v>
      </c>
    </row>
    <row r="230" spans="1:3" x14ac:dyDescent="0.2">
      <c r="A230" s="11">
        <v>229</v>
      </c>
      <c r="B230" s="11" t="s">
        <v>97</v>
      </c>
      <c r="C230" s="11" t="s">
        <v>106</v>
      </c>
    </row>
    <row r="231" spans="1:3" x14ac:dyDescent="0.2">
      <c r="A231" s="11">
        <v>230</v>
      </c>
      <c r="B231" s="11" t="s">
        <v>99</v>
      </c>
      <c r="C231" s="11" t="s">
        <v>84</v>
      </c>
    </row>
    <row r="232" spans="1:3" x14ac:dyDescent="0.2">
      <c r="A232" s="11">
        <v>231</v>
      </c>
      <c r="B232" s="11" t="s">
        <v>118</v>
      </c>
      <c r="C232" s="11" t="s">
        <v>84</v>
      </c>
    </row>
    <row r="233" spans="1:3" x14ac:dyDescent="0.2">
      <c r="A233" s="11">
        <v>232</v>
      </c>
      <c r="B233" s="11" t="s">
        <v>99</v>
      </c>
      <c r="C233" s="11" t="s">
        <v>84</v>
      </c>
    </row>
    <row r="234" spans="1:3" x14ac:dyDescent="0.2">
      <c r="A234" s="11">
        <v>233</v>
      </c>
      <c r="B234" s="11" t="s">
        <v>118</v>
      </c>
      <c r="C234" s="11" t="s">
        <v>84</v>
      </c>
    </row>
    <row r="235" spans="1:3" x14ac:dyDescent="0.2">
      <c r="A235" s="11">
        <v>234</v>
      </c>
      <c r="B235" s="11" t="s">
        <v>118</v>
      </c>
      <c r="C235" s="11" t="s">
        <v>84</v>
      </c>
    </row>
    <row r="236" spans="1:3" x14ac:dyDescent="0.2">
      <c r="A236" s="11">
        <v>235</v>
      </c>
      <c r="B236" s="11" t="s">
        <v>99</v>
      </c>
      <c r="C236" s="11" t="s">
        <v>84</v>
      </c>
    </row>
    <row r="237" spans="1:3" x14ac:dyDescent="0.2">
      <c r="A237" s="11">
        <v>236</v>
      </c>
      <c r="B237" s="11" t="s">
        <v>99</v>
      </c>
      <c r="C237" s="11" t="s">
        <v>84</v>
      </c>
    </row>
    <row r="238" spans="1:3" x14ac:dyDescent="0.2">
      <c r="A238" s="11">
        <v>237</v>
      </c>
      <c r="B238" s="11" t="s">
        <v>118</v>
      </c>
      <c r="C238" s="11" t="s">
        <v>106</v>
      </c>
    </row>
    <row r="239" spans="1:3" x14ac:dyDescent="0.2">
      <c r="A239" s="11">
        <v>238</v>
      </c>
      <c r="B239" s="11" t="s">
        <v>97</v>
      </c>
      <c r="C239" s="11" t="s">
        <v>84</v>
      </c>
    </row>
    <row r="240" spans="1:3" x14ac:dyDescent="0.2">
      <c r="A240" s="11">
        <v>239</v>
      </c>
      <c r="B240" s="11" t="s">
        <v>118</v>
      </c>
      <c r="C240" s="11" t="s">
        <v>106</v>
      </c>
    </row>
    <row r="241" spans="1:4" x14ac:dyDescent="0.2">
      <c r="A241" s="11">
        <v>240</v>
      </c>
      <c r="B241" s="33"/>
      <c r="C241" s="33"/>
      <c r="D241" s="33"/>
    </row>
    <row r="242" spans="1:4" x14ac:dyDescent="0.2">
      <c r="A242" s="11">
        <v>241</v>
      </c>
      <c r="B242" s="11" t="s">
        <v>118</v>
      </c>
      <c r="C242" s="11" t="s">
        <v>84</v>
      </c>
    </row>
    <row r="243" spans="1:4" x14ac:dyDescent="0.2">
      <c r="A243" s="11">
        <v>242</v>
      </c>
      <c r="B243" s="11" t="s">
        <v>99</v>
      </c>
      <c r="C243" s="11" t="s">
        <v>84</v>
      </c>
    </row>
    <row r="244" spans="1:4" x14ac:dyDescent="0.2">
      <c r="A244" s="11">
        <v>243</v>
      </c>
      <c r="B244" s="11" t="s">
        <v>118</v>
      </c>
      <c r="C244" s="11" t="s">
        <v>84</v>
      </c>
    </row>
    <row r="245" spans="1:4" x14ac:dyDescent="0.2">
      <c r="A245" s="11">
        <v>244</v>
      </c>
      <c r="B245" s="11" t="s">
        <v>99</v>
      </c>
      <c r="C245" s="11" t="s">
        <v>84</v>
      </c>
    </row>
    <row r="246" spans="1:4" ht="38.25" x14ac:dyDescent="0.2">
      <c r="A246" s="11">
        <v>245</v>
      </c>
      <c r="B246" s="11" t="s">
        <v>118</v>
      </c>
      <c r="C246" s="11" t="s">
        <v>82</v>
      </c>
      <c r="D246" s="11" t="s">
        <v>2915</v>
      </c>
    </row>
    <row r="247" spans="1:4" x14ac:dyDescent="0.2">
      <c r="A247" s="11">
        <v>246</v>
      </c>
      <c r="B247" s="11" t="s">
        <v>118</v>
      </c>
      <c r="C247" s="11" t="s">
        <v>84</v>
      </c>
    </row>
    <row r="248" spans="1:4" ht="63.75" x14ac:dyDescent="0.2">
      <c r="A248" s="11">
        <v>247</v>
      </c>
      <c r="B248" s="11" t="s">
        <v>118</v>
      </c>
      <c r="C248" s="11" t="s">
        <v>82</v>
      </c>
      <c r="D248" s="64" t="s">
        <v>2934</v>
      </c>
    </row>
    <row r="249" spans="1:4" x14ac:dyDescent="0.2">
      <c r="A249" s="11">
        <v>248</v>
      </c>
      <c r="B249" s="11" t="s">
        <v>99</v>
      </c>
      <c r="C249" s="11" t="s">
        <v>84</v>
      </c>
    </row>
    <row r="250" spans="1:4" x14ac:dyDescent="0.2">
      <c r="A250" s="11">
        <v>249</v>
      </c>
      <c r="B250" s="11" t="s">
        <v>97</v>
      </c>
      <c r="C250" s="11" t="s">
        <v>82</v>
      </c>
    </row>
    <row r="251" spans="1:4" x14ac:dyDescent="0.2">
      <c r="A251" s="11">
        <v>250</v>
      </c>
      <c r="B251" s="11" t="s">
        <v>99</v>
      </c>
      <c r="C251" s="11" t="s">
        <v>82</v>
      </c>
    </row>
    <row r="252" spans="1:4" x14ac:dyDescent="0.2">
      <c r="A252" s="11">
        <v>251</v>
      </c>
      <c r="B252" s="11" t="s">
        <v>97</v>
      </c>
      <c r="C252" s="11" t="s">
        <v>106</v>
      </c>
    </row>
    <row r="253" spans="1:4" x14ac:dyDescent="0.2">
      <c r="A253" s="11">
        <v>252</v>
      </c>
      <c r="B253" s="11" t="s">
        <v>97</v>
      </c>
      <c r="C253" s="11" t="s">
        <v>106</v>
      </c>
    </row>
    <row r="254" spans="1:4" x14ac:dyDescent="0.2">
      <c r="A254" s="11">
        <v>253</v>
      </c>
      <c r="B254" s="11" t="s">
        <v>118</v>
      </c>
      <c r="C254" s="11" t="s">
        <v>106</v>
      </c>
    </row>
    <row r="255" spans="1:4" x14ac:dyDescent="0.2">
      <c r="A255" s="11">
        <v>254</v>
      </c>
      <c r="B255" s="11" t="s">
        <v>99</v>
      </c>
      <c r="C255" s="11" t="s">
        <v>84</v>
      </c>
    </row>
    <row r="256" spans="1:4" x14ac:dyDescent="0.2">
      <c r="A256" s="11">
        <v>255</v>
      </c>
      <c r="B256" s="33"/>
      <c r="C256" s="33"/>
      <c r="D256" s="33"/>
    </row>
    <row r="257" spans="1:4" x14ac:dyDescent="0.2">
      <c r="A257" s="11">
        <v>256</v>
      </c>
      <c r="B257" s="33"/>
      <c r="C257" s="33"/>
      <c r="D257" s="33"/>
    </row>
    <row r="258" spans="1:4" x14ac:dyDescent="0.2">
      <c r="A258" s="11">
        <v>257</v>
      </c>
      <c r="B258" s="11" t="s">
        <v>118</v>
      </c>
      <c r="C258" s="11" t="s">
        <v>106</v>
      </c>
    </row>
    <row r="259" spans="1:4" x14ac:dyDescent="0.2">
      <c r="A259" s="11">
        <v>258</v>
      </c>
      <c r="B259" s="11" t="s">
        <v>97</v>
      </c>
      <c r="C259" s="11" t="s">
        <v>106</v>
      </c>
    </row>
    <row r="260" spans="1:4" x14ac:dyDescent="0.2">
      <c r="A260" s="11">
        <v>259</v>
      </c>
      <c r="B260" s="11" t="s">
        <v>99</v>
      </c>
      <c r="C260" s="11" t="s">
        <v>84</v>
      </c>
    </row>
    <row r="261" spans="1:4" ht="38.25" x14ac:dyDescent="0.2">
      <c r="A261" s="11">
        <v>260</v>
      </c>
      <c r="B261" s="11" t="s">
        <v>99</v>
      </c>
      <c r="C261" s="11" t="s">
        <v>82</v>
      </c>
      <c r="D261" s="11" t="s">
        <v>3072</v>
      </c>
    </row>
    <row r="262" spans="1:4" ht="38.25" x14ac:dyDescent="0.2">
      <c r="A262" s="11">
        <v>261</v>
      </c>
      <c r="B262" s="11" t="s">
        <v>99</v>
      </c>
      <c r="C262" s="11" t="s">
        <v>82</v>
      </c>
      <c r="D262" s="11" t="s">
        <v>3085</v>
      </c>
    </row>
    <row r="263" spans="1:4" ht="38.25" x14ac:dyDescent="0.2">
      <c r="A263" s="11">
        <v>262</v>
      </c>
      <c r="B263" s="11" t="s">
        <v>97</v>
      </c>
      <c r="C263" s="11" t="s">
        <v>82</v>
      </c>
      <c r="D263" s="11" t="s">
        <v>3098</v>
      </c>
    </row>
    <row r="264" spans="1:4" x14ac:dyDescent="0.2">
      <c r="A264" s="11">
        <v>263</v>
      </c>
      <c r="B264" s="11" t="s">
        <v>97</v>
      </c>
      <c r="C264" s="11" t="s">
        <v>106</v>
      </c>
    </row>
    <row r="265" spans="1:4" x14ac:dyDescent="0.2">
      <c r="A265" s="11">
        <v>264</v>
      </c>
      <c r="B265" s="11" t="s">
        <v>118</v>
      </c>
      <c r="C265" s="11" t="s">
        <v>84</v>
      </c>
    </row>
    <row r="266" spans="1:4" x14ac:dyDescent="0.2">
      <c r="A266" s="11">
        <v>265</v>
      </c>
      <c r="B266" s="11" t="s">
        <v>118</v>
      </c>
      <c r="C266" s="11" t="s">
        <v>84</v>
      </c>
    </row>
    <row r="267" spans="1:4" x14ac:dyDescent="0.2">
      <c r="A267" s="11">
        <v>266</v>
      </c>
      <c r="B267" s="11" t="s">
        <v>97</v>
      </c>
      <c r="C267" s="11" t="s">
        <v>106</v>
      </c>
    </row>
    <row r="268" spans="1:4" x14ac:dyDescent="0.2">
      <c r="A268" s="11">
        <v>267</v>
      </c>
      <c r="B268" s="11" t="s">
        <v>118</v>
      </c>
      <c r="C268" s="11" t="s">
        <v>82</v>
      </c>
      <c r="D268" s="11" t="s">
        <v>3128</v>
      </c>
    </row>
    <row r="269" spans="1:4" x14ac:dyDescent="0.2">
      <c r="A269" s="11">
        <v>268</v>
      </c>
      <c r="B269" s="11" t="s">
        <v>99</v>
      </c>
      <c r="C269" s="11" t="s">
        <v>84</v>
      </c>
    </row>
    <row r="270" spans="1:4" x14ac:dyDescent="0.2">
      <c r="A270" s="11">
        <v>269</v>
      </c>
      <c r="B270" s="11" t="s">
        <v>99</v>
      </c>
      <c r="C270" s="11" t="s">
        <v>84</v>
      </c>
    </row>
    <row r="271" spans="1:4" x14ac:dyDescent="0.2">
      <c r="A271" s="11">
        <v>270</v>
      </c>
      <c r="B271" s="11" t="s">
        <v>118</v>
      </c>
      <c r="C271" s="11" t="s">
        <v>84</v>
      </c>
    </row>
    <row r="272" spans="1:4" x14ac:dyDescent="0.2">
      <c r="A272" s="11">
        <v>271</v>
      </c>
      <c r="B272" s="11" t="s">
        <v>99</v>
      </c>
      <c r="C272" s="11" t="s">
        <v>106</v>
      </c>
    </row>
    <row r="273" spans="1:4" x14ac:dyDescent="0.2">
      <c r="A273" s="11">
        <v>272</v>
      </c>
      <c r="B273" s="11" t="s">
        <v>99</v>
      </c>
      <c r="C273" s="11" t="s">
        <v>82</v>
      </c>
    </row>
    <row r="274" spans="1:4" x14ac:dyDescent="0.2">
      <c r="A274" s="11">
        <v>273</v>
      </c>
      <c r="B274" s="9" t="s">
        <v>99</v>
      </c>
      <c r="C274" s="9" t="s">
        <v>84</v>
      </c>
      <c r="D274" s="9"/>
    </row>
    <row r="275" spans="1:4" x14ac:dyDescent="0.2">
      <c r="A275" s="11">
        <v>274</v>
      </c>
      <c r="B275" s="9" t="s">
        <v>99</v>
      </c>
      <c r="C275" s="9" t="s">
        <v>84</v>
      </c>
      <c r="D275" s="9"/>
    </row>
    <row r="276" spans="1:4" x14ac:dyDescent="0.2">
      <c r="A276" s="11">
        <v>275</v>
      </c>
      <c r="B276" s="9" t="s">
        <v>118</v>
      </c>
      <c r="C276" s="9" t="s">
        <v>106</v>
      </c>
      <c r="D276" s="9"/>
    </row>
    <row r="277" spans="1:4" x14ac:dyDescent="0.2">
      <c r="A277" s="11">
        <v>276</v>
      </c>
      <c r="B277" s="9" t="s">
        <v>97</v>
      </c>
      <c r="C277" s="9" t="s">
        <v>84</v>
      </c>
      <c r="D277" s="9"/>
    </row>
  </sheetData>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3E4D6-FE01-48DF-8370-7E55DFF4B049}">
  <dimension ref="A1:AY277"/>
  <sheetViews>
    <sheetView topLeftCell="E1" zoomScale="70" zoomScaleNormal="70" workbookViewId="0">
      <pane ySplit="1" topLeftCell="A2" activePane="bottomLeft" state="frozen"/>
      <selection activeCell="F1" sqref="F1"/>
      <selection pane="bottomLeft" activeCell="G1" sqref="G1"/>
    </sheetView>
  </sheetViews>
  <sheetFormatPr defaultColWidth="9.140625" defaultRowHeight="12.75" x14ac:dyDescent="0.2"/>
  <cols>
    <col min="1" max="1" width="9.140625" style="11"/>
    <col min="2" max="2" width="22" style="11" customWidth="1"/>
    <col min="3" max="3" width="19.28515625" style="11" customWidth="1"/>
    <col min="4" max="4" width="32.140625" style="11" customWidth="1"/>
    <col min="5" max="5" width="72.42578125" style="11" customWidth="1"/>
    <col min="6" max="7" width="9.140625" style="11"/>
    <col min="8" max="8" width="26.28515625" style="11" customWidth="1"/>
    <col min="9" max="22" width="9.140625" style="11"/>
    <col min="23" max="23" width="20.7109375" style="11" customWidth="1"/>
    <col min="24" max="24" width="14" style="11" customWidth="1"/>
    <col min="25" max="37" width="9.140625" style="11"/>
    <col min="38" max="38" width="29.85546875" style="11" customWidth="1"/>
    <col min="39" max="16384" width="9.140625" style="11"/>
  </cols>
  <sheetData>
    <row r="1" spans="1:51" s="2" customFormat="1" ht="63.75" x14ac:dyDescent="0.2">
      <c r="B1" s="2" t="s">
        <v>690</v>
      </c>
      <c r="C1" s="2" t="s">
        <v>691</v>
      </c>
      <c r="D1" s="2" t="s">
        <v>692</v>
      </c>
      <c r="E1" s="22" t="s">
        <v>692</v>
      </c>
      <c r="H1" s="8" t="s">
        <v>690</v>
      </c>
      <c r="I1" s="8" t="s">
        <v>3570</v>
      </c>
      <c r="J1" s="8" t="s">
        <v>4002</v>
      </c>
      <c r="K1" s="8" t="s">
        <v>4014</v>
      </c>
      <c r="L1" s="8" t="s">
        <v>4003</v>
      </c>
      <c r="M1" s="8"/>
      <c r="N1" s="8" t="s">
        <v>105</v>
      </c>
      <c r="O1" s="8" t="s">
        <v>324</v>
      </c>
      <c r="P1" s="8" t="s">
        <v>309</v>
      </c>
      <c r="Q1" s="8" t="s">
        <v>443</v>
      </c>
      <c r="R1" s="8" t="s">
        <v>107</v>
      </c>
      <c r="S1" s="8" t="s">
        <v>3959</v>
      </c>
      <c r="T1" s="8" t="s">
        <v>377</v>
      </c>
      <c r="U1" s="8" t="s">
        <v>161</v>
      </c>
      <c r="V1" s="8"/>
      <c r="W1" s="8" t="s">
        <v>691</v>
      </c>
      <c r="X1" s="8" t="s">
        <v>3570</v>
      </c>
      <c r="Y1" s="8" t="s">
        <v>4002</v>
      </c>
      <c r="Z1" s="8" t="s">
        <v>4014</v>
      </c>
      <c r="AA1" s="8" t="s">
        <v>4003</v>
      </c>
      <c r="AB1" s="8"/>
      <c r="AC1" s="8" t="s">
        <v>105</v>
      </c>
      <c r="AD1" s="8" t="s">
        <v>324</v>
      </c>
      <c r="AE1" s="8" t="s">
        <v>309</v>
      </c>
      <c r="AF1" s="8" t="s">
        <v>443</v>
      </c>
      <c r="AG1" s="8" t="s">
        <v>107</v>
      </c>
      <c r="AH1" s="8" t="s">
        <v>3959</v>
      </c>
      <c r="AI1" s="8" t="s">
        <v>377</v>
      </c>
      <c r="AJ1" s="8" t="s">
        <v>161</v>
      </c>
      <c r="AK1" s="8"/>
      <c r="AL1" s="8" t="s">
        <v>1027</v>
      </c>
      <c r="AM1" s="8" t="s">
        <v>3570</v>
      </c>
      <c r="AN1" s="8" t="s">
        <v>4002</v>
      </c>
      <c r="AO1" s="8" t="s">
        <v>4014</v>
      </c>
      <c r="AP1" s="8" t="s">
        <v>4003</v>
      </c>
      <c r="AQ1" s="8"/>
      <c r="AR1" s="8" t="s">
        <v>105</v>
      </c>
      <c r="AS1" s="8" t="s">
        <v>324</v>
      </c>
      <c r="AT1" s="8" t="s">
        <v>309</v>
      </c>
      <c r="AU1" s="8" t="s">
        <v>443</v>
      </c>
      <c r="AV1" s="8" t="s">
        <v>107</v>
      </c>
      <c r="AW1" s="8" t="s">
        <v>3959</v>
      </c>
      <c r="AX1" s="8" t="s">
        <v>377</v>
      </c>
      <c r="AY1" s="8" t="s">
        <v>161</v>
      </c>
    </row>
    <row r="2" spans="1:51" x14ac:dyDescent="0.2">
      <c r="A2" s="11">
        <v>1</v>
      </c>
      <c r="B2" s="11" t="s">
        <v>84</v>
      </c>
      <c r="C2" s="11" t="s">
        <v>100</v>
      </c>
      <c r="D2" s="39" t="s">
        <v>81</v>
      </c>
      <c r="E2" s="11" t="s">
        <v>4109</v>
      </c>
      <c r="H2" s="11" t="s">
        <v>84</v>
      </c>
      <c r="I2" s="11">
        <f>COUNTIF($B$2:$B$496,"Yes")</f>
        <v>242</v>
      </c>
      <c r="J2" s="11">
        <f>COUNTIFS($B$2:$B$496,"Yes",'1'!$F$2:$F$496,"*staff*")</f>
        <v>66</v>
      </c>
      <c r="K2" s="11">
        <f>COUNTIFS($B$2:$B$496,"Yes",'1'!$F$2:$F$496,"*both*")</f>
        <v>155</v>
      </c>
      <c r="L2" s="11">
        <f>COUNTIFS($B$2:$B$496,"Yes",'1'!$F$2:$F$496,"*users work*")</f>
        <v>21</v>
      </c>
      <c r="N2" s="11">
        <f>COUNTIFS($B$2:$B$496,"Yes",'1'!$B$2:$B$496,"*flow cytometry*")</f>
        <v>39</v>
      </c>
      <c r="O2" s="11">
        <f>COUNTIFS($B$2:$B$496,"Yes",'1'!$B$2:$B$496,"*genomics*")</f>
        <v>27</v>
      </c>
      <c r="P2" s="11">
        <f>COUNTIFS($B$2:$B$496,"Yes",'1'!$B$2:$B$496,"*histology*")</f>
        <v>10</v>
      </c>
      <c r="Q2" s="11">
        <f>COUNTIFS($B$2:$B$496,"Yes",'1'!$B$2:$B$496,"*metabolomics*")</f>
        <v>7</v>
      </c>
      <c r="R2" s="11">
        <f>COUNTIFS($B$2:$B$496,"Yes",'1'!$B$2:$B$496,"*microscopy*")</f>
        <v>58</v>
      </c>
      <c r="S2" s="11">
        <f>COUNTIFS($B$2:$B$496,"Yes",'1'!$B$2:$B$496,"*mouse*")</f>
        <v>13</v>
      </c>
      <c r="T2" s="11">
        <f>COUNTIFS($B$2:$B$496,"Yes",'1'!$B$2:$B$496,"*protein expression*")</f>
        <v>8</v>
      </c>
      <c r="U2" s="11">
        <f>COUNTIFS($B$2:$B$496,"Yes",'1'!$B$2:$B$496,"*proteomics*")</f>
        <v>35</v>
      </c>
      <c r="W2" s="11" t="s">
        <v>340</v>
      </c>
      <c r="X2" s="11">
        <f>COUNTIF($C$2:$C$496,"never")</f>
        <v>3</v>
      </c>
      <c r="Y2" s="11">
        <f>COUNTIFS($C$2:$C$496,"never",'1'!$F$2:$F$496,"*staff*")</f>
        <v>0</v>
      </c>
      <c r="Z2" s="11">
        <f>COUNTIFS($C$2:$C$496,"never",'1'!$F$2:$F$496,"*both*")</f>
        <v>2</v>
      </c>
      <c r="AA2" s="11">
        <f>COUNTIFS($C$2:$C$496,"never",'1'!$F$2:$F$496,"*users work*")</f>
        <v>1</v>
      </c>
      <c r="AC2" s="11">
        <f>COUNTIFS($C$2:$C$496,"never",'1'!$B$2:$B$496,"*flow cytometry*")</f>
        <v>3</v>
      </c>
      <c r="AD2" s="11">
        <f>COUNTIFS($C$2:$C$496,"never",'1'!$B$2:$B$496,"*genomics*")</f>
        <v>0</v>
      </c>
      <c r="AE2" s="11">
        <f>COUNTIFS($C$2:$C$496,"never",'1'!$B$2:$B$496,"*histology*")</f>
        <v>0</v>
      </c>
      <c r="AF2" s="11">
        <f>COUNTIFS($C$2:$C$496,"never",'1'!$B$2:$B$496,"*metabolomics*")</f>
        <v>0</v>
      </c>
      <c r="AG2" s="11">
        <f>COUNTIFS($C$2:$C$496,"never",'1'!$B$2:$B$496,"*microscopy*")</f>
        <v>0</v>
      </c>
      <c r="AH2" s="11">
        <f>COUNTIFS($C$2:$C$496,"never",'1'!$B$2:$B$496,"*mouse*")</f>
        <v>0</v>
      </c>
      <c r="AI2" s="11">
        <f>COUNTIFS($C$2:$C$496,"never",'1'!$B$2:$B$496,"*protein expression*")</f>
        <v>0</v>
      </c>
      <c r="AJ2" s="11">
        <f>COUNTIFS($C$2:$C$496,"never",'1'!$B$2:$B$496,"*proteomics*")</f>
        <v>0</v>
      </c>
      <c r="AL2" s="11" t="s">
        <v>84</v>
      </c>
      <c r="AM2" s="11">
        <f>COUNTIF($D$2:$D$496,"Yes")</f>
        <v>223</v>
      </c>
      <c r="AN2" s="11">
        <f>COUNTIFS($D$2:$D$496,"Yes",'1'!$F$2:$F$496,"*staff*")</f>
        <v>56</v>
      </c>
      <c r="AO2" s="11">
        <f>COUNTIFS($D$2:$D$496,"Yes",'1'!$F$2:$F$496,"*both*")</f>
        <v>146</v>
      </c>
      <c r="AP2" s="11">
        <f>COUNTIFS($D$2:$D$496,"Yes",'1'!$F$2:$F$496,"*users work*")</f>
        <v>21</v>
      </c>
      <c r="AR2" s="11">
        <f>COUNTIFS($D$2:$D$496,"Yes",'1'!$B$2:$B$496,"*flow cytometry*")</f>
        <v>41</v>
      </c>
      <c r="AS2" s="11">
        <f>COUNTIFS($D$2:$D$496,"Yes",'1'!$B$2:$B$496,"*genomics*")</f>
        <v>24</v>
      </c>
      <c r="AT2" s="11">
        <f>COUNTIFS($D$2:$D$496,"Yes",'1'!$B$2:$B$496,"*histology*")</f>
        <v>8</v>
      </c>
      <c r="AU2" s="11">
        <f>COUNTIFS($D$2:$D$496,"Yes",'1'!$B$2:$B$496,"*metabolomics*")</f>
        <v>7</v>
      </c>
      <c r="AV2" s="11">
        <f>COUNTIFS($D$2:$D$496,"Yes",'1'!$B$2:$B$496,"*microscopy*")</f>
        <v>55</v>
      </c>
      <c r="AW2" s="11">
        <f>COUNTIFS($D$2:$D$496,"Yes",'1'!$B$2:$B$496,"*mouse*")</f>
        <v>12</v>
      </c>
      <c r="AX2" s="11">
        <f>COUNTIFS($D$2:$D$496,"Yes",'1'!$B$2:$B$496,"*protein expression*")</f>
        <v>7</v>
      </c>
      <c r="AY2" s="11">
        <f>COUNTIFS($D$2:$D$496,"Yes",'1'!$B$2:$B$496,"*proteomics*")</f>
        <v>29</v>
      </c>
    </row>
    <row r="3" spans="1:51" x14ac:dyDescent="0.2">
      <c r="A3" s="11">
        <v>2</v>
      </c>
      <c r="B3" s="11" t="s">
        <v>84</v>
      </c>
      <c r="C3" s="11" t="s">
        <v>113</v>
      </c>
      <c r="D3" s="39"/>
      <c r="H3" s="11" t="s">
        <v>82</v>
      </c>
      <c r="I3" s="11">
        <f>COUNTIF($B$2:$B$496,"No")</f>
        <v>18</v>
      </c>
      <c r="J3" s="11">
        <f>COUNTIFS($B$2:$B$496,"No",'1'!$F$2:$F$496,"*staff*")</f>
        <v>2</v>
      </c>
      <c r="K3" s="11">
        <f>COUNTIFS($B$2:$B$496,"No",'1'!$F$2:$F$496,"*both*")</f>
        <v>10</v>
      </c>
      <c r="L3" s="11">
        <f>COUNTIFS($B$2:$B$496,"No",'1'!$F$2:$F$496,"*users work*")</f>
        <v>6</v>
      </c>
      <c r="N3" s="11">
        <f>COUNTIFS($B$2:$B$496,"No",'1'!$B$2:$B$496,"*flow cytometry*")</f>
        <v>7</v>
      </c>
      <c r="O3" s="11">
        <f>COUNTIFS($B$2:$B$496,"No",'1'!$B$2:$B$496,"*genomics*")</f>
        <v>3</v>
      </c>
      <c r="P3" s="11">
        <f>COUNTIFS($B$2:$B$496,"No",'1'!$B$2:$B$496,"*histology*")</f>
        <v>1</v>
      </c>
      <c r="Q3" s="11">
        <f>COUNTIFS($B$2:$B$496,"No",'1'!$B$2:$B$496,"*metabolomics*")</f>
        <v>0</v>
      </c>
      <c r="R3" s="11">
        <f>COUNTIFS($B$2:$B$496,"No",'1'!$B$2:$B$496,"*microscopy*")</f>
        <v>2</v>
      </c>
      <c r="S3" s="11">
        <f>COUNTIFS($B$2:$B$496,"No",'1'!$B$2:$B$496,"*mouse*")</f>
        <v>0</v>
      </c>
      <c r="T3" s="11">
        <f>COUNTIFS($B$2:$B$496,"No",'1'!$B$2:$B$496,"*protein expression*")</f>
        <v>0</v>
      </c>
      <c r="U3" s="11">
        <f>COUNTIFS($B$2:$B$496,"No",'1'!$B$2:$B$496,"*proteomics*")</f>
        <v>0</v>
      </c>
      <c r="W3" s="11" t="s">
        <v>112</v>
      </c>
      <c r="X3" s="11">
        <f>COUNTIF($C$2:$C$496,"rarely")</f>
        <v>27</v>
      </c>
      <c r="Y3" s="11">
        <f>COUNTIFS($C$2:$C$496,"rarely",'1'!$F$2:$F$496,"*staff*")</f>
        <v>2</v>
      </c>
      <c r="Z3" s="11">
        <f>COUNTIFS($C$2:$C$496,"rarely",'1'!$F$2:$F$496,"*both*")</f>
        <v>19</v>
      </c>
      <c r="AA3" s="11">
        <f>COUNTIFS($C$2:$C$496,"rarely",'1'!$F$2:$F$496,"*users work*")</f>
        <v>6</v>
      </c>
      <c r="AC3" s="11">
        <f>COUNTIFS($C$2:$C$496,"rarely",'1'!$B$2:$B$496,"*flow cytometry*")</f>
        <v>14</v>
      </c>
      <c r="AD3" s="11">
        <f>COUNTIFS($C$2:$C$496,"rarely",'1'!$B$2:$B$496,"*genomics*")</f>
        <v>2</v>
      </c>
      <c r="AE3" s="11">
        <f>COUNTIFS($C$2:$C$496,"rarely",'1'!$B$2:$B$496,"*histology*")</f>
        <v>0</v>
      </c>
      <c r="AF3" s="11">
        <f>COUNTIFS($C$2:$C$496,"rarely",'1'!$B$2:$B$496,"*metabolomics*")</f>
        <v>0</v>
      </c>
      <c r="AG3" s="11">
        <f>COUNTIFS($C$2:$C$496,"rarely",'1'!$B$2:$B$496,"*microscopy*")</f>
        <v>7</v>
      </c>
      <c r="AH3" s="11">
        <f>COUNTIFS($C$2:$C$496,"rarely",'1'!$B$2:$B$496,"*mouse*")</f>
        <v>1</v>
      </c>
      <c r="AI3" s="11">
        <f>COUNTIFS($C$2:$C$496,"rarely",'1'!$B$2:$B$496,"*protein expression*")</f>
        <v>1</v>
      </c>
      <c r="AJ3" s="11">
        <f>COUNTIFS($C$2:$C$496,"rarely",'1'!$B$2:$B$496,"*proteomics*")</f>
        <v>0</v>
      </c>
      <c r="AL3" s="11" t="s">
        <v>82</v>
      </c>
      <c r="AM3" s="11">
        <f>COUNTIF($D$2:$D$496,"No")</f>
        <v>21</v>
      </c>
      <c r="AN3" s="11">
        <f>COUNTIFS($D$2:$D$496,"No",'1'!$F$2:$F$496,"*staff*")</f>
        <v>8</v>
      </c>
      <c r="AO3" s="11">
        <f>COUNTIFS($D$2:$D$496,"No",'1'!$F$2:$F$496,"*both*")</f>
        <v>12</v>
      </c>
      <c r="AP3" s="11">
        <f>COUNTIFS($D$2:$D$496,"No",'1'!$F$2:$F$496,"*users work*")</f>
        <v>1</v>
      </c>
      <c r="AR3" s="11">
        <f>COUNTIFS($D$2:$D$496,"No",'1'!$B$2:$B$496,"*flow cytometry*")</f>
        <v>4</v>
      </c>
      <c r="AS3" s="11">
        <f>COUNTIFS($D$2:$D$496,"No",'1'!$B$2:$B$496,"*genomics*")</f>
        <v>3</v>
      </c>
      <c r="AT3" s="11">
        <f>COUNTIFS($D$2:$D$496,"No",'1'!$B$2:$B$496,"*histology*")</f>
        <v>2</v>
      </c>
      <c r="AU3" s="11">
        <f>COUNTIFS($D$2:$D$496,"No",'1'!$B$2:$B$496,"*metabolomics*")</f>
        <v>0</v>
      </c>
      <c r="AV3" s="11">
        <f>COUNTIFS($D$2:$D$496,"No",'1'!$B$2:$B$496,"*microscopy*")</f>
        <v>1</v>
      </c>
      <c r="AW3" s="11">
        <f>COUNTIFS($D$2:$D$496,"No",'1'!$B$2:$B$496,"*mouse*")</f>
        <v>0</v>
      </c>
      <c r="AX3" s="11">
        <f>COUNTIFS($D$2:$D$496,"No",'1'!$B$2:$B$496,"*protein expression*")</f>
        <v>0</v>
      </c>
      <c r="AY3" s="11">
        <f>COUNTIFS($D$2:$D$496,"No",'1'!$B$2:$B$496,"*proteomics*")</f>
        <v>5</v>
      </c>
    </row>
    <row r="4" spans="1:51" ht="38.25" x14ac:dyDescent="0.2">
      <c r="A4" s="11">
        <v>3</v>
      </c>
      <c r="B4" s="11" t="s">
        <v>82</v>
      </c>
      <c r="C4" s="11" t="s">
        <v>112</v>
      </c>
      <c r="D4" s="39" t="s">
        <v>246</v>
      </c>
      <c r="E4" s="7" t="s">
        <v>1992</v>
      </c>
      <c r="I4" s="11">
        <f>SUM(I2:I3)</f>
        <v>260</v>
      </c>
      <c r="W4" s="11" t="s">
        <v>100</v>
      </c>
      <c r="X4" s="11">
        <f>COUNTIF($C$2:$C$496,"sometimes")</f>
        <v>115</v>
      </c>
      <c r="Y4" s="11">
        <f>COUNTIFS($C$2:$C$496,"sometimes",'1'!$F$2:$F$496,"*staff*")</f>
        <v>23</v>
      </c>
      <c r="Z4" s="11">
        <f>COUNTIFS($C$2:$C$496,"sometimes",'1'!$F$2:$F$496,"*both*")</f>
        <v>77</v>
      </c>
      <c r="AA4" s="11">
        <f>COUNTIFS($C$2:$C$496,"sometimes",'1'!$F$2:$F$496,"*users work*")</f>
        <v>15</v>
      </c>
      <c r="AC4" s="11">
        <f>COUNTIFS($C$2:$C$496,"sometimes",'1'!$B$2:$B$496,"*flow cytometry*")</f>
        <v>22</v>
      </c>
      <c r="AD4" s="11">
        <f>COUNTIFS($C$2:$C$496,"sometimes",'1'!$B$2:$B$496,"*genomics*")</f>
        <v>11</v>
      </c>
      <c r="AE4" s="11">
        <f>COUNTIFS($C$2:$C$496,"sometimes",'1'!$B$2:$B$496,"*histology*")</f>
        <v>6</v>
      </c>
      <c r="AF4" s="11">
        <f>COUNTIFS($C$2:$C$496,"sometimes",'1'!$B$2:$B$496,"*metabolomics*")</f>
        <v>2</v>
      </c>
      <c r="AG4" s="11">
        <f>COUNTIFS($C$2:$C$496,"sometimes",'1'!$B$2:$B$496,"*microscopy*")</f>
        <v>32</v>
      </c>
      <c r="AH4" s="11">
        <f>COUNTIFS($C$2:$C$496,"sometimes",'1'!$B$2:$B$496,"*mouse*")</f>
        <v>5</v>
      </c>
      <c r="AI4" s="11">
        <f>COUNTIFS($C$2:$C$496,"sometimes",'1'!$B$2:$B$496,"*protein expression*")</f>
        <v>5</v>
      </c>
      <c r="AJ4" s="11">
        <f>COUNTIFS($C$2:$C$496,"sometimes",'1'!$B$2:$B$496,"*proteomics*")</f>
        <v>7</v>
      </c>
      <c r="AM4" s="11">
        <f>SUM(AM2:AM3)</f>
        <v>244</v>
      </c>
    </row>
    <row r="5" spans="1:51" x14ac:dyDescent="0.2">
      <c r="A5" s="11">
        <v>4</v>
      </c>
      <c r="B5" s="11" t="s">
        <v>84</v>
      </c>
      <c r="C5" s="11" t="s">
        <v>113</v>
      </c>
      <c r="D5" s="39" t="s">
        <v>81</v>
      </c>
      <c r="E5" s="7" t="s">
        <v>146</v>
      </c>
      <c r="W5" s="11" t="s">
        <v>113</v>
      </c>
      <c r="X5" s="11">
        <f>COUNTIF($C$2:$C$496,"often")</f>
        <v>88</v>
      </c>
      <c r="Y5" s="11">
        <f>COUNTIFS($C$2:$C$496,"often",'1'!$F$2:$F$496,"*staff*")</f>
        <v>32</v>
      </c>
      <c r="Z5" s="11">
        <f>COUNTIFS($C$2:$C$496,"often",'1'!$F$2:$F$496,"*both*")</f>
        <v>53</v>
      </c>
      <c r="AA5" s="11">
        <f>COUNTIFS($C$2:$C$496,"often",'1'!$F$2:$F$496,"*users work*")</f>
        <v>3</v>
      </c>
      <c r="AC5" s="11">
        <f>COUNTIFS($C$2:$C$496,"often",'1'!$B$2:$B$496,"*flow cytometry*")</f>
        <v>7</v>
      </c>
      <c r="AD5" s="11">
        <f>COUNTIFS($C$2:$C$496,"often",'1'!$B$2:$B$496,"*genomics*")</f>
        <v>15</v>
      </c>
      <c r="AE5" s="11">
        <f>COUNTIFS($C$2:$C$496,"often",'1'!$B$2:$B$496,"*histology*")</f>
        <v>5</v>
      </c>
      <c r="AF5" s="11">
        <f>COUNTIFS($C$2:$C$496,"often",'1'!$B$2:$B$496,"*metabolomics*")</f>
        <v>4</v>
      </c>
      <c r="AG5" s="11">
        <f>COUNTIFS($C$2:$C$496,"often",'1'!$B$2:$B$496,"*microscopy*")</f>
        <v>19</v>
      </c>
      <c r="AH5" s="11">
        <f>COUNTIFS($C$2:$C$496,"often",'1'!$B$2:$B$496,"*mouse*")</f>
        <v>4</v>
      </c>
      <c r="AI5" s="11">
        <f>COUNTIFS($C$2:$C$496,"often",'1'!$B$2:$B$496,"*protein expression*")</f>
        <v>2</v>
      </c>
      <c r="AJ5" s="11">
        <f>COUNTIFS($C$2:$C$496,"often",'1'!$B$2:$B$496,"*proteomics*")</f>
        <v>17</v>
      </c>
    </row>
    <row r="6" spans="1:51" ht="38.25" x14ac:dyDescent="0.2">
      <c r="A6" s="11">
        <v>5</v>
      </c>
      <c r="B6" s="11" t="s">
        <v>84</v>
      </c>
      <c r="C6" s="11" t="s">
        <v>100</v>
      </c>
      <c r="D6" s="39" t="s">
        <v>81</v>
      </c>
      <c r="E6" s="7" t="s">
        <v>159</v>
      </c>
      <c r="W6" s="11" t="s">
        <v>93</v>
      </c>
      <c r="X6" s="11">
        <f>COUNTIF($C$2:$C$496,"always")</f>
        <v>27</v>
      </c>
      <c r="Y6" s="11">
        <f>COUNTIFS($C$2:$C$496,"always",'1'!$F$2:$F$496,"*staff*")</f>
        <v>11</v>
      </c>
      <c r="Z6" s="11">
        <f>COUNTIFS($C$2:$C$496,"always",'1'!$F$2:$F$496,"*both*")</f>
        <v>14</v>
      </c>
      <c r="AA6" s="11">
        <f>COUNTIFS($C$2:$C$496,"always",'1'!$F$2:$F$496,"*users work*")</f>
        <v>2</v>
      </c>
      <c r="AC6" s="11">
        <f>COUNTIFS($C$2:$C$496,"always",'1'!$B$2:$B$496,"*flow cytometry*")</f>
        <v>0</v>
      </c>
      <c r="AD6" s="11">
        <f>COUNTIFS($C$2:$C$496,"always",'1'!$B$2:$B$496,"*genomics*")</f>
        <v>2</v>
      </c>
      <c r="AE6" s="11">
        <f>COUNTIFS($C$2:$C$496,"always",'1'!$B$2:$B$496,"*histology*")</f>
        <v>0</v>
      </c>
      <c r="AF6" s="11">
        <f>COUNTIFS($C$2:$C$496,"always",'1'!$B$2:$B$496,"*metabolomics*")</f>
        <v>1</v>
      </c>
      <c r="AG6" s="11">
        <f>COUNTIFS($C$2:$C$496,"always",'1'!$B$2:$B$496,"*microscopy*")</f>
        <v>2</v>
      </c>
      <c r="AH6" s="11">
        <f>COUNTIFS($C$2:$C$496,"always",'1'!$B$2:$B$496,"*mouse*")</f>
        <v>3</v>
      </c>
      <c r="AI6" s="11">
        <f>COUNTIFS($C$2:$C$496,"always",'1'!$B$2:$B$496,"*protein expression*")</f>
        <v>0</v>
      </c>
      <c r="AJ6" s="11">
        <f>COUNTIFS($C$2:$C$496,"always",'1'!$B$2:$B$496,"*proteomics*")</f>
        <v>11</v>
      </c>
    </row>
    <row r="7" spans="1:51" ht="38.25" x14ac:dyDescent="0.2">
      <c r="A7" s="11">
        <v>6</v>
      </c>
      <c r="B7" s="11" t="s">
        <v>84</v>
      </c>
      <c r="C7" s="11" t="s">
        <v>113</v>
      </c>
      <c r="D7" s="39" t="s">
        <v>81</v>
      </c>
      <c r="E7" s="7" t="s">
        <v>4110</v>
      </c>
      <c r="X7" s="11">
        <f>SUM(X2:X6)</f>
        <v>260</v>
      </c>
    </row>
    <row r="8" spans="1:51" ht="25.5" x14ac:dyDescent="0.2">
      <c r="A8" s="11">
        <v>7</v>
      </c>
      <c r="B8" s="11" t="s">
        <v>84</v>
      </c>
      <c r="C8" s="11" t="s">
        <v>112</v>
      </c>
      <c r="D8" s="39" t="s">
        <v>81</v>
      </c>
      <c r="E8" s="7" t="s">
        <v>4111</v>
      </c>
    </row>
    <row r="9" spans="1:51" x14ac:dyDescent="0.2">
      <c r="A9" s="11">
        <v>8</v>
      </c>
      <c r="B9" s="11" t="s">
        <v>84</v>
      </c>
      <c r="C9" s="11" t="s">
        <v>100</v>
      </c>
      <c r="D9" s="39"/>
      <c r="E9" s="7"/>
    </row>
    <row r="10" spans="1:51" x14ac:dyDescent="0.2">
      <c r="A10" s="11">
        <v>9</v>
      </c>
      <c r="B10" s="11" t="s">
        <v>84</v>
      </c>
      <c r="C10" s="11" t="s">
        <v>100</v>
      </c>
      <c r="D10" s="39" t="s">
        <v>81</v>
      </c>
      <c r="E10" s="7" t="s">
        <v>215</v>
      </c>
    </row>
    <row r="11" spans="1:51" ht="38.25" x14ac:dyDescent="0.2">
      <c r="A11" s="11">
        <v>10</v>
      </c>
      <c r="B11" s="11" t="s">
        <v>84</v>
      </c>
      <c r="C11" s="11" t="s">
        <v>112</v>
      </c>
      <c r="D11" s="39" t="s">
        <v>81</v>
      </c>
      <c r="E11" s="7" t="s">
        <v>233</v>
      </c>
    </row>
    <row r="12" spans="1:51" x14ac:dyDescent="0.2">
      <c r="A12" s="11">
        <v>11</v>
      </c>
      <c r="B12" s="11" t="s">
        <v>84</v>
      </c>
      <c r="C12" s="11" t="s">
        <v>100</v>
      </c>
      <c r="D12" s="39"/>
      <c r="E12" s="7" t="s">
        <v>247</v>
      </c>
    </row>
    <row r="13" spans="1:51" ht="25.5" x14ac:dyDescent="0.2">
      <c r="A13" s="11">
        <v>12</v>
      </c>
      <c r="B13" s="11" t="s">
        <v>84</v>
      </c>
      <c r="C13" s="11" t="s">
        <v>93</v>
      </c>
      <c r="D13" s="39" t="s">
        <v>81</v>
      </c>
      <c r="E13" s="7" t="s">
        <v>266</v>
      </c>
    </row>
    <row r="14" spans="1:51" ht="25.5" x14ac:dyDescent="0.2">
      <c r="A14" s="11">
        <v>13</v>
      </c>
      <c r="B14" s="11" t="s">
        <v>84</v>
      </c>
      <c r="C14" s="11" t="s">
        <v>112</v>
      </c>
      <c r="D14" s="39" t="s">
        <v>81</v>
      </c>
      <c r="E14" s="7" t="s">
        <v>3850</v>
      </c>
    </row>
    <row r="15" spans="1:51" x14ac:dyDescent="0.2">
      <c r="A15" s="11">
        <v>14</v>
      </c>
      <c r="B15" s="11" t="s">
        <v>84</v>
      </c>
      <c r="C15" s="11" t="s">
        <v>100</v>
      </c>
      <c r="D15" s="39" t="s">
        <v>81</v>
      </c>
      <c r="E15" s="7" t="s">
        <v>304</v>
      </c>
    </row>
    <row r="16" spans="1:51" ht="25.5" x14ac:dyDescent="0.2">
      <c r="A16" s="11">
        <v>15</v>
      </c>
      <c r="B16" s="11" t="s">
        <v>84</v>
      </c>
      <c r="C16" s="11" t="s">
        <v>100</v>
      </c>
      <c r="D16" s="39" t="s">
        <v>81</v>
      </c>
      <c r="E16" s="7" t="s">
        <v>1993</v>
      </c>
    </row>
    <row r="17" spans="1:5" x14ac:dyDescent="0.2">
      <c r="A17" s="11">
        <v>16</v>
      </c>
      <c r="B17" s="11" t="s">
        <v>84</v>
      </c>
      <c r="C17" s="11" t="s">
        <v>113</v>
      </c>
      <c r="D17" s="39" t="s">
        <v>81</v>
      </c>
      <c r="E17" s="7" t="s">
        <v>84</v>
      </c>
    </row>
    <row r="18" spans="1:5" x14ac:dyDescent="0.2">
      <c r="A18" s="11">
        <v>17</v>
      </c>
      <c r="B18" s="11" t="s">
        <v>82</v>
      </c>
      <c r="C18" s="11" t="s">
        <v>100</v>
      </c>
      <c r="D18" s="39"/>
      <c r="E18" s="7"/>
    </row>
    <row r="19" spans="1:5" x14ac:dyDescent="0.2">
      <c r="A19" s="11">
        <v>18</v>
      </c>
      <c r="B19" s="11" t="s">
        <v>84</v>
      </c>
      <c r="C19" s="11" t="s">
        <v>100</v>
      </c>
      <c r="D19" s="39"/>
      <c r="E19" s="7"/>
    </row>
    <row r="20" spans="1:5" x14ac:dyDescent="0.2">
      <c r="A20" s="11">
        <v>19</v>
      </c>
      <c r="B20" s="33" t="s">
        <v>80</v>
      </c>
      <c r="C20" s="33"/>
      <c r="D20" s="46"/>
      <c r="E20" s="7"/>
    </row>
    <row r="21" spans="1:5" x14ac:dyDescent="0.2">
      <c r="A21" s="11">
        <v>20</v>
      </c>
      <c r="B21" s="33" t="s">
        <v>80</v>
      </c>
      <c r="C21" s="33"/>
      <c r="D21" s="46"/>
      <c r="E21" s="7"/>
    </row>
    <row r="22" spans="1:5" x14ac:dyDescent="0.2">
      <c r="A22" s="11">
        <v>21</v>
      </c>
      <c r="B22" s="11" t="s">
        <v>84</v>
      </c>
      <c r="C22" s="11" t="s">
        <v>113</v>
      </c>
      <c r="D22" s="39"/>
      <c r="E22" s="7"/>
    </row>
    <row r="23" spans="1:5" x14ac:dyDescent="0.2">
      <c r="A23" s="11">
        <v>22</v>
      </c>
      <c r="B23" s="11" t="s">
        <v>84</v>
      </c>
      <c r="C23" s="11" t="s">
        <v>113</v>
      </c>
      <c r="D23" s="39"/>
      <c r="E23" s="7"/>
    </row>
    <row r="24" spans="1:5" x14ac:dyDescent="0.2">
      <c r="A24" s="11">
        <v>23</v>
      </c>
      <c r="B24" s="11" t="s">
        <v>84</v>
      </c>
      <c r="C24" s="11" t="s">
        <v>100</v>
      </c>
      <c r="D24" s="39" t="s">
        <v>81</v>
      </c>
      <c r="E24" s="7" t="s">
        <v>396</v>
      </c>
    </row>
    <row r="25" spans="1:5" x14ac:dyDescent="0.2">
      <c r="A25" s="11">
        <v>24</v>
      </c>
      <c r="B25" s="11" t="s">
        <v>84</v>
      </c>
      <c r="C25" s="11" t="s">
        <v>93</v>
      </c>
      <c r="D25" s="39" t="s">
        <v>81</v>
      </c>
      <c r="E25" s="7" t="s">
        <v>1994</v>
      </c>
    </row>
    <row r="26" spans="1:5" ht="25.5" x14ac:dyDescent="0.2">
      <c r="A26" s="11">
        <v>25</v>
      </c>
      <c r="B26" s="11" t="s">
        <v>82</v>
      </c>
      <c r="C26" s="11" t="s">
        <v>100</v>
      </c>
      <c r="D26" s="39" t="s">
        <v>81</v>
      </c>
      <c r="E26" s="7" t="s">
        <v>426</v>
      </c>
    </row>
    <row r="27" spans="1:5" ht="25.5" x14ac:dyDescent="0.2">
      <c r="A27" s="11">
        <v>26</v>
      </c>
      <c r="B27" s="11" t="s">
        <v>84</v>
      </c>
      <c r="C27" s="11" t="s">
        <v>100</v>
      </c>
      <c r="D27" s="39" t="s">
        <v>81</v>
      </c>
      <c r="E27" s="7" t="s">
        <v>1995</v>
      </c>
    </row>
    <row r="28" spans="1:5" ht="63.75" x14ac:dyDescent="0.2">
      <c r="A28" s="11">
        <v>27</v>
      </c>
      <c r="B28" s="11" t="s">
        <v>84</v>
      </c>
      <c r="C28" s="11" t="s">
        <v>113</v>
      </c>
      <c r="D28" s="39" t="s">
        <v>81</v>
      </c>
      <c r="E28" s="7" t="s">
        <v>3851</v>
      </c>
    </row>
    <row r="29" spans="1:5" x14ac:dyDescent="0.2">
      <c r="A29" s="11">
        <v>28</v>
      </c>
      <c r="B29" s="11" t="s">
        <v>84</v>
      </c>
      <c r="C29" s="11" t="s">
        <v>113</v>
      </c>
      <c r="D29" s="39" t="s">
        <v>81</v>
      </c>
      <c r="E29" s="7" t="s">
        <v>471</v>
      </c>
    </row>
    <row r="30" spans="1:5" ht="25.5" x14ac:dyDescent="0.2">
      <c r="A30" s="11">
        <v>29</v>
      </c>
      <c r="B30" s="11" t="s">
        <v>84</v>
      </c>
      <c r="C30" s="11" t="s">
        <v>113</v>
      </c>
      <c r="D30" s="39" t="s">
        <v>81</v>
      </c>
      <c r="E30" s="7" t="s">
        <v>488</v>
      </c>
    </row>
    <row r="31" spans="1:5" ht="25.5" x14ac:dyDescent="0.2">
      <c r="A31" s="11">
        <v>30</v>
      </c>
      <c r="B31" s="11" t="s">
        <v>84</v>
      </c>
      <c r="C31" s="11" t="s">
        <v>100</v>
      </c>
      <c r="D31" s="39" t="s">
        <v>81</v>
      </c>
      <c r="E31" s="7" t="s">
        <v>502</v>
      </c>
    </row>
    <row r="32" spans="1:5" x14ac:dyDescent="0.2">
      <c r="A32" s="11">
        <v>31</v>
      </c>
      <c r="B32" s="11" t="s">
        <v>84</v>
      </c>
      <c r="C32" s="11" t="s">
        <v>112</v>
      </c>
      <c r="D32" s="39" t="s">
        <v>81</v>
      </c>
      <c r="E32" s="7" t="s">
        <v>513</v>
      </c>
    </row>
    <row r="33" spans="1:5" x14ac:dyDescent="0.2">
      <c r="A33" s="11">
        <v>32</v>
      </c>
      <c r="B33" s="11" t="s">
        <v>84</v>
      </c>
      <c r="C33" s="11" t="s">
        <v>113</v>
      </c>
      <c r="D33" s="39"/>
      <c r="E33" s="7"/>
    </row>
    <row r="34" spans="1:5" ht="38.25" x14ac:dyDescent="0.2">
      <c r="A34" s="11">
        <v>33</v>
      </c>
      <c r="B34" s="11" t="s">
        <v>84</v>
      </c>
      <c r="C34" s="11" t="s">
        <v>112</v>
      </c>
      <c r="D34" s="39" t="s">
        <v>81</v>
      </c>
      <c r="E34" s="7" t="s">
        <v>3852</v>
      </c>
    </row>
    <row r="35" spans="1:5" x14ac:dyDescent="0.2">
      <c r="A35" s="11">
        <v>34</v>
      </c>
      <c r="B35" s="11" t="s">
        <v>84</v>
      </c>
      <c r="C35" s="11" t="s">
        <v>100</v>
      </c>
      <c r="D35" s="39" t="s">
        <v>81</v>
      </c>
      <c r="E35" s="7" t="s">
        <v>553</v>
      </c>
    </row>
    <row r="36" spans="1:5" ht="38.25" x14ac:dyDescent="0.2">
      <c r="A36" s="11">
        <v>35</v>
      </c>
      <c r="B36" s="11" t="s">
        <v>84</v>
      </c>
      <c r="C36" s="11" t="s">
        <v>93</v>
      </c>
      <c r="D36" s="39" t="s">
        <v>81</v>
      </c>
      <c r="E36" s="7" t="s">
        <v>4112</v>
      </c>
    </row>
    <row r="37" spans="1:5" x14ac:dyDescent="0.2">
      <c r="A37" s="11">
        <v>36</v>
      </c>
      <c r="B37" s="11" t="s">
        <v>84</v>
      </c>
      <c r="C37" s="11" t="s">
        <v>113</v>
      </c>
      <c r="D37" s="39" t="s">
        <v>81</v>
      </c>
      <c r="E37" s="7" t="s">
        <v>589</v>
      </c>
    </row>
    <row r="38" spans="1:5" ht="51" x14ac:dyDescent="0.2">
      <c r="A38" s="11">
        <v>37</v>
      </c>
      <c r="B38" s="11" t="s">
        <v>84</v>
      </c>
      <c r="C38" s="11" t="s">
        <v>113</v>
      </c>
      <c r="D38" s="39" t="s">
        <v>81</v>
      </c>
      <c r="E38" s="7" t="s">
        <v>3846</v>
      </c>
    </row>
    <row r="39" spans="1:5" ht="63.75" x14ac:dyDescent="0.2">
      <c r="A39" s="11">
        <v>38</v>
      </c>
      <c r="B39" s="11" t="s">
        <v>84</v>
      </c>
      <c r="C39" s="11" t="s">
        <v>112</v>
      </c>
      <c r="D39" s="39" t="s">
        <v>81</v>
      </c>
      <c r="E39" s="7" t="s">
        <v>4113</v>
      </c>
    </row>
    <row r="40" spans="1:5" ht="51" x14ac:dyDescent="0.2">
      <c r="A40" s="11">
        <v>39</v>
      </c>
      <c r="B40" s="11" t="s">
        <v>84</v>
      </c>
      <c r="C40" s="11" t="s">
        <v>113</v>
      </c>
      <c r="D40" s="39" t="s">
        <v>246</v>
      </c>
      <c r="E40" s="7" t="s">
        <v>3847</v>
      </c>
    </row>
    <row r="41" spans="1:5" x14ac:dyDescent="0.2">
      <c r="A41" s="11">
        <v>40</v>
      </c>
      <c r="B41" s="11" t="s">
        <v>84</v>
      </c>
      <c r="C41" s="11" t="s">
        <v>113</v>
      </c>
      <c r="D41" s="39" t="s">
        <v>81</v>
      </c>
      <c r="E41" s="7" t="s">
        <v>3848</v>
      </c>
    </row>
    <row r="42" spans="1:5" ht="25.5" x14ac:dyDescent="0.2">
      <c r="A42" s="11">
        <v>41</v>
      </c>
      <c r="B42" s="11" t="s">
        <v>84</v>
      </c>
      <c r="C42" s="11" t="s">
        <v>112</v>
      </c>
      <c r="D42" s="39"/>
      <c r="E42" s="7" t="s">
        <v>777</v>
      </c>
    </row>
    <row r="43" spans="1:5" x14ac:dyDescent="0.2">
      <c r="A43" s="11">
        <v>42</v>
      </c>
      <c r="B43" s="11" t="s">
        <v>84</v>
      </c>
      <c r="C43" s="11" t="s">
        <v>100</v>
      </c>
      <c r="D43" s="39"/>
      <c r="E43" s="7"/>
    </row>
    <row r="44" spans="1:5" ht="38.25" x14ac:dyDescent="0.2">
      <c r="A44" s="11">
        <v>43</v>
      </c>
      <c r="B44" s="11" t="s">
        <v>84</v>
      </c>
      <c r="C44" s="11" t="s">
        <v>100</v>
      </c>
      <c r="D44" s="39" t="s">
        <v>81</v>
      </c>
      <c r="E44" s="7" t="s">
        <v>3849</v>
      </c>
    </row>
    <row r="45" spans="1:5" x14ac:dyDescent="0.2">
      <c r="A45" s="11">
        <v>44</v>
      </c>
      <c r="B45" s="33" t="s">
        <v>80</v>
      </c>
      <c r="C45" s="33"/>
      <c r="D45" s="46"/>
      <c r="E45" s="7"/>
    </row>
    <row r="46" spans="1:5" x14ac:dyDescent="0.2">
      <c r="A46" s="11">
        <v>45</v>
      </c>
      <c r="B46" s="11" t="s">
        <v>84</v>
      </c>
      <c r="C46" s="11" t="s">
        <v>93</v>
      </c>
      <c r="D46" s="39"/>
      <c r="E46" s="7"/>
    </row>
    <row r="47" spans="1:5" x14ac:dyDescent="0.2">
      <c r="A47" s="11">
        <v>46</v>
      </c>
      <c r="B47" s="11" t="s">
        <v>82</v>
      </c>
      <c r="C47" s="11" t="s">
        <v>100</v>
      </c>
      <c r="D47" s="39" t="s">
        <v>81</v>
      </c>
      <c r="E47" s="7" t="s">
        <v>833</v>
      </c>
    </row>
    <row r="48" spans="1:5" ht="51" x14ac:dyDescent="0.2">
      <c r="A48" s="11">
        <v>47</v>
      </c>
      <c r="B48" s="11" t="s">
        <v>84</v>
      </c>
      <c r="C48" s="11" t="s">
        <v>100</v>
      </c>
      <c r="D48" s="39" t="s">
        <v>81</v>
      </c>
      <c r="E48" s="11" t="s">
        <v>1026</v>
      </c>
    </row>
    <row r="49" spans="1:5" x14ac:dyDescent="0.2">
      <c r="A49" s="11">
        <v>48</v>
      </c>
      <c r="B49" s="11" t="s">
        <v>84</v>
      </c>
      <c r="C49" s="11" t="s">
        <v>100</v>
      </c>
      <c r="D49" s="39" t="s">
        <v>81</v>
      </c>
      <c r="E49" s="7" t="s">
        <v>863</v>
      </c>
    </row>
    <row r="50" spans="1:5" x14ac:dyDescent="0.2">
      <c r="A50" s="11">
        <v>49</v>
      </c>
      <c r="B50" s="11" t="s">
        <v>84</v>
      </c>
      <c r="C50" s="11" t="s">
        <v>113</v>
      </c>
      <c r="D50" s="39" t="s">
        <v>81</v>
      </c>
      <c r="E50" s="7" t="s">
        <v>1996</v>
      </c>
    </row>
    <row r="51" spans="1:5" ht="38.25" x14ac:dyDescent="0.2">
      <c r="A51" s="11">
        <v>50</v>
      </c>
      <c r="B51" s="11" t="s">
        <v>84</v>
      </c>
      <c r="C51" s="11" t="s">
        <v>100</v>
      </c>
      <c r="D51" s="39" t="s">
        <v>81</v>
      </c>
      <c r="E51" s="7" t="s">
        <v>4114</v>
      </c>
    </row>
    <row r="52" spans="1:5" x14ac:dyDescent="0.2">
      <c r="A52" s="11">
        <v>51</v>
      </c>
      <c r="B52" s="11" t="s">
        <v>84</v>
      </c>
      <c r="C52" s="11" t="s">
        <v>93</v>
      </c>
      <c r="D52" s="39"/>
      <c r="E52" s="7"/>
    </row>
    <row r="53" spans="1:5" x14ac:dyDescent="0.2">
      <c r="A53" s="11">
        <v>52</v>
      </c>
      <c r="B53" s="11" t="s">
        <v>84</v>
      </c>
      <c r="C53" s="11" t="s">
        <v>100</v>
      </c>
      <c r="D53" s="39"/>
      <c r="E53" s="7"/>
    </row>
    <row r="54" spans="1:5" ht="25.5" x14ac:dyDescent="0.2">
      <c r="A54" s="11">
        <v>53</v>
      </c>
      <c r="B54" s="11" t="s">
        <v>84</v>
      </c>
      <c r="C54" s="11" t="s">
        <v>100</v>
      </c>
      <c r="D54" s="39" t="s">
        <v>81</v>
      </c>
      <c r="E54" s="7" t="s">
        <v>915</v>
      </c>
    </row>
    <row r="55" spans="1:5" x14ac:dyDescent="0.2">
      <c r="A55" s="11">
        <v>54</v>
      </c>
      <c r="B55" s="11" t="s">
        <v>84</v>
      </c>
      <c r="C55" s="11" t="s">
        <v>100</v>
      </c>
      <c r="D55" s="39"/>
      <c r="E55" s="7"/>
    </row>
    <row r="56" spans="1:5" ht="25.5" x14ac:dyDescent="0.2">
      <c r="A56" s="11">
        <v>55</v>
      </c>
      <c r="B56" s="11" t="s">
        <v>84</v>
      </c>
      <c r="C56" s="11" t="s">
        <v>113</v>
      </c>
      <c r="D56" s="39" t="s">
        <v>81</v>
      </c>
      <c r="E56" s="19" t="s">
        <v>1997</v>
      </c>
    </row>
    <row r="57" spans="1:5" ht="38.25" x14ac:dyDescent="0.2">
      <c r="A57" s="11">
        <v>56</v>
      </c>
      <c r="B57" s="11" t="s">
        <v>84</v>
      </c>
      <c r="C57" s="11" t="s">
        <v>100</v>
      </c>
      <c r="D57" s="39" t="s">
        <v>81</v>
      </c>
      <c r="E57" s="7" t="s">
        <v>4115</v>
      </c>
    </row>
    <row r="58" spans="1:5" x14ac:dyDescent="0.2">
      <c r="A58" s="11">
        <v>57</v>
      </c>
      <c r="B58" s="11" t="s">
        <v>84</v>
      </c>
      <c r="C58" s="11" t="s">
        <v>113</v>
      </c>
      <c r="D58" s="39"/>
      <c r="E58" s="7"/>
    </row>
    <row r="59" spans="1:5" ht="25.5" x14ac:dyDescent="0.2">
      <c r="A59" s="11">
        <v>58</v>
      </c>
      <c r="B59" s="11" t="s">
        <v>84</v>
      </c>
      <c r="C59" s="11" t="s">
        <v>113</v>
      </c>
      <c r="D59" s="39" t="s">
        <v>246</v>
      </c>
      <c r="E59" s="7" t="s">
        <v>1086</v>
      </c>
    </row>
    <row r="60" spans="1:5" x14ac:dyDescent="0.2">
      <c r="A60" s="11">
        <v>59</v>
      </c>
      <c r="B60" s="11" t="s">
        <v>84</v>
      </c>
      <c r="C60" s="11" t="s">
        <v>100</v>
      </c>
      <c r="D60" s="39" t="s">
        <v>81</v>
      </c>
      <c r="E60" s="7" t="s">
        <v>1102</v>
      </c>
    </row>
    <row r="61" spans="1:5" x14ac:dyDescent="0.2">
      <c r="A61" s="11">
        <v>60</v>
      </c>
      <c r="B61" s="11" t="s">
        <v>84</v>
      </c>
      <c r="C61" s="11" t="s">
        <v>112</v>
      </c>
      <c r="D61" s="39"/>
      <c r="E61" s="7"/>
    </row>
    <row r="62" spans="1:5" ht="25.5" x14ac:dyDescent="0.2">
      <c r="A62" s="11">
        <v>61</v>
      </c>
      <c r="B62" s="11" t="s">
        <v>84</v>
      </c>
      <c r="C62" s="11" t="s">
        <v>93</v>
      </c>
      <c r="D62" s="39" t="s">
        <v>81</v>
      </c>
      <c r="E62" s="7" t="s">
        <v>1303</v>
      </c>
    </row>
    <row r="63" spans="1:5" x14ac:dyDescent="0.2">
      <c r="A63" s="11">
        <v>62</v>
      </c>
      <c r="B63" s="11" t="s">
        <v>84</v>
      </c>
      <c r="C63" s="11" t="s">
        <v>93</v>
      </c>
      <c r="D63" s="11" t="s">
        <v>81</v>
      </c>
      <c r="E63" s="7" t="s">
        <v>1314</v>
      </c>
    </row>
    <row r="64" spans="1:5" ht="38.25" x14ac:dyDescent="0.2">
      <c r="A64" s="11">
        <v>63</v>
      </c>
      <c r="B64" s="11" t="s">
        <v>84</v>
      </c>
      <c r="C64" s="11" t="s">
        <v>100</v>
      </c>
      <c r="D64" s="11" t="s">
        <v>81</v>
      </c>
      <c r="E64" s="7" t="s">
        <v>1332</v>
      </c>
    </row>
    <row r="65" spans="1:5" x14ac:dyDescent="0.2">
      <c r="A65" s="11">
        <v>64</v>
      </c>
      <c r="B65" s="33" t="s">
        <v>80</v>
      </c>
      <c r="C65" s="33"/>
      <c r="D65" s="33"/>
      <c r="E65" s="52"/>
    </row>
    <row r="66" spans="1:5" x14ac:dyDescent="0.2">
      <c r="A66" s="11">
        <v>65</v>
      </c>
      <c r="B66" s="11" t="s">
        <v>84</v>
      </c>
      <c r="C66" s="11" t="s">
        <v>113</v>
      </c>
      <c r="D66" s="11" t="s">
        <v>81</v>
      </c>
      <c r="E66" s="7"/>
    </row>
    <row r="67" spans="1:5" x14ac:dyDescent="0.2">
      <c r="A67" s="11">
        <v>66</v>
      </c>
      <c r="B67" s="11" t="s">
        <v>84</v>
      </c>
      <c r="C67" s="11" t="s">
        <v>113</v>
      </c>
      <c r="D67" s="11" t="s">
        <v>246</v>
      </c>
      <c r="E67" s="7"/>
    </row>
    <row r="68" spans="1:5" x14ac:dyDescent="0.2">
      <c r="A68" s="11">
        <v>67</v>
      </c>
      <c r="B68" s="11" t="s">
        <v>84</v>
      </c>
      <c r="C68" s="11" t="s">
        <v>113</v>
      </c>
      <c r="D68" s="11" t="s">
        <v>81</v>
      </c>
      <c r="E68" s="7" t="s">
        <v>1367</v>
      </c>
    </row>
    <row r="69" spans="1:5" x14ac:dyDescent="0.2">
      <c r="A69" s="11">
        <v>68</v>
      </c>
      <c r="B69" s="11" t="s">
        <v>84</v>
      </c>
      <c r="C69" s="11" t="s">
        <v>113</v>
      </c>
      <c r="D69" s="11" t="s">
        <v>81</v>
      </c>
      <c r="E69" s="7"/>
    </row>
    <row r="70" spans="1:5" x14ac:dyDescent="0.2">
      <c r="A70" s="11">
        <v>69</v>
      </c>
      <c r="B70" s="11" t="s">
        <v>82</v>
      </c>
      <c r="C70" s="11" t="s">
        <v>100</v>
      </c>
      <c r="D70" s="11" t="s">
        <v>81</v>
      </c>
      <c r="E70" s="7"/>
    </row>
    <row r="71" spans="1:5" x14ac:dyDescent="0.2">
      <c r="A71" s="11">
        <v>70</v>
      </c>
      <c r="B71" s="11" t="s">
        <v>84</v>
      </c>
      <c r="C71" s="11" t="s">
        <v>113</v>
      </c>
      <c r="D71" s="11" t="s">
        <v>81</v>
      </c>
      <c r="E71" s="7"/>
    </row>
    <row r="72" spans="1:5" x14ac:dyDescent="0.2">
      <c r="A72" s="11">
        <v>71</v>
      </c>
      <c r="B72" s="11" t="s">
        <v>84</v>
      </c>
      <c r="C72" s="11" t="s">
        <v>100</v>
      </c>
      <c r="D72" s="11" t="s">
        <v>81</v>
      </c>
      <c r="E72" s="7"/>
    </row>
    <row r="73" spans="1:5" x14ac:dyDescent="0.2">
      <c r="A73" s="11">
        <v>72</v>
      </c>
      <c r="B73" s="11" t="s">
        <v>84</v>
      </c>
      <c r="C73" s="11" t="s">
        <v>112</v>
      </c>
      <c r="D73" s="11" t="s">
        <v>81</v>
      </c>
      <c r="E73" s="7" t="s">
        <v>1394</v>
      </c>
    </row>
    <row r="74" spans="1:5" x14ac:dyDescent="0.2">
      <c r="A74" s="11">
        <v>73</v>
      </c>
      <c r="B74" s="33" t="s">
        <v>80</v>
      </c>
      <c r="C74" s="33"/>
      <c r="D74" s="33"/>
      <c r="E74" s="52"/>
    </row>
    <row r="75" spans="1:5" x14ac:dyDescent="0.2">
      <c r="A75" s="11">
        <v>74</v>
      </c>
      <c r="B75" s="11" t="s">
        <v>84</v>
      </c>
      <c r="C75" s="11" t="s">
        <v>93</v>
      </c>
      <c r="D75" s="11" t="s">
        <v>81</v>
      </c>
      <c r="E75" s="7"/>
    </row>
    <row r="76" spans="1:5" x14ac:dyDescent="0.2">
      <c r="A76" s="11">
        <v>75</v>
      </c>
      <c r="B76" s="33" t="s">
        <v>80</v>
      </c>
      <c r="C76" s="33"/>
      <c r="D76" s="33"/>
      <c r="E76" s="52"/>
    </row>
    <row r="77" spans="1:5" x14ac:dyDescent="0.2">
      <c r="A77" s="11">
        <v>76</v>
      </c>
      <c r="B77" s="11" t="s">
        <v>84</v>
      </c>
      <c r="C77" s="11" t="s">
        <v>100</v>
      </c>
      <c r="D77" s="11" t="s">
        <v>246</v>
      </c>
      <c r="E77" s="7"/>
    </row>
    <row r="78" spans="1:5" x14ac:dyDescent="0.2">
      <c r="A78" s="11">
        <v>77</v>
      </c>
      <c r="B78" s="11" t="s">
        <v>84</v>
      </c>
      <c r="C78" s="11" t="s">
        <v>100</v>
      </c>
      <c r="D78" s="11" t="s">
        <v>81</v>
      </c>
      <c r="E78" s="7"/>
    </row>
    <row r="79" spans="1:5" x14ac:dyDescent="0.2">
      <c r="A79" s="11">
        <v>78</v>
      </c>
      <c r="B79" s="11" t="s">
        <v>84</v>
      </c>
      <c r="C79" s="11" t="s">
        <v>100</v>
      </c>
      <c r="D79" s="11" t="s">
        <v>81</v>
      </c>
      <c r="E79" s="7"/>
    </row>
    <row r="80" spans="1:5" ht="51" x14ac:dyDescent="0.2">
      <c r="A80" s="11">
        <v>79</v>
      </c>
      <c r="B80" s="11" t="s">
        <v>84</v>
      </c>
      <c r="C80" s="11" t="s">
        <v>100</v>
      </c>
      <c r="D80" s="11" t="s">
        <v>81</v>
      </c>
      <c r="E80" s="7" t="s">
        <v>1437</v>
      </c>
    </row>
    <row r="81" spans="1:5" x14ac:dyDescent="0.2">
      <c r="A81" s="11">
        <v>80</v>
      </c>
      <c r="B81" s="11" t="s">
        <v>84</v>
      </c>
      <c r="C81" s="11" t="s">
        <v>100</v>
      </c>
      <c r="D81" s="11" t="s">
        <v>81</v>
      </c>
    </row>
    <row r="82" spans="1:5" x14ac:dyDescent="0.2">
      <c r="A82" s="11">
        <v>81</v>
      </c>
      <c r="B82" s="11" t="s">
        <v>84</v>
      </c>
      <c r="C82" s="11" t="s">
        <v>100</v>
      </c>
      <c r="D82" s="11" t="s">
        <v>81</v>
      </c>
    </row>
    <row r="83" spans="1:5" x14ac:dyDescent="0.2">
      <c r="A83" s="11">
        <v>82</v>
      </c>
      <c r="B83" s="11" t="s">
        <v>84</v>
      </c>
      <c r="C83" s="11" t="s">
        <v>93</v>
      </c>
      <c r="D83" s="11" t="s">
        <v>81</v>
      </c>
      <c r="E83" s="11" t="s">
        <v>1467</v>
      </c>
    </row>
    <row r="84" spans="1:5" ht="38.25" x14ac:dyDescent="0.2">
      <c r="A84" s="11">
        <v>83</v>
      </c>
      <c r="B84" s="11" t="s">
        <v>84</v>
      </c>
      <c r="C84" s="11" t="s">
        <v>93</v>
      </c>
      <c r="D84" s="11" t="s">
        <v>81</v>
      </c>
      <c r="E84" s="11" t="s">
        <v>4116</v>
      </c>
    </row>
    <row r="85" spans="1:5" ht="25.5" x14ac:dyDescent="0.2">
      <c r="A85" s="11">
        <v>84</v>
      </c>
      <c r="B85" s="11" t="s">
        <v>84</v>
      </c>
      <c r="C85" s="11" t="s">
        <v>100</v>
      </c>
      <c r="D85" s="11" t="s">
        <v>81</v>
      </c>
      <c r="E85" s="11" t="s">
        <v>1493</v>
      </c>
    </row>
    <row r="86" spans="1:5" ht="25.5" x14ac:dyDescent="0.2">
      <c r="A86" s="11">
        <v>85</v>
      </c>
      <c r="B86" s="11" t="s">
        <v>84</v>
      </c>
      <c r="C86" s="11" t="s">
        <v>113</v>
      </c>
      <c r="D86" s="11" t="s">
        <v>81</v>
      </c>
      <c r="E86" s="11" t="s">
        <v>1510</v>
      </c>
    </row>
    <row r="87" spans="1:5" x14ac:dyDescent="0.2">
      <c r="A87" s="11">
        <v>86</v>
      </c>
      <c r="B87" s="33" t="s">
        <v>80</v>
      </c>
      <c r="C87" s="33"/>
      <c r="D87" s="33"/>
      <c r="E87" s="33"/>
    </row>
    <row r="88" spans="1:5" ht="25.5" x14ac:dyDescent="0.2">
      <c r="A88" s="11">
        <v>87</v>
      </c>
      <c r="B88" s="11" t="s">
        <v>84</v>
      </c>
      <c r="C88" s="11" t="s">
        <v>100</v>
      </c>
      <c r="D88" s="11" t="s">
        <v>81</v>
      </c>
      <c r="E88" s="11" t="s">
        <v>1524</v>
      </c>
    </row>
    <row r="89" spans="1:5" x14ac:dyDescent="0.2">
      <c r="A89" s="11">
        <v>88</v>
      </c>
      <c r="B89" s="11" t="s">
        <v>84</v>
      </c>
      <c r="C89" s="11" t="s">
        <v>113</v>
      </c>
      <c r="D89" s="11" t="s">
        <v>81</v>
      </c>
    </row>
    <row r="90" spans="1:5" x14ac:dyDescent="0.2">
      <c r="A90" s="11">
        <v>89</v>
      </c>
      <c r="B90" s="11" t="s">
        <v>84</v>
      </c>
      <c r="C90" s="11" t="s">
        <v>100</v>
      </c>
      <c r="D90" s="11" t="s">
        <v>81</v>
      </c>
      <c r="E90" s="11" t="s">
        <v>1538</v>
      </c>
    </row>
    <row r="91" spans="1:5" x14ac:dyDescent="0.2">
      <c r="A91" s="11">
        <v>90</v>
      </c>
      <c r="B91" s="11" t="s">
        <v>82</v>
      </c>
      <c r="C91" s="11" t="s">
        <v>112</v>
      </c>
      <c r="D91" s="11" t="s">
        <v>246</v>
      </c>
    </row>
    <row r="92" spans="1:5" x14ac:dyDescent="0.2">
      <c r="A92" s="11">
        <v>91</v>
      </c>
      <c r="B92" s="33" t="s">
        <v>80</v>
      </c>
      <c r="C92" s="33"/>
      <c r="D92" s="33"/>
      <c r="E92" s="33"/>
    </row>
    <row r="93" spans="1:5" x14ac:dyDescent="0.2">
      <c r="A93" s="11">
        <v>92</v>
      </c>
      <c r="B93" s="11" t="s">
        <v>84</v>
      </c>
      <c r="C93" s="11" t="s">
        <v>100</v>
      </c>
      <c r="D93" s="11" t="s">
        <v>81</v>
      </c>
    </row>
    <row r="94" spans="1:5" x14ac:dyDescent="0.2">
      <c r="A94" s="11">
        <v>93</v>
      </c>
      <c r="B94" s="11" t="s">
        <v>82</v>
      </c>
      <c r="C94" s="11" t="s">
        <v>100</v>
      </c>
      <c r="D94" s="11" t="s">
        <v>246</v>
      </c>
    </row>
    <row r="95" spans="1:5" x14ac:dyDescent="0.2">
      <c r="A95" s="11">
        <v>94</v>
      </c>
      <c r="B95" s="11" t="s">
        <v>84</v>
      </c>
      <c r="C95" s="11" t="s">
        <v>113</v>
      </c>
      <c r="D95" s="11" t="s">
        <v>81</v>
      </c>
      <c r="E95" s="11" t="s">
        <v>1561</v>
      </c>
    </row>
    <row r="96" spans="1:5" ht="25.5" x14ac:dyDescent="0.2">
      <c r="A96" s="11">
        <v>95</v>
      </c>
      <c r="B96" s="11" t="s">
        <v>84</v>
      </c>
      <c r="C96" s="11" t="s">
        <v>100</v>
      </c>
      <c r="D96" s="11" t="s">
        <v>81</v>
      </c>
      <c r="E96" s="11" t="s">
        <v>1578</v>
      </c>
    </row>
    <row r="97" spans="1:5" x14ac:dyDescent="0.2">
      <c r="A97" s="11">
        <v>96</v>
      </c>
      <c r="B97" s="11" t="s">
        <v>84</v>
      </c>
      <c r="C97" s="11" t="s">
        <v>100</v>
      </c>
      <c r="D97" s="11" t="s">
        <v>81</v>
      </c>
      <c r="E97" s="64" t="s">
        <v>1590</v>
      </c>
    </row>
    <row r="98" spans="1:5" x14ac:dyDescent="0.2">
      <c r="A98" s="11">
        <v>97</v>
      </c>
      <c r="B98" s="11" t="s">
        <v>84</v>
      </c>
      <c r="C98" s="11" t="s">
        <v>100</v>
      </c>
      <c r="D98" s="11" t="s">
        <v>81</v>
      </c>
      <c r="E98" s="11" t="s">
        <v>1604</v>
      </c>
    </row>
    <row r="99" spans="1:5" x14ac:dyDescent="0.2">
      <c r="A99" s="11">
        <v>98</v>
      </c>
      <c r="B99" s="11" t="s">
        <v>84</v>
      </c>
      <c r="C99" s="11" t="s">
        <v>100</v>
      </c>
      <c r="D99" s="11" t="s">
        <v>81</v>
      </c>
      <c r="E99" s="11" t="s">
        <v>1613</v>
      </c>
    </row>
    <row r="100" spans="1:5" x14ac:dyDescent="0.2">
      <c r="A100" s="11">
        <v>99</v>
      </c>
      <c r="B100" s="11" t="s">
        <v>84</v>
      </c>
      <c r="C100" s="11" t="s">
        <v>113</v>
      </c>
      <c r="D100" s="11" t="s">
        <v>81</v>
      </c>
      <c r="E100" s="11" t="s">
        <v>1623</v>
      </c>
    </row>
    <row r="101" spans="1:5" x14ac:dyDescent="0.2">
      <c r="A101" s="11">
        <v>100</v>
      </c>
      <c r="B101" s="11" t="s">
        <v>84</v>
      </c>
      <c r="C101" s="11" t="s">
        <v>100</v>
      </c>
      <c r="D101" s="11" t="s">
        <v>81</v>
      </c>
    </row>
    <row r="102" spans="1:5" ht="25.5" x14ac:dyDescent="0.2">
      <c r="A102" s="11">
        <v>101</v>
      </c>
      <c r="B102" s="11" t="s">
        <v>84</v>
      </c>
      <c r="C102" s="11" t="s">
        <v>113</v>
      </c>
      <c r="D102" s="11" t="s">
        <v>81</v>
      </c>
      <c r="E102" s="11" t="s">
        <v>1646</v>
      </c>
    </row>
    <row r="103" spans="1:5" x14ac:dyDescent="0.2">
      <c r="A103" s="11">
        <v>102</v>
      </c>
      <c r="B103" s="11" t="s">
        <v>84</v>
      </c>
      <c r="C103" s="11" t="s">
        <v>100</v>
      </c>
      <c r="D103" s="11" t="s">
        <v>81</v>
      </c>
      <c r="E103" s="64" t="s">
        <v>4117</v>
      </c>
    </row>
    <row r="104" spans="1:5" x14ac:dyDescent="0.2">
      <c r="A104" s="11">
        <v>103</v>
      </c>
      <c r="B104" s="11" t="s">
        <v>84</v>
      </c>
      <c r="C104" s="11" t="s">
        <v>113</v>
      </c>
      <c r="D104" s="11" t="s">
        <v>246</v>
      </c>
    </row>
    <row r="105" spans="1:5" x14ac:dyDescent="0.2">
      <c r="A105" s="11">
        <v>104</v>
      </c>
      <c r="B105" s="11" t="s">
        <v>84</v>
      </c>
      <c r="C105" s="11" t="s">
        <v>100</v>
      </c>
      <c r="D105" s="11" t="s">
        <v>246</v>
      </c>
    </row>
    <row r="106" spans="1:5" ht="25.5" x14ac:dyDescent="0.2">
      <c r="A106" s="11">
        <v>105</v>
      </c>
      <c r="B106" s="11" t="s">
        <v>84</v>
      </c>
      <c r="C106" s="11" t="s">
        <v>113</v>
      </c>
      <c r="D106" s="11" t="s">
        <v>81</v>
      </c>
      <c r="E106" s="11" t="s">
        <v>1669</v>
      </c>
    </row>
    <row r="107" spans="1:5" x14ac:dyDescent="0.2">
      <c r="A107" s="11">
        <v>106</v>
      </c>
      <c r="B107" s="11" t="s">
        <v>84</v>
      </c>
      <c r="C107" s="11" t="s">
        <v>100</v>
      </c>
      <c r="D107" s="11" t="s">
        <v>81</v>
      </c>
    </row>
    <row r="108" spans="1:5" x14ac:dyDescent="0.2">
      <c r="A108" s="11">
        <v>107</v>
      </c>
      <c r="B108" s="11" t="s">
        <v>84</v>
      </c>
      <c r="C108" s="11" t="s">
        <v>100</v>
      </c>
      <c r="D108" s="11" t="s">
        <v>81</v>
      </c>
    </row>
    <row r="109" spans="1:5" x14ac:dyDescent="0.2">
      <c r="A109" s="11">
        <v>108</v>
      </c>
      <c r="B109" s="11" t="s">
        <v>84</v>
      </c>
      <c r="C109" s="11" t="s">
        <v>113</v>
      </c>
      <c r="D109" s="11" t="s">
        <v>81</v>
      </c>
    </row>
    <row r="110" spans="1:5" ht="51" x14ac:dyDescent="0.2">
      <c r="A110" s="11">
        <v>109</v>
      </c>
      <c r="B110" s="11" t="s">
        <v>84</v>
      </c>
      <c r="C110" s="11" t="s">
        <v>100</v>
      </c>
      <c r="D110" s="11" t="s">
        <v>81</v>
      </c>
      <c r="E110" s="11" t="s">
        <v>1696</v>
      </c>
    </row>
    <row r="111" spans="1:5" x14ac:dyDescent="0.2">
      <c r="A111" s="11">
        <v>110</v>
      </c>
      <c r="B111" s="11" t="s">
        <v>84</v>
      </c>
      <c r="C111" s="11" t="s">
        <v>113</v>
      </c>
      <c r="D111" s="11" t="s">
        <v>81</v>
      </c>
    </row>
    <row r="112" spans="1:5" ht="38.25" x14ac:dyDescent="0.2">
      <c r="A112" s="11">
        <v>111</v>
      </c>
      <c r="B112" s="11" t="s">
        <v>84</v>
      </c>
      <c r="C112" s="11" t="s">
        <v>113</v>
      </c>
      <c r="D112" s="11" t="s">
        <v>81</v>
      </c>
      <c r="E112" s="11" t="s">
        <v>3857</v>
      </c>
    </row>
    <row r="113" spans="1:5" x14ac:dyDescent="0.2">
      <c r="A113" s="11">
        <v>112</v>
      </c>
      <c r="B113" s="11" t="s">
        <v>84</v>
      </c>
      <c r="C113" s="11" t="s">
        <v>100</v>
      </c>
      <c r="D113" s="11" t="s">
        <v>81</v>
      </c>
      <c r="E113" s="11" t="s">
        <v>1719</v>
      </c>
    </row>
    <row r="114" spans="1:5" x14ac:dyDescent="0.2">
      <c r="A114" s="11">
        <v>113</v>
      </c>
      <c r="B114" s="33" t="s">
        <v>80</v>
      </c>
      <c r="C114" s="33"/>
      <c r="D114" s="33"/>
      <c r="E114" s="33"/>
    </row>
    <row r="115" spans="1:5" x14ac:dyDescent="0.2">
      <c r="A115" s="11">
        <v>114</v>
      </c>
      <c r="B115" s="11" t="s">
        <v>84</v>
      </c>
      <c r="C115" s="11" t="s">
        <v>100</v>
      </c>
      <c r="D115" s="11" t="s">
        <v>81</v>
      </c>
    </row>
    <row r="116" spans="1:5" ht="25.5" x14ac:dyDescent="0.2">
      <c r="A116" s="11">
        <v>115</v>
      </c>
      <c r="B116" s="11" t="s">
        <v>84</v>
      </c>
      <c r="C116" s="11" t="s">
        <v>113</v>
      </c>
      <c r="D116" s="11" t="s">
        <v>81</v>
      </c>
      <c r="E116" s="11" t="s">
        <v>1735</v>
      </c>
    </row>
    <row r="117" spans="1:5" x14ac:dyDescent="0.2">
      <c r="A117" s="11">
        <v>116</v>
      </c>
      <c r="B117" s="11" t="s">
        <v>84</v>
      </c>
      <c r="C117" s="11" t="s">
        <v>93</v>
      </c>
      <c r="D117" s="11" t="s">
        <v>81</v>
      </c>
    </row>
    <row r="118" spans="1:5" ht="25.5" x14ac:dyDescent="0.2">
      <c r="A118" s="11">
        <v>117</v>
      </c>
      <c r="B118" s="11" t="s">
        <v>84</v>
      </c>
      <c r="C118" s="11" t="s">
        <v>112</v>
      </c>
      <c r="D118" s="11" t="s">
        <v>81</v>
      </c>
      <c r="E118" s="11" t="s">
        <v>1755</v>
      </c>
    </row>
    <row r="119" spans="1:5" x14ac:dyDescent="0.2">
      <c r="A119" s="11">
        <v>118</v>
      </c>
      <c r="B119" s="11" t="s">
        <v>84</v>
      </c>
      <c r="C119" s="11" t="s">
        <v>113</v>
      </c>
      <c r="D119" s="11" t="s">
        <v>81</v>
      </c>
    </row>
    <row r="120" spans="1:5" x14ac:dyDescent="0.2">
      <c r="A120" s="11">
        <v>119</v>
      </c>
      <c r="B120" s="11" t="s">
        <v>84</v>
      </c>
      <c r="C120" s="11" t="s">
        <v>100</v>
      </c>
      <c r="D120" s="11" t="s">
        <v>81</v>
      </c>
    </row>
    <row r="121" spans="1:5" x14ac:dyDescent="0.2">
      <c r="A121" s="11">
        <v>120</v>
      </c>
      <c r="B121" s="11" t="s">
        <v>84</v>
      </c>
      <c r="C121" s="11" t="s">
        <v>113</v>
      </c>
      <c r="D121" s="11" t="s">
        <v>81</v>
      </c>
      <c r="E121" s="11" t="s">
        <v>1783</v>
      </c>
    </row>
    <row r="122" spans="1:5" ht="25.5" x14ac:dyDescent="0.2">
      <c r="A122" s="11">
        <v>121</v>
      </c>
      <c r="B122" s="11" t="s">
        <v>84</v>
      </c>
      <c r="C122" s="11" t="s">
        <v>113</v>
      </c>
      <c r="D122" s="11" t="s">
        <v>81</v>
      </c>
      <c r="E122" s="11" t="s">
        <v>4118</v>
      </c>
    </row>
    <row r="123" spans="1:5" x14ac:dyDescent="0.2">
      <c r="A123" s="11">
        <v>122</v>
      </c>
      <c r="B123" s="11" t="s">
        <v>84</v>
      </c>
      <c r="C123" s="11" t="s">
        <v>113</v>
      </c>
      <c r="D123" s="11" t="s">
        <v>81</v>
      </c>
    </row>
    <row r="124" spans="1:5" x14ac:dyDescent="0.2">
      <c r="A124" s="11">
        <v>123</v>
      </c>
      <c r="B124" s="11" t="s">
        <v>84</v>
      </c>
      <c r="C124" s="11" t="s">
        <v>113</v>
      </c>
      <c r="D124" s="11" t="s">
        <v>81</v>
      </c>
      <c r="E124" s="64" t="s">
        <v>1812</v>
      </c>
    </row>
    <row r="125" spans="1:5" ht="25.5" x14ac:dyDescent="0.2">
      <c r="A125" s="11">
        <v>124</v>
      </c>
      <c r="B125" s="11" t="s">
        <v>84</v>
      </c>
      <c r="C125" s="11" t="s">
        <v>113</v>
      </c>
      <c r="D125" s="11" t="s">
        <v>81</v>
      </c>
      <c r="E125" s="11" t="s">
        <v>1824</v>
      </c>
    </row>
    <row r="126" spans="1:5" x14ac:dyDescent="0.2">
      <c r="A126" s="11">
        <v>125</v>
      </c>
      <c r="B126" s="11" t="s">
        <v>84</v>
      </c>
      <c r="C126" s="11" t="s">
        <v>113</v>
      </c>
      <c r="D126" s="11" t="s">
        <v>81</v>
      </c>
    </row>
    <row r="127" spans="1:5" x14ac:dyDescent="0.2">
      <c r="A127" s="11">
        <v>126</v>
      </c>
      <c r="B127" s="11" t="s">
        <v>84</v>
      </c>
      <c r="C127" s="11" t="s">
        <v>340</v>
      </c>
      <c r="D127" s="11" t="s">
        <v>81</v>
      </c>
      <c r="E127" s="11" t="s">
        <v>1841</v>
      </c>
    </row>
    <row r="128" spans="1:5" ht="25.5" x14ac:dyDescent="0.2">
      <c r="A128" s="11">
        <v>127</v>
      </c>
      <c r="B128" s="11" t="s">
        <v>84</v>
      </c>
      <c r="C128" s="11" t="s">
        <v>100</v>
      </c>
      <c r="D128" s="11" t="s">
        <v>81</v>
      </c>
      <c r="E128" s="11" t="s">
        <v>1847</v>
      </c>
    </row>
    <row r="129" spans="1:5" ht="51" x14ac:dyDescent="0.2">
      <c r="A129" s="11">
        <v>128</v>
      </c>
      <c r="B129" s="11" t="s">
        <v>84</v>
      </c>
      <c r="C129" s="11" t="s">
        <v>100</v>
      </c>
      <c r="D129" s="11" t="s">
        <v>81</v>
      </c>
      <c r="E129" s="11" t="s">
        <v>4119</v>
      </c>
    </row>
    <row r="130" spans="1:5" ht="25.5" x14ac:dyDescent="0.2">
      <c r="A130" s="11">
        <v>129</v>
      </c>
      <c r="B130" s="11" t="s">
        <v>84</v>
      </c>
      <c r="C130" s="11" t="s">
        <v>100</v>
      </c>
      <c r="D130" s="11" t="s">
        <v>81</v>
      </c>
      <c r="E130" s="11" t="s">
        <v>1872</v>
      </c>
    </row>
    <row r="131" spans="1:5" x14ac:dyDescent="0.2">
      <c r="A131" s="11">
        <v>130</v>
      </c>
      <c r="B131" s="11" t="s">
        <v>84</v>
      </c>
      <c r="C131" s="11" t="s">
        <v>100</v>
      </c>
      <c r="D131" s="11" t="s">
        <v>81</v>
      </c>
    </row>
    <row r="132" spans="1:5" x14ac:dyDescent="0.2">
      <c r="A132" s="11">
        <v>131</v>
      </c>
      <c r="B132" s="11" t="s">
        <v>82</v>
      </c>
      <c r="C132" s="11" t="s">
        <v>340</v>
      </c>
      <c r="D132" s="11" t="s">
        <v>81</v>
      </c>
    </row>
    <row r="133" spans="1:5" ht="25.5" x14ac:dyDescent="0.2">
      <c r="A133" s="11">
        <v>132</v>
      </c>
      <c r="B133" s="11" t="s">
        <v>84</v>
      </c>
      <c r="C133" s="11" t="s">
        <v>100</v>
      </c>
      <c r="D133" s="11" t="s">
        <v>81</v>
      </c>
      <c r="E133" s="11" t="s">
        <v>1900</v>
      </c>
    </row>
    <row r="134" spans="1:5" x14ac:dyDescent="0.2">
      <c r="A134" s="11">
        <v>133</v>
      </c>
      <c r="B134" s="11" t="s">
        <v>84</v>
      </c>
      <c r="C134" s="11" t="s">
        <v>113</v>
      </c>
      <c r="D134" s="11" t="s">
        <v>246</v>
      </c>
    </row>
    <row r="135" spans="1:5" x14ac:dyDescent="0.2">
      <c r="A135" s="11">
        <v>134</v>
      </c>
      <c r="B135" s="11" t="s">
        <v>84</v>
      </c>
      <c r="C135" s="11" t="s">
        <v>113</v>
      </c>
      <c r="D135" s="11" t="s">
        <v>81</v>
      </c>
      <c r="E135" s="11" t="s">
        <v>4120</v>
      </c>
    </row>
    <row r="136" spans="1:5" ht="25.5" x14ac:dyDescent="0.2">
      <c r="A136" s="11">
        <v>135</v>
      </c>
      <c r="B136" s="11" t="s">
        <v>84</v>
      </c>
      <c r="C136" s="11" t="s">
        <v>113</v>
      </c>
      <c r="D136" s="11" t="s">
        <v>81</v>
      </c>
      <c r="E136" s="11" t="s">
        <v>2277</v>
      </c>
    </row>
    <row r="137" spans="1:5" ht="63.75" x14ac:dyDescent="0.2">
      <c r="A137" s="11">
        <v>136</v>
      </c>
      <c r="B137" s="11" t="s">
        <v>84</v>
      </c>
      <c r="C137" s="11" t="s">
        <v>100</v>
      </c>
      <c r="D137" s="11" t="s">
        <v>246</v>
      </c>
      <c r="E137" s="11" t="s">
        <v>2282</v>
      </c>
    </row>
    <row r="138" spans="1:5" x14ac:dyDescent="0.2">
      <c r="A138" s="11">
        <v>137</v>
      </c>
      <c r="B138" s="11" t="s">
        <v>84</v>
      </c>
      <c r="C138" s="11" t="s">
        <v>100</v>
      </c>
      <c r="D138" s="11" t="s">
        <v>81</v>
      </c>
    </row>
    <row r="139" spans="1:5" x14ac:dyDescent="0.2">
      <c r="A139" s="11">
        <v>138</v>
      </c>
      <c r="B139" s="33" t="s">
        <v>80</v>
      </c>
      <c r="C139" s="33"/>
      <c r="D139" s="33"/>
      <c r="E139" s="33"/>
    </row>
    <row r="140" spans="1:5" ht="76.5" x14ac:dyDescent="0.2">
      <c r="A140" s="11">
        <v>139</v>
      </c>
      <c r="B140" s="11" t="s">
        <v>84</v>
      </c>
      <c r="C140" s="11" t="s">
        <v>113</v>
      </c>
      <c r="D140" s="11" t="s">
        <v>81</v>
      </c>
      <c r="E140" s="11" t="s">
        <v>2286</v>
      </c>
    </row>
    <row r="141" spans="1:5" x14ac:dyDescent="0.2">
      <c r="A141" s="11">
        <v>140</v>
      </c>
      <c r="B141" s="11" t="s">
        <v>84</v>
      </c>
      <c r="C141" s="11" t="s">
        <v>113</v>
      </c>
      <c r="D141" s="11" t="s">
        <v>81</v>
      </c>
    </row>
    <row r="142" spans="1:5" x14ac:dyDescent="0.2">
      <c r="A142" s="11">
        <v>141</v>
      </c>
      <c r="B142" s="11" t="s">
        <v>84</v>
      </c>
      <c r="C142" s="11" t="s">
        <v>100</v>
      </c>
      <c r="D142" s="11" t="s">
        <v>81</v>
      </c>
      <c r="E142" s="64" t="s">
        <v>2294</v>
      </c>
    </row>
    <row r="143" spans="1:5" x14ac:dyDescent="0.2">
      <c r="A143" s="11">
        <v>142</v>
      </c>
      <c r="B143" s="33" t="s">
        <v>84</v>
      </c>
      <c r="C143" s="33" t="s">
        <v>100</v>
      </c>
      <c r="D143" s="33" t="s">
        <v>81</v>
      </c>
      <c r="E143" s="33" t="s">
        <v>2298</v>
      </c>
    </row>
    <row r="144" spans="1:5" x14ac:dyDescent="0.2">
      <c r="A144" s="11">
        <v>143</v>
      </c>
      <c r="B144" s="11" t="s">
        <v>82</v>
      </c>
      <c r="C144" s="11" t="s">
        <v>112</v>
      </c>
      <c r="D144" s="11" t="s">
        <v>81</v>
      </c>
    </row>
    <row r="145" spans="1:5" ht="38.25" x14ac:dyDescent="0.2">
      <c r="A145" s="11">
        <v>144</v>
      </c>
      <c r="B145" s="11" t="s">
        <v>84</v>
      </c>
      <c r="C145" s="11" t="s">
        <v>113</v>
      </c>
      <c r="D145" s="11" t="s">
        <v>81</v>
      </c>
      <c r="E145" s="11" t="s">
        <v>2299</v>
      </c>
    </row>
    <row r="146" spans="1:5" ht="38.25" x14ac:dyDescent="0.2">
      <c r="A146" s="11">
        <v>145</v>
      </c>
      <c r="B146" s="11" t="s">
        <v>84</v>
      </c>
      <c r="C146" s="11" t="s">
        <v>112</v>
      </c>
      <c r="D146" s="11" t="s">
        <v>81</v>
      </c>
      <c r="E146" s="11" t="s">
        <v>2306</v>
      </c>
    </row>
    <row r="147" spans="1:5" x14ac:dyDescent="0.2">
      <c r="A147" s="11">
        <v>146</v>
      </c>
      <c r="B147" s="11" t="s">
        <v>84</v>
      </c>
      <c r="C147" s="11" t="s">
        <v>112</v>
      </c>
      <c r="D147" s="11" t="s">
        <v>81</v>
      </c>
    </row>
    <row r="148" spans="1:5" x14ac:dyDescent="0.2">
      <c r="A148" s="11">
        <v>147</v>
      </c>
      <c r="B148" s="11" t="s">
        <v>84</v>
      </c>
      <c r="C148" s="11" t="s">
        <v>100</v>
      </c>
      <c r="D148" s="11" t="s">
        <v>81</v>
      </c>
      <c r="E148" s="11" t="s">
        <v>2310</v>
      </c>
    </row>
    <row r="149" spans="1:5" x14ac:dyDescent="0.2">
      <c r="A149" s="11">
        <v>148</v>
      </c>
      <c r="B149" s="11" t="s">
        <v>84</v>
      </c>
      <c r="C149" s="11" t="s">
        <v>100</v>
      </c>
      <c r="D149" s="11" t="s">
        <v>81</v>
      </c>
      <c r="E149" s="11" t="s">
        <v>2312</v>
      </c>
    </row>
    <row r="150" spans="1:5" ht="25.5" x14ac:dyDescent="0.2">
      <c r="A150" s="11">
        <v>149</v>
      </c>
      <c r="B150" s="11" t="s">
        <v>84</v>
      </c>
      <c r="C150" s="11" t="s">
        <v>93</v>
      </c>
      <c r="D150" s="11" t="s">
        <v>81</v>
      </c>
      <c r="E150" s="11" t="s">
        <v>2317</v>
      </c>
    </row>
    <row r="151" spans="1:5" x14ac:dyDescent="0.2">
      <c r="A151" s="11">
        <v>150</v>
      </c>
      <c r="B151" s="11" t="s">
        <v>84</v>
      </c>
      <c r="C151" s="11" t="s">
        <v>100</v>
      </c>
      <c r="D151" s="11" t="s">
        <v>81</v>
      </c>
    </row>
    <row r="152" spans="1:5" x14ac:dyDescent="0.2">
      <c r="A152" s="11">
        <v>151</v>
      </c>
      <c r="B152" s="33" t="s">
        <v>82</v>
      </c>
      <c r="C152" s="33" t="s">
        <v>112</v>
      </c>
      <c r="D152" s="33" t="s">
        <v>81</v>
      </c>
      <c r="E152" s="33"/>
    </row>
    <row r="153" spans="1:5" ht="38.25" x14ac:dyDescent="0.2">
      <c r="A153" s="11">
        <v>152</v>
      </c>
      <c r="B153" s="11" t="s">
        <v>84</v>
      </c>
      <c r="C153" s="11" t="s">
        <v>112</v>
      </c>
      <c r="D153" s="11" t="s">
        <v>81</v>
      </c>
      <c r="E153" s="19" t="s">
        <v>3858</v>
      </c>
    </row>
    <row r="154" spans="1:5" x14ac:dyDescent="0.2">
      <c r="A154" s="11">
        <v>153</v>
      </c>
      <c r="B154" s="11" t="s">
        <v>84</v>
      </c>
      <c r="C154" s="11" t="s">
        <v>113</v>
      </c>
      <c r="D154" s="11" t="s">
        <v>81</v>
      </c>
    </row>
    <row r="155" spans="1:5" x14ac:dyDescent="0.2">
      <c r="A155" s="11">
        <v>154</v>
      </c>
      <c r="B155" s="11" t="s">
        <v>82</v>
      </c>
      <c r="C155" s="11" t="s">
        <v>340</v>
      </c>
      <c r="D155" s="11" t="s">
        <v>81</v>
      </c>
    </row>
    <row r="156" spans="1:5" x14ac:dyDescent="0.2">
      <c r="A156" s="11">
        <v>155</v>
      </c>
      <c r="B156" s="11" t="s">
        <v>84</v>
      </c>
      <c r="C156" s="11" t="s">
        <v>112</v>
      </c>
      <c r="D156" s="11" t="s">
        <v>81</v>
      </c>
    </row>
    <row r="157" spans="1:5" ht="25.5" x14ac:dyDescent="0.2">
      <c r="A157" s="11">
        <v>156</v>
      </c>
      <c r="B157" s="11" t="s">
        <v>84</v>
      </c>
      <c r="C157" s="11" t="s">
        <v>113</v>
      </c>
      <c r="D157" s="11" t="s">
        <v>81</v>
      </c>
      <c r="E157" s="11" t="s">
        <v>2333</v>
      </c>
    </row>
    <row r="158" spans="1:5" ht="25.5" x14ac:dyDescent="0.2">
      <c r="A158" s="11">
        <v>157</v>
      </c>
      <c r="B158" s="11" t="s">
        <v>84</v>
      </c>
      <c r="C158" s="11" t="s">
        <v>100</v>
      </c>
      <c r="D158" s="11" t="s">
        <v>81</v>
      </c>
      <c r="E158" s="64" t="s">
        <v>2338</v>
      </c>
    </row>
    <row r="159" spans="1:5" ht="38.25" x14ac:dyDescent="0.2">
      <c r="A159" s="11">
        <v>158</v>
      </c>
      <c r="B159" s="11" t="s">
        <v>84</v>
      </c>
      <c r="C159" s="11" t="s">
        <v>100</v>
      </c>
      <c r="D159" s="11" t="s">
        <v>81</v>
      </c>
      <c r="E159" s="11" t="s">
        <v>2342</v>
      </c>
    </row>
    <row r="160" spans="1:5" x14ac:dyDescent="0.2">
      <c r="A160" s="11">
        <v>159</v>
      </c>
      <c r="B160" s="11" t="s">
        <v>84</v>
      </c>
      <c r="C160" s="11" t="s">
        <v>113</v>
      </c>
      <c r="D160" s="11" t="s">
        <v>81</v>
      </c>
    </row>
    <row r="161" spans="1:5" ht="25.5" x14ac:dyDescent="0.2">
      <c r="A161" s="11">
        <v>160</v>
      </c>
      <c r="B161" s="11" t="s">
        <v>84</v>
      </c>
      <c r="C161" s="11" t="s">
        <v>100</v>
      </c>
      <c r="D161" s="11" t="s">
        <v>81</v>
      </c>
      <c r="E161" s="11" t="s">
        <v>2347</v>
      </c>
    </row>
    <row r="162" spans="1:5" x14ac:dyDescent="0.2">
      <c r="A162" s="11">
        <v>161</v>
      </c>
      <c r="B162" s="11" t="s">
        <v>84</v>
      </c>
      <c r="C162" s="11" t="s">
        <v>100</v>
      </c>
      <c r="D162" s="11" t="s">
        <v>81</v>
      </c>
      <c r="E162" s="11" t="s">
        <v>2352</v>
      </c>
    </row>
    <row r="163" spans="1:5" ht="25.5" x14ac:dyDescent="0.2">
      <c r="A163" s="11">
        <v>162</v>
      </c>
      <c r="B163" s="11" t="s">
        <v>84</v>
      </c>
      <c r="C163" s="11" t="s">
        <v>113</v>
      </c>
      <c r="D163" s="11" t="s">
        <v>81</v>
      </c>
      <c r="E163" s="11" t="s">
        <v>2359</v>
      </c>
    </row>
    <row r="164" spans="1:5" x14ac:dyDescent="0.2">
      <c r="A164" s="11">
        <v>163</v>
      </c>
      <c r="B164" s="11" t="s">
        <v>84</v>
      </c>
      <c r="C164" s="11" t="s">
        <v>113</v>
      </c>
      <c r="D164" s="11" t="s">
        <v>81</v>
      </c>
      <c r="E164" s="11" t="s">
        <v>2365</v>
      </c>
    </row>
    <row r="165" spans="1:5" x14ac:dyDescent="0.2">
      <c r="A165" s="11">
        <v>164</v>
      </c>
      <c r="B165" s="11" t="s">
        <v>84</v>
      </c>
      <c r="C165" s="11" t="s">
        <v>113</v>
      </c>
      <c r="D165" s="11" t="s">
        <v>81</v>
      </c>
    </row>
    <row r="166" spans="1:5" ht="25.5" x14ac:dyDescent="0.2">
      <c r="A166" s="11">
        <v>165</v>
      </c>
      <c r="B166" s="11" t="s">
        <v>84</v>
      </c>
      <c r="C166" s="11" t="s">
        <v>113</v>
      </c>
      <c r="D166" s="11" t="s">
        <v>81</v>
      </c>
      <c r="E166" s="64" t="s">
        <v>2371</v>
      </c>
    </row>
    <row r="167" spans="1:5" ht="38.25" x14ac:dyDescent="0.2">
      <c r="A167" s="11">
        <v>166</v>
      </c>
      <c r="B167" s="11" t="s">
        <v>84</v>
      </c>
      <c r="C167" s="11" t="s">
        <v>100</v>
      </c>
      <c r="D167" s="11" t="s">
        <v>81</v>
      </c>
      <c r="E167" s="11" t="s">
        <v>2378</v>
      </c>
    </row>
    <row r="168" spans="1:5" x14ac:dyDescent="0.2">
      <c r="A168" s="11">
        <v>167</v>
      </c>
      <c r="B168" s="11" t="s">
        <v>84</v>
      </c>
      <c r="C168" s="11" t="s">
        <v>112</v>
      </c>
      <c r="D168" s="11" t="s">
        <v>81</v>
      </c>
    </row>
    <row r="169" spans="1:5" x14ac:dyDescent="0.2">
      <c r="A169" s="11">
        <v>168</v>
      </c>
      <c r="B169" s="11" t="s">
        <v>84</v>
      </c>
      <c r="C169" s="11" t="s">
        <v>93</v>
      </c>
      <c r="D169" s="11" t="s">
        <v>81</v>
      </c>
    </row>
    <row r="170" spans="1:5" ht="25.5" x14ac:dyDescent="0.2">
      <c r="A170" s="11">
        <v>169</v>
      </c>
      <c r="B170" s="11" t="s">
        <v>84</v>
      </c>
      <c r="C170" s="11" t="s">
        <v>100</v>
      </c>
      <c r="D170" s="11" t="s">
        <v>81</v>
      </c>
      <c r="E170" s="11" t="s">
        <v>2384</v>
      </c>
    </row>
    <row r="171" spans="1:5" x14ac:dyDescent="0.2">
      <c r="A171" s="11">
        <v>170</v>
      </c>
      <c r="B171" s="11" t="s">
        <v>84</v>
      </c>
      <c r="C171" s="11" t="s">
        <v>100</v>
      </c>
      <c r="D171" s="11" t="s">
        <v>81</v>
      </c>
      <c r="E171" s="11" t="s">
        <v>2390</v>
      </c>
    </row>
    <row r="172" spans="1:5" x14ac:dyDescent="0.2">
      <c r="A172" s="11">
        <v>171</v>
      </c>
      <c r="B172" s="11" t="s">
        <v>84</v>
      </c>
      <c r="C172" s="11" t="s">
        <v>113</v>
      </c>
      <c r="D172" s="11" t="s">
        <v>81</v>
      </c>
    </row>
    <row r="173" spans="1:5" x14ac:dyDescent="0.2">
      <c r="A173" s="11">
        <v>172</v>
      </c>
      <c r="B173" s="11" t="s">
        <v>84</v>
      </c>
      <c r="C173" s="11" t="s">
        <v>113</v>
      </c>
      <c r="D173" s="11" t="s">
        <v>81</v>
      </c>
      <c r="E173" s="11" t="s">
        <v>2400</v>
      </c>
    </row>
    <row r="174" spans="1:5" ht="51" x14ac:dyDescent="0.2">
      <c r="A174" s="11">
        <v>173</v>
      </c>
      <c r="B174" s="11" t="s">
        <v>84</v>
      </c>
      <c r="C174" s="11" t="s">
        <v>113</v>
      </c>
      <c r="D174" s="11" t="s">
        <v>81</v>
      </c>
      <c r="E174" s="11" t="s">
        <v>3853</v>
      </c>
    </row>
    <row r="175" spans="1:5" x14ac:dyDescent="0.2">
      <c r="A175" s="11">
        <v>174</v>
      </c>
      <c r="B175" s="11" t="s">
        <v>84</v>
      </c>
      <c r="C175" s="11" t="s">
        <v>112</v>
      </c>
      <c r="D175" s="11" t="s">
        <v>81</v>
      </c>
    </row>
    <row r="176" spans="1:5" ht="51" x14ac:dyDescent="0.2">
      <c r="A176" s="11">
        <v>175</v>
      </c>
      <c r="B176" s="11" t="s">
        <v>84</v>
      </c>
      <c r="C176" s="11" t="s">
        <v>100</v>
      </c>
      <c r="D176" s="11" t="s">
        <v>246</v>
      </c>
      <c r="E176" s="11" t="s">
        <v>2416</v>
      </c>
    </row>
    <row r="177" spans="1:5" x14ac:dyDescent="0.2">
      <c r="A177" s="11">
        <v>176</v>
      </c>
      <c r="B177" s="11" t="s">
        <v>84</v>
      </c>
      <c r="C177" s="11" t="s">
        <v>100</v>
      </c>
      <c r="D177" s="11" t="s">
        <v>81</v>
      </c>
    </row>
    <row r="178" spans="1:5" x14ac:dyDescent="0.2">
      <c r="A178" s="11">
        <v>177</v>
      </c>
      <c r="B178" s="11" t="s">
        <v>84</v>
      </c>
      <c r="C178" s="11" t="s">
        <v>100</v>
      </c>
      <c r="D178" s="11" t="s">
        <v>81</v>
      </c>
      <c r="E178" s="11" t="s">
        <v>2423</v>
      </c>
    </row>
    <row r="179" spans="1:5" x14ac:dyDescent="0.2">
      <c r="A179" s="11">
        <v>178</v>
      </c>
      <c r="B179" s="11" t="s">
        <v>84</v>
      </c>
      <c r="C179" s="11" t="s">
        <v>112</v>
      </c>
      <c r="D179" s="11" t="s">
        <v>81</v>
      </c>
    </row>
    <row r="180" spans="1:5" ht="25.5" x14ac:dyDescent="0.2">
      <c r="A180" s="11">
        <v>179</v>
      </c>
      <c r="B180" s="11" t="s">
        <v>84</v>
      </c>
      <c r="C180" s="11" t="s">
        <v>113</v>
      </c>
      <c r="D180" s="11" t="s">
        <v>81</v>
      </c>
      <c r="E180" s="11" t="s">
        <v>2433</v>
      </c>
    </row>
    <row r="181" spans="1:5" ht="38.25" x14ac:dyDescent="0.2">
      <c r="A181" s="11">
        <v>180</v>
      </c>
      <c r="B181" s="11" t="s">
        <v>84</v>
      </c>
      <c r="C181" s="11" t="s">
        <v>100</v>
      </c>
      <c r="D181" s="11" t="s">
        <v>81</v>
      </c>
      <c r="E181" s="11" t="s">
        <v>3854</v>
      </c>
    </row>
    <row r="182" spans="1:5" x14ac:dyDescent="0.2">
      <c r="A182" s="11">
        <v>181</v>
      </c>
      <c r="B182" s="11" t="s">
        <v>84</v>
      </c>
      <c r="C182" s="11" t="s">
        <v>100</v>
      </c>
      <c r="D182" s="11" t="s">
        <v>81</v>
      </c>
      <c r="E182" s="11" t="s">
        <v>2445</v>
      </c>
    </row>
    <row r="183" spans="1:5" x14ac:dyDescent="0.2">
      <c r="A183" s="11">
        <v>182</v>
      </c>
      <c r="B183" s="11" t="s">
        <v>84</v>
      </c>
      <c r="C183" s="11" t="s">
        <v>113</v>
      </c>
      <c r="D183" s="11" t="s">
        <v>81</v>
      </c>
    </row>
    <row r="184" spans="1:5" ht="102" x14ac:dyDescent="0.2">
      <c r="A184" s="11">
        <v>183</v>
      </c>
      <c r="B184" s="11" t="s">
        <v>84</v>
      </c>
      <c r="C184" s="11" t="s">
        <v>93</v>
      </c>
      <c r="D184" s="11" t="s">
        <v>81</v>
      </c>
      <c r="E184" s="64" t="s">
        <v>3855</v>
      </c>
    </row>
    <row r="185" spans="1:5" ht="25.5" x14ac:dyDescent="0.2">
      <c r="A185" s="11">
        <v>184</v>
      </c>
      <c r="B185" s="11" t="s">
        <v>84</v>
      </c>
      <c r="C185" s="11" t="s">
        <v>113</v>
      </c>
      <c r="D185" s="11" t="s">
        <v>81</v>
      </c>
      <c r="E185" s="11" t="s">
        <v>2457</v>
      </c>
    </row>
    <row r="186" spans="1:5" x14ac:dyDescent="0.2">
      <c r="A186" s="11">
        <v>185</v>
      </c>
      <c r="B186" s="11" t="s">
        <v>84</v>
      </c>
      <c r="C186" s="11" t="s">
        <v>113</v>
      </c>
      <c r="D186" s="11" t="s">
        <v>81</v>
      </c>
      <c r="E186" s="11" t="s">
        <v>2460</v>
      </c>
    </row>
    <row r="187" spans="1:5" ht="25.5" x14ac:dyDescent="0.2">
      <c r="A187" s="11">
        <v>186</v>
      </c>
      <c r="B187" s="11" t="s">
        <v>84</v>
      </c>
      <c r="C187" s="11" t="s">
        <v>100</v>
      </c>
      <c r="D187" s="11" t="s">
        <v>81</v>
      </c>
      <c r="E187" s="11" t="s">
        <v>2461</v>
      </c>
    </row>
    <row r="188" spans="1:5" x14ac:dyDescent="0.2">
      <c r="A188" s="11">
        <v>187</v>
      </c>
      <c r="B188" s="11" t="s">
        <v>84</v>
      </c>
      <c r="C188" s="11" t="s">
        <v>113</v>
      </c>
      <c r="D188" s="11" t="s">
        <v>81</v>
      </c>
    </row>
    <row r="189" spans="1:5" x14ac:dyDescent="0.2">
      <c r="A189" s="11">
        <v>188</v>
      </c>
      <c r="B189" s="11" t="s">
        <v>84</v>
      </c>
      <c r="C189" s="11" t="s">
        <v>100</v>
      </c>
      <c r="D189" s="11" t="s">
        <v>81</v>
      </c>
      <c r="E189" s="11" t="s">
        <v>4121</v>
      </c>
    </row>
    <row r="190" spans="1:5" x14ac:dyDescent="0.2">
      <c r="A190" s="11">
        <v>189</v>
      </c>
      <c r="B190" s="11" t="s">
        <v>84</v>
      </c>
      <c r="C190" s="11" t="s">
        <v>100</v>
      </c>
      <c r="D190" s="11" t="s">
        <v>81</v>
      </c>
    </row>
    <row r="191" spans="1:5" ht="38.25" x14ac:dyDescent="0.2">
      <c r="A191" s="11">
        <v>190</v>
      </c>
      <c r="B191" s="11" t="s">
        <v>84</v>
      </c>
      <c r="C191" s="11" t="s">
        <v>100</v>
      </c>
      <c r="D191" s="11" t="s">
        <v>81</v>
      </c>
      <c r="E191" s="64" t="s">
        <v>2468</v>
      </c>
    </row>
    <row r="192" spans="1:5" x14ac:dyDescent="0.2">
      <c r="A192" s="11">
        <v>191</v>
      </c>
      <c r="B192" s="11" t="s">
        <v>84</v>
      </c>
      <c r="C192" s="11" t="s">
        <v>113</v>
      </c>
      <c r="D192" s="11" t="s">
        <v>81</v>
      </c>
    </row>
    <row r="193" spans="1:5" x14ac:dyDescent="0.2">
      <c r="A193" s="11">
        <v>192</v>
      </c>
      <c r="B193" s="11" t="s">
        <v>84</v>
      </c>
      <c r="C193" s="11" t="s">
        <v>93</v>
      </c>
      <c r="D193" s="11" t="s">
        <v>81</v>
      </c>
    </row>
    <row r="194" spans="1:5" x14ac:dyDescent="0.2">
      <c r="A194" s="11">
        <v>193</v>
      </c>
      <c r="B194" s="11" t="s">
        <v>82</v>
      </c>
      <c r="C194" s="11" t="s">
        <v>100</v>
      </c>
      <c r="D194" s="11" t="s">
        <v>246</v>
      </c>
    </row>
    <row r="195" spans="1:5" x14ac:dyDescent="0.2">
      <c r="A195" s="11">
        <v>194</v>
      </c>
      <c r="B195" s="11" t="s">
        <v>84</v>
      </c>
      <c r="C195" s="11" t="s">
        <v>113</v>
      </c>
      <c r="D195" s="11" t="s">
        <v>246</v>
      </c>
    </row>
    <row r="196" spans="1:5" ht="25.5" x14ac:dyDescent="0.2">
      <c r="A196" s="11">
        <v>195</v>
      </c>
      <c r="B196" s="11" t="s">
        <v>84</v>
      </c>
      <c r="C196" s="11" t="s">
        <v>113</v>
      </c>
      <c r="D196" s="11" t="s">
        <v>81</v>
      </c>
      <c r="E196" s="11" t="s">
        <v>2499</v>
      </c>
    </row>
    <row r="197" spans="1:5" ht="25.5" x14ac:dyDescent="0.2">
      <c r="A197" s="11">
        <v>196</v>
      </c>
      <c r="B197" s="11" t="s">
        <v>84</v>
      </c>
      <c r="C197" s="11" t="s">
        <v>113</v>
      </c>
      <c r="D197" s="11" t="s">
        <v>81</v>
      </c>
      <c r="E197" s="11" t="s">
        <v>2510</v>
      </c>
    </row>
    <row r="198" spans="1:5" x14ac:dyDescent="0.2">
      <c r="A198" s="11">
        <v>197</v>
      </c>
      <c r="B198" s="33" t="s">
        <v>84</v>
      </c>
      <c r="C198" s="33" t="s">
        <v>93</v>
      </c>
      <c r="D198" s="33" t="s">
        <v>81</v>
      </c>
      <c r="E198" s="33" t="s">
        <v>2518</v>
      </c>
    </row>
    <row r="199" spans="1:5" x14ac:dyDescent="0.2">
      <c r="A199" s="11">
        <v>198</v>
      </c>
      <c r="B199" s="33" t="s">
        <v>80</v>
      </c>
      <c r="C199" s="33"/>
      <c r="D199" s="33"/>
      <c r="E199" s="33"/>
    </row>
    <row r="200" spans="1:5" x14ac:dyDescent="0.2">
      <c r="A200" s="11">
        <v>199</v>
      </c>
      <c r="B200" s="11" t="s">
        <v>84</v>
      </c>
      <c r="C200" s="11" t="s">
        <v>93</v>
      </c>
      <c r="D200" s="11" t="s">
        <v>81</v>
      </c>
    </row>
    <row r="201" spans="1:5" x14ac:dyDescent="0.2">
      <c r="A201" s="11">
        <v>200</v>
      </c>
      <c r="B201" s="11" t="s">
        <v>84</v>
      </c>
      <c r="C201" s="11" t="s">
        <v>113</v>
      </c>
      <c r="D201" s="11" t="s">
        <v>81</v>
      </c>
      <c r="E201" s="11" t="s">
        <v>2534</v>
      </c>
    </row>
    <row r="202" spans="1:5" x14ac:dyDescent="0.2">
      <c r="A202" s="11">
        <v>201</v>
      </c>
      <c r="B202" s="11" t="s">
        <v>84</v>
      </c>
      <c r="C202" s="11" t="s">
        <v>113</v>
      </c>
      <c r="D202" s="11" t="s">
        <v>81</v>
      </c>
    </row>
    <row r="203" spans="1:5" ht="38.25" x14ac:dyDescent="0.2">
      <c r="A203" s="11">
        <v>202</v>
      </c>
      <c r="B203" s="11" t="s">
        <v>84</v>
      </c>
      <c r="C203" s="11" t="s">
        <v>113</v>
      </c>
      <c r="D203" s="11" t="s">
        <v>81</v>
      </c>
      <c r="E203" s="11" t="s">
        <v>4122</v>
      </c>
    </row>
    <row r="204" spans="1:5" x14ac:dyDescent="0.2">
      <c r="A204" s="11">
        <v>203</v>
      </c>
      <c r="B204" s="11" t="s">
        <v>82</v>
      </c>
      <c r="C204" s="11" t="s">
        <v>100</v>
      </c>
      <c r="D204" s="11" t="s">
        <v>81</v>
      </c>
    </row>
    <row r="205" spans="1:5" x14ac:dyDescent="0.2">
      <c r="A205" s="11">
        <v>204</v>
      </c>
      <c r="B205" s="11" t="s">
        <v>84</v>
      </c>
      <c r="C205" s="11" t="s">
        <v>100</v>
      </c>
      <c r="D205" s="11" t="s">
        <v>246</v>
      </c>
    </row>
    <row r="206" spans="1:5" x14ac:dyDescent="0.2">
      <c r="A206" s="11">
        <v>205</v>
      </c>
      <c r="B206" s="11" t="s">
        <v>84</v>
      </c>
      <c r="C206" s="11" t="s">
        <v>93</v>
      </c>
      <c r="D206" s="11" t="s">
        <v>81</v>
      </c>
    </row>
    <row r="207" spans="1:5" x14ac:dyDescent="0.2">
      <c r="A207" s="11">
        <v>206</v>
      </c>
      <c r="B207" s="33" t="s">
        <v>84</v>
      </c>
      <c r="C207" s="33" t="s">
        <v>100</v>
      </c>
      <c r="D207" s="33" t="s">
        <v>246</v>
      </c>
      <c r="E207" s="33"/>
    </row>
    <row r="208" spans="1:5" x14ac:dyDescent="0.2">
      <c r="A208" s="11">
        <v>207</v>
      </c>
      <c r="B208" s="11" t="s">
        <v>84</v>
      </c>
      <c r="C208" s="11" t="s">
        <v>113</v>
      </c>
      <c r="D208" s="11" t="s">
        <v>81</v>
      </c>
    </row>
    <row r="209" spans="1:5" x14ac:dyDescent="0.2">
      <c r="A209" s="11">
        <v>208</v>
      </c>
      <c r="B209" s="11" t="s">
        <v>84</v>
      </c>
      <c r="C209" s="11" t="s">
        <v>100</v>
      </c>
      <c r="D209" s="11" t="s">
        <v>81</v>
      </c>
    </row>
    <row r="210" spans="1:5" x14ac:dyDescent="0.2">
      <c r="A210" s="11">
        <v>209</v>
      </c>
      <c r="B210" s="11" t="s">
        <v>84</v>
      </c>
      <c r="C210" s="11" t="s">
        <v>93</v>
      </c>
      <c r="D210" s="11" t="s">
        <v>81</v>
      </c>
      <c r="E210" s="11" t="s">
        <v>2580</v>
      </c>
    </row>
    <row r="211" spans="1:5" x14ac:dyDescent="0.2">
      <c r="A211" s="11">
        <v>210</v>
      </c>
      <c r="B211" s="11" t="s">
        <v>84</v>
      </c>
      <c r="C211" s="11" t="s">
        <v>100</v>
      </c>
      <c r="D211" s="11" t="s">
        <v>81</v>
      </c>
    </row>
    <row r="212" spans="1:5" ht="25.5" x14ac:dyDescent="0.2">
      <c r="A212" s="11">
        <v>211</v>
      </c>
      <c r="B212" s="11" t="s">
        <v>84</v>
      </c>
      <c r="C212" s="11" t="s">
        <v>100</v>
      </c>
      <c r="D212" s="11" t="s">
        <v>81</v>
      </c>
      <c r="E212" s="11" t="s">
        <v>2608</v>
      </c>
    </row>
    <row r="213" spans="1:5" ht="25.5" x14ac:dyDescent="0.2">
      <c r="A213" s="11">
        <v>212</v>
      </c>
      <c r="B213" s="11" t="s">
        <v>84</v>
      </c>
      <c r="C213" s="11" t="s">
        <v>100</v>
      </c>
      <c r="D213" s="11" t="s">
        <v>81</v>
      </c>
      <c r="E213" s="11" t="s">
        <v>2624</v>
      </c>
    </row>
    <row r="214" spans="1:5" x14ac:dyDescent="0.2">
      <c r="A214" s="11">
        <v>213</v>
      </c>
      <c r="B214" s="11" t="s">
        <v>84</v>
      </c>
      <c r="C214" s="11" t="s">
        <v>113</v>
      </c>
      <c r="D214" s="11" t="s">
        <v>246</v>
      </c>
      <c r="E214" s="11" t="s">
        <v>2633</v>
      </c>
    </row>
    <row r="215" spans="1:5" x14ac:dyDescent="0.2">
      <c r="A215" s="11">
        <v>214</v>
      </c>
      <c r="B215" s="11" t="s">
        <v>84</v>
      </c>
      <c r="C215" s="11" t="s">
        <v>100</v>
      </c>
      <c r="D215" s="11" t="s">
        <v>81</v>
      </c>
    </row>
    <row r="216" spans="1:5" x14ac:dyDescent="0.2">
      <c r="A216" s="11">
        <v>215</v>
      </c>
      <c r="B216" s="33" t="s">
        <v>80</v>
      </c>
      <c r="C216" s="33"/>
      <c r="D216" s="33"/>
      <c r="E216" s="33"/>
    </row>
    <row r="217" spans="1:5" ht="38.25" x14ac:dyDescent="0.2">
      <c r="A217" s="11">
        <v>216</v>
      </c>
      <c r="B217" s="11" t="s">
        <v>84</v>
      </c>
      <c r="C217" s="11" t="s">
        <v>112</v>
      </c>
      <c r="D217" s="11" t="s">
        <v>81</v>
      </c>
      <c r="E217" s="11" t="s">
        <v>2649</v>
      </c>
    </row>
    <row r="218" spans="1:5" x14ac:dyDescent="0.2">
      <c r="A218" s="11">
        <v>217</v>
      </c>
      <c r="B218" s="11" t="s">
        <v>84</v>
      </c>
      <c r="C218" s="11" t="s">
        <v>100</v>
      </c>
      <c r="D218" s="11" t="s">
        <v>81</v>
      </c>
      <c r="E218" s="11" t="s">
        <v>2655</v>
      </c>
    </row>
    <row r="219" spans="1:5" ht="38.25" x14ac:dyDescent="0.2">
      <c r="A219" s="11">
        <v>218</v>
      </c>
      <c r="B219" s="11" t="s">
        <v>84</v>
      </c>
      <c r="C219" s="11" t="s">
        <v>100</v>
      </c>
      <c r="D219" s="11" t="s">
        <v>81</v>
      </c>
      <c r="E219" s="11" t="s">
        <v>2661</v>
      </c>
    </row>
    <row r="220" spans="1:5" x14ac:dyDescent="0.2">
      <c r="A220" s="11">
        <v>219</v>
      </c>
      <c r="B220" s="11" t="s">
        <v>84</v>
      </c>
      <c r="C220" s="11" t="s">
        <v>93</v>
      </c>
      <c r="D220" s="11" t="s">
        <v>81</v>
      </c>
    </row>
    <row r="221" spans="1:5" ht="38.25" x14ac:dyDescent="0.2">
      <c r="A221" s="11">
        <v>220</v>
      </c>
      <c r="B221" s="11" t="s">
        <v>84</v>
      </c>
      <c r="C221" s="11" t="s">
        <v>93</v>
      </c>
      <c r="D221" s="11" t="s">
        <v>81</v>
      </c>
      <c r="E221" s="11" t="s">
        <v>2671</v>
      </c>
    </row>
    <row r="222" spans="1:5" x14ac:dyDescent="0.2">
      <c r="A222" s="11">
        <v>221</v>
      </c>
      <c r="B222" s="11" t="s">
        <v>84</v>
      </c>
      <c r="C222" s="11" t="s">
        <v>100</v>
      </c>
      <c r="D222" s="11" t="s">
        <v>81</v>
      </c>
    </row>
    <row r="223" spans="1:5" x14ac:dyDescent="0.2">
      <c r="A223" s="11">
        <v>222</v>
      </c>
      <c r="B223" s="11" t="s">
        <v>84</v>
      </c>
      <c r="C223" s="11" t="s">
        <v>112</v>
      </c>
      <c r="D223" s="11" t="s">
        <v>81</v>
      </c>
      <c r="E223" s="11" t="s">
        <v>2688</v>
      </c>
    </row>
    <row r="224" spans="1:5" x14ac:dyDescent="0.2">
      <c r="A224" s="11">
        <v>223</v>
      </c>
      <c r="B224" s="33" t="s">
        <v>80</v>
      </c>
      <c r="C224" s="33"/>
      <c r="D224" s="33"/>
      <c r="E224" s="33"/>
    </row>
    <row r="225" spans="1:5" ht="25.5" x14ac:dyDescent="0.2">
      <c r="A225" s="11">
        <v>224</v>
      </c>
      <c r="B225" s="11" t="s">
        <v>84</v>
      </c>
      <c r="C225" s="11" t="s">
        <v>100</v>
      </c>
      <c r="D225" s="11" t="s">
        <v>81</v>
      </c>
      <c r="E225" s="11" t="s">
        <v>2701</v>
      </c>
    </row>
    <row r="226" spans="1:5" ht="25.5" x14ac:dyDescent="0.2">
      <c r="A226" s="11">
        <v>225</v>
      </c>
      <c r="B226" s="11" t="s">
        <v>84</v>
      </c>
      <c r="C226" s="11" t="s">
        <v>113</v>
      </c>
      <c r="D226" s="11" t="s">
        <v>81</v>
      </c>
      <c r="E226" s="11" t="s">
        <v>2715</v>
      </c>
    </row>
    <row r="227" spans="1:5" x14ac:dyDescent="0.2">
      <c r="A227" s="11">
        <v>226</v>
      </c>
      <c r="B227" s="11" t="s">
        <v>84</v>
      </c>
      <c r="C227" s="11" t="s">
        <v>113</v>
      </c>
      <c r="D227" s="11" t="s">
        <v>81</v>
      </c>
      <c r="E227" s="11" t="s">
        <v>2724</v>
      </c>
    </row>
    <row r="228" spans="1:5" x14ac:dyDescent="0.2">
      <c r="A228" s="11">
        <v>227</v>
      </c>
      <c r="B228" s="11" t="s">
        <v>84</v>
      </c>
      <c r="C228" s="11" t="s">
        <v>100</v>
      </c>
      <c r="D228" s="11" t="s">
        <v>81</v>
      </c>
      <c r="E228" s="11" t="s">
        <v>2733</v>
      </c>
    </row>
    <row r="229" spans="1:5" x14ac:dyDescent="0.2">
      <c r="A229" s="11">
        <v>228</v>
      </c>
      <c r="B229" s="11" t="s">
        <v>84</v>
      </c>
      <c r="C229" s="11" t="s">
        <v>113</v>
      </c>
      <c r="D229" s="11" t="s">
        <v>81</v>
      </c>
    </row>
    <row r="230" spans="1:5" x14ac:dyDescent="0.2">
      <c r="A230" s="11">
        <v>229</v>
      </c>
      <c r="B230" s="11" t="s">
        <v>84</v>
      </c>
      <c r="C230" s="11" t="s">
        <v>100</v>
      </c>
      <c r="D230" s="11" t="s">
        <v>81</v>
      </c>
      <c r="E230" s="11" t="s">
        <v>2741</v>
      </c>
    </row>
    <row r="231" spans="1:5" x14ac:dyDescent="0.2">
      <c r="A231" s="11">
        <v>230</v>
      </c>
      <c r="B231" s="11" t="s">
        <v>84</v>
      </c>
      <c r="C231" s="11" t="s">
        <v>113</v>
      </c>
      <c r="D231" s="11" t="s">
        <v>81</v>
      </c>
    </row>
    <row r="232" spans="1:5" ht="51" x14ac:dyDescent="0.2">
      <c r="A232" s="11">
        <v>231</v>
      </c>
      <c r="B232" s="11" t="s">
        <v>84</v>
      </c>
      <c r="C232" s="11" t="s">
        <v>100</v>
      </c>
      <c r="D232" s="11" t="s">
        <v>81</v>
      </c>
      <c r="E232" s="19" t="s">
        <v>2760</v>
      </c>
    </row>
    <row r="233" spans="1:5" x14ac:dyDescent="0.2">
      <c r="A233" s="11">
        <v>232</v>
      </c>
      <c r="B233" s="11" t="s">
        <v>84</v>
      </c>
      <c r="C233" s="11" t="s">
        <v>113</v>
      </c>
      <c r="D233" s="11" t="s">
        <v>81</v>
      </c>
    </row>
    <row r="234" spans="1:5" x14ac:dyDescent="0.2">
      <c r="A234" s="11">
        <v>233</v>
      </c>
      <c r="B234" s="11" t="s">
        <v>84</v>
      </c>
      <c r="C234" s="11" t="s">
        <v>113</v>
      </c>
      <c r="D234" s="11" t="s">
        <v>81</v>
      </c>
    </row>
    <row r="235" spans="1:5" x14ac:dyDescent="0.2">
      <c r="A235" s="11">
        <v>234</v>
      </c>
      <c r="B235" s="11" t="s">
        <v>84</v>
      </c>
      <c r="C235" s="11" t="s">
        <v>93</v>
      </c>
      <c r="D235" s="11" t="s">
        <v>81</v>
      </c>
    </row>
    <row r="236" spans="1:5" ht="38.25" x14ac:dyDescent="0.2">
      <c r="A236" s="11">
        <v>235</v>
      </c>
      <c r="B236" s="11" t="s">
        <v>84</v>
      </c>
      <c r="C236" s="11" t="s">
        <v>113</v>
      </c>
      <c r="D236" s="11" t="s">
        <v>81</v>
      </c>
      <c r="E236" s="11" t="s">
        <v>3856</v>
      </c>
    </row>
    <row r="237" spans="1:5" x14ac:dyDescent="0.2">
      <c r="A237" s="11">
        <v>236</v>
      </c>
      <c r="B237" s="11" t="s">
        <v>84</v>
      </c>
      <c r="C237" s="11" t="s">
        <v>113</v>
      </c>
      <c r="D237" s="11" t="s">
        <v>81</v>
      </c>
      <c r="E237" s="11" t="s">
        <v>2803</v>
      </c>
    </row>
    <row r="238" spans="1:5" ht="25.5" x14ac:dyDescent="0.2">
      <c r="A238" s="11">
        <v>237</v>
      </c>
      <c r="B238" s="11" t="s">
        <v>84</v>
      </c>
      <c r="C238" s="11" t="s">
        <v>100</v>
      </c>
      <c r="D238" s="11" t="s">
        <v>81</v>
      </c>
      <c r="E238" s="11" t="s">
        <v>2818</v>
      </c>
    </row>
    <row r="239" spans="1:5" x14ac:dyDescent="0.2">
      <c r="A239" s="11">
        <v>238</v>
      </c>
      <c r="B239" s="11" t="s">
        <v>84</v>
      </c>
      <c r="C239" s="11" t="s">
        <v>113</v>
      </c>
      <c r="D239" s="11" t="s">
        <v>81</v>
      </c>
    </row>
    <row r="240" spans="1:5" x14ac:dyDescent="0.2">
      <c r="A240" s="11">
        <v>239</v>
      </c>
      <c r="B240" s="11" t="s">
        <v>84</v>
      </c>
      <c r="C240" s="11" t="s">
        <v>100</v>
      </c>
      <c r="D240" s="11" t="s">
        <v>81</v>
      </c>
    </row>
    <row r="241" spans="1:5" x14ac:dyDescent="0.2">
      <c r="A241" s="11">
        <v>240</v>
      </c>
      <c r="B241" s="33" t="s">
        <v>80</v>
      </c>
      <c r="C241" s="33"/>
      <c r="D241" s="33"/>
      <c r="E241" s="33"/>
    </row>
    <row r="242" spans="1:5" x14ac:dyDescent="0.2">
      <c r="A242" s="11">
        <v>241</v>
      </c>
      <c r="B242" s="11" t="s">
        <v>84</v>
      </c>
      <c r="C242" s="11" t="s">
        <v>113</v>
      </c>
      <c r="D242" s="11" t="s">
        <v>81</v>
      </c>
      <c r="E242" s="64" t="s">
        <v>2868</v>
      </c>
    </row>
    <row r="243" spans="1:5" ht="38.25" x14ac:dyDescent="0.2">
      <c r="A243" s="11">
        <v>242</v>
      </c>
      <c r="B243" s="11" t="s">
        <v>84</v>
      </c>
      <c r="C243" s="11" t="s">
        <v>93</v>
      </c>
      <c r="D243" s="11" t="s">
        <v>81</v>
      </c>
      <c r="E243" s="11" t="s">
        <v>2886</v>
      </c>
    </row>
    <row r="244" spans="1:5" x14ac:dyDescent="0.2">
      <c r="A244" s="11">
        <v>243</v>
      </c>
      <c r="B244" s="11" t="s">
        <v>84</v>
      </c>
      <c r="C244" s="11" t="s">
        <v>100</v>
      </c>
      <c r="D244" s="11" t="s">
        <v>81</v>
      </c>
      <c r="E244" s="11" t="s">
        <v>2892</v>
      </c>
    </row>
    <row r="245" spans="1:5" ht="38.25" x14ac:dyDescent="0.2">
      <c r="A245" s="11">
        <v>244</v>
      </c>
      <c r="B245" s="11" t="s">
        <v>84</v>
      </c>
      <c r="C245" s="11" t="s">
        <v>93</v>
      </c>
      <c r="D245" s="11" t="s">
        <v>81</v>
      </c>
      <c r="E245" s="11" t="s">
        <v>4123</v>
      </c>
    </row>
    <row r="246" spans="1:5" ht="25.5" x14ac:dyDescent="0.2">
      <c r="A246" s="11">
        <v>245</v>
      </c>
      <c r="B246" s="11" t="s">
        <v>84</v>
      </c>
      <c r="C246" s="11" t="s">
        <v>113</v>
      </c>
      <c r="D246" s="11" t="s">
        <v>81</v>
      </c>
      <c r="E246" s="11" t="s">
        <v>4124</v>
      </c>
    </row>
    <row r="247" spans="1:5" x14ac:dyDescent="0.2">
      <c r="A247" s="11">
        <v>246</v>
      </c>
      <c r="B247" s="11" t="s">
        <v>84</v>
      </c>
      <c r="C247" s="11" t="s">
        <v>113</v>
      </c>
      <c r="D247" s="11" t="s">
        <v>81</v>
      </c>
    </row>
    <row r="248" spans="1:5" x14ac:dyDescent="0.2">
      <c r="A248" s="11">
        <v>247</v>
      </c>
      <c r="B248" s="11" t="s">
        <v>84</v>
      </c>
      <c r="C248" s="11" t="s">
        <v>100</v>
      </c>
      <c r="D248" s="11" t="s">
        <v>81</v>
      </c>
    </row>
    <row r="249" spans="1:5" x14ac:dyDescent="0.2">
      <c r="A249" s="11">
        <v>248</v>
      </c>
      <c r="B249" s="11" t="s">
        <v>84</v>
      </c>
      <c r="C249" s="11" t="s">
        <v>112</v>
      </c>
      <c r="D249" s="11" t="s">
        <v>81</v>
      </c>
    </row>
    <row r="250" spans="1:5" x14ac:dyDescent="0.2">
      <c r="A250" s="11">
        <v>249</v>
      </c>
      <c r="B250" s="11" t="s">
        <v>84</v>
      </c>
      <c r="C250" s="11" t="s">
        <v>100</v>
      </c>
      <c r="D250" s="11" t="s">
        <v>81</v>
      </c>
    </row>
    <row r="251" spans="1:5" x14ac:dyDescent="0.2">
      <c r="A251" s="11">
        <v>250</v>
      </c>
      <c r="B251" s="11" t="s">
        <v>82</v>
      </c>
      <c r="C251" s="11" t="s">
        <v>100</v>
      </c>
      <c r="D251" s="11" t="s">
        <v>81</v>
      </c>
    </row>
    <row r="252" spans="1:5" x14ac:dyDescent="0.2">
      <c r="A252" s="11">
        <v>251</v>
      </c>
      <c r="B252" s="11" t="s">
        <v>84</v>
      </c>
      <c r="C252" s="11" t="s">
        <v>100</v>
      </c>
      <c r="D252" s="11" t="s">
        <v>81</v>
      </c>
    </row>
    <row r="253" spans="1:5" ht="38.25" x14ac:dyDescent="0.2">
      <c r="A253" s="11">
        <v>252</v>
      </c>
      <c r="B253" s="11" t="s">
        <v>82</v>
      </c>
      <c r="C253" s="11" t="s">
        <v>100</v>
      </c>
      <c r="D253" s="11" t="s">
        <v>81</v>
      </c>
      <c r="E253" s="11" t="s">
        <v>4125</v>
      </c>
    </row>
    <row r="254" spans="1:5" x14ac:dyDescent="0.2">
      <c r="A254" s="11">
        <v>253</v>
      </c>
      <c r="B254" s="11" t="s">
        <v>84</v>
      </c>
      <c r="C254" s="11" t="s">
        <v>112</v>
      </c>
      <c r="D254" s="11" t="s">
        <v>81</v>
      </c>
      <c r="E254" s="11" t="s">
        <v>2968</v>
      </c>
    </row>
    <row r="255" spans="1:5" x14ac:dyDescent="0.2">
      <c r="A255" s="11">
        <v>254</v>
      </c>
      <c r="B255" s="11" t="s">
        <v>82</v>
      </c>
      <c r="C255" s="11" t="s">
        <v>100</v>
      </c>
      <c r="D255" s="11" t="s">
        <v>81</v>
      </c>
    </row>
    <row r="256" spans="1:5" x14ac:dyDescent="0.2">
      <c r="A256" s="11">
        <v>255</v>
      </c>
      <c r="B256" s="33" t="s">
        <v>80</v>
      </c>
      <c r="C256" s="33"/>
      <c r="D256" s="33"/>
      <c r="E256" s="33"/>
    </row>
    <row r="257" spans="1:5" x14ac:dyDescent="0.2">
      <c r="A257" s="11">
        <v>256</v>
      </c>
      <c r="B257" s="33" t="s">
        <v>80</v>
      </c>
      <c r="C257" s="33"/>
      <c r="D257" s="33"/>
      <c r="E257" s="33"/>
    </row>
    <row r="258" spans="1:5" x14ac:dyDescent="0.2">
      <c r="A258" s="11">
        <v>257</v>
      </c>
      <c r="B258" s="11" t="s">
        <v>84</v>
      </c>
      <c r="C258" s="11" t="s">
        <v>113</v>
      </c>
      <c r="D258" s="11" t="s">
        <v>81</v>
      </c>
    </row>
    <row r="259" spans="1:5" ht="25.5" x14ac:dyDescent="0.2">
      <c r="A259" s="11">
        <v>258</v>
      </c>
      <c r="B259" s="11" t="s">
        <v>84</v>
      </c>
      <c r="C259" s="11" t="s">
        <v>100</v>
      </c>
      <c r="D259" s="11" t="s">
        <v>81</v>
      </c>
      <c r="E259" s="11" t="s">
        <v>2998</v>
      </c>
    </row>
    <row r="260" spans="1:5" x14ac:dyDescent="0.2">
      <c r="A260" s="11">
        <v>259</v>
      </c>
      <c r="B260" s="11" t="s">
        <v>84</v>
      </c>
      <c r="C260" s="11" t="s">
        <v>113</v>
      </c>
      <c r="D260" s="11" t="s">
        <v>81</v>
      </c>
    </row>
    <row r="261" spans="1:5" ht="25.5" x14ac:dyDescent="0.2">
      <c r="A261" s="11">
        <v>260</v>
      </c>
      <c r="B261" s="11" t="s">
        <v>84</v>
      </c>
      <c r="C261" s="11" t="s">
        <v>113</v>
      </c>
      <c r="D261" s="11" t="s">
        <v>81</v>
      </c>
      <c r="E261" s="11" t="s">
        <v>3073</v>
      </c>
    </row>
    <row r="262" spans="1:5" ht="25.5" x14ac:dyDescent="0.2">
      <c r="A262" s="11">
        <v>261</v>
      </c>
      <c r="B262" s="11" t="s">
        <v>84</v>
      </c>
      <c r="C262" s="11" t="s">
        <v>93</v>
      </c>
      <c r="D262" s="11" t="s">
        <v>81</v>
      </c>
      <c r="E262" s="11" t="s">
        <v>3086</v>
      </c>
    </row>
    <row r="263" spans="1:5" ht="38.25" x14ac:dyDescent="0.2">
      <c r="A263" s="11">
        <v>262</v>
      </c>
      <c r="B263" s="11" t="s">
        <v>84</v>
      </c>
      <c r="C263" s="11" t="s">
        <v>100</v>
      </c>
      <c r="D263" s="11" t="s">
        <v>81</v>
      </c>
      <c r="E263" s="11" t="s">
        <v>3099</v>
      </c>
    </row>
    <row r="264" spans="1:5" x14ac:dyDescent="0.2">
      <c r="A264" s="11">
        <v>263</v>
      </c>
      <c r="B264" s="11" t="s">
        <v>84</v>
      </c>
      <c r="C264" s="11" t="s">
        <v>100</v>
      </c>
      <c r="D264" s="11" t="s">
        <v>81</v>
      </c>
    </row>
    <row r="265" spans="1:5" ht="25.5" x14ac:dyDescent="0.2">
      <c r="A265" s="11">
        <v>264</v>
      </c>
      <c r="B265" s="11" t="s">
        <v>84</v>
      </c>
      <c r="C265" s="11" t="s">
        <v>100</v>
      </c>
      <c r="D265" s="11" t="s">
        <v>81</v>
      </c>
      <c r="E265" s="11" t="s">
        <v>3112</v>
      </c>
    </row>
    <row r="266" spans="1:5" x14ac:dyDescent="0.2">
      <c r="A266" s="11">
        <v>265</v>
      </c>
      <c r="B266" s="11" t="s">
        <v>84</v>
      </c>
      <c r="C266" s="11" t="s">
        <v>100</v>
      </c>
      <c r="D266" s="11" t="s">
        <v>81</v>
      </c>
    </row>
    <row r="267" spans="1:5" x14ac:dyDescent="0.2">
      <c r="A267" s="11">
        <v>266</v>
      </c>
      <c r="B267" s="11" t="s">
        <v>82</v>
      </c>
      <c r="C267" s="11" t="s">
        <v>112</v>
      </c>
      <c r="D267" s="11" t="s">
        <v>246</v>
      </c>
    </row>
    <row r="268" spans="1:5" ht="51" x14ac:dyDescent="0.2">
      <c r="A268" s="11">
        <v>267</v>
      </c>
      <c r="B268" s="11" t="s">
        <v>84</v>
      </c>
      <c r="C268" s="11" t="s">
        <v>100</v>
      </c>
      <c r="D268" s="11" t="s">
        <v>81</v>
      </c>
      <c r="E268" s="11" t="s">
        <v>3129</v>
      </c>
    </row>
    <row r="269" spans="1:5" x14ac:dyDescent="0.2">
      <c r="A269" s="11">
        <v>268</v>
      </c>
      <c r="B269" s="11" t="s">
        <v>84</v>
      </c>
      <c r="C269" s="11" t="s">
        <v>100</v>
      </c>
      <c r="D269" s="11" t="s">
        <v>246</v>
      </c>
    </row>
    <row r="270" spans="1:5" ht="25.5" x14ac:dyDescent="0.2">
      <c r="A270" s="11">
        <v>269</v>
      </c>
      <c r="B270" s="11" t="s">
        <v>84</v>
      </c>
      <c r="C270" s="11" t="s">
        <v>100</v>
      </c>
      <c r="D270" s="11" t="s">
        <v>246</v>
      </c>
      <c r="E270" s="11" t="s">
        <v>3144</v>
      </c>
    </row>
    <row r="271" spans="1:5" x14ac:dyDescent="0.2">
      <c r="A271" s="11">
        <v>270</v>
      </c>
      <c r="B271" s="11" t="s">
        <v>82</v>
      </c>
      <c r="C271" s="11" t="s">
        <v>112</v>
      </c>
      <c r="D271" s="11" t="s">
        <v>81</v>
      </c>
      <c r="E271" s="11" t="s">
        <v>3157</v>
      </c>
    </row>
    <row r="272" spans="1:5" x14ac:dyDescent="0.2">
      <c r="A272" s="11">
        <v>271</v>
      </c>
      <c r="B272" s="11" t="s">
        <v>84</v>
      </c>
      <c r="C272" s="11" t="s">
        <v>93</v>
      </c>
      <c r="D272" s="11" t="s">
        <v>246</v>
      </c>
      <c r="E272" s="11" t="s">
        <v>3168</v>
      </c>
    </row>
    <row r="273" spans="1:5" x14ac:dyDescent="0.2">
      <c r="A273" s="11">
        <v>272</v>
      </c>
      <c r="B273" s="11" t="s">
        <v>84</v>
      </c>
      <c r="C273" s="11" t="s">
        <v>113</v>
      </c>
      <c r="D273" s="11" t="s">
        <v>81</v>
      </c>
    </row>
    <row r="274" spans="1:5" x14ac:dyDescent="0.2">
      <c r="A274" s="11">
        <v>273</v>
      </c>
      <c r="B274" s="9" t="s">
        <v>84</v>
      </c>
      <c r="C274" s="9" t="s">
        <v>100</v>
      </c>
      <c r="D274" s="9" t="s">
        <v>81</v>
      </c>
      <c r="E274" s="9"/>
    </row>
    <row r="275" spans="1:5" x14ac:dyDescent="0.2">
      <c r="A275" s="11">
        <v>274</v>
      </c>
      <c r="B275" s="9" t="s">
        <v>84</v>
      </c>
      <c r="C275" s="9" t="s">
        <v>93</v>
      </c>
      <c r="D275" s="9" t="s">
        <v>81</v>
      </c>
      <c r="E275" s="9"/>
    </row>
    <row r="276" spans="1:5" x14ac:dyDescent="0.2">
      <c r="A276" s="11">
        <v>275</v>
      </c>
      <c r="B276" s="9" t="s">
        <v>84</v>
      </c>
      <c r="C276" s="9" t="s">
        <v>113</v>
      </c>
      <c r="D276" s="9" t="s">
        <v>81</v>
      </c>
      <c r="E276" s="9"/>
    </row>
    <row r="277" spans="1:5" ht="25.5" x14ac:dyDescent="0.2">
      <c r="A277" s="11">
        <v>276</v>
      </c>
      <c r="B277" s="11" t="s">
        <v>84</v>
      </c>
      <c r="C277" s="11" t="s">
        <v>100</v>
      </c>
      <c r="D277" s="11" t="s">
        <v>81</v>
      </c>
      <c r="E277" s="11" t="s">
        <v>4010</v>
      </c>
    </row>
  </sheetData>
  <pageMargins left="0.5" right="0.5" top="1" bottom="1" header="0.5" footer="0.5"/>
  <pageSetup orientation="portrait" useFirstPageNumber="1" r:id="rId1"/>
  <headerFooter>
    <oddHeader>&amp;C&amp;"Times New Roman,Regular"&amp;12&amp;A</oddHeader>
    <oddFooter>&amp;C&amp;"Times New Roman,Regular"&amp;12Page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7B10A-CA5D-451A-AC73-E93434695F40}">
  <dimension ref="A1:EJ551"/>
  <sheetViews>
    <sheetView topLeftCell="S1" zoomScale="70" zoomScaleNormal="70" workbookViewId="0">
      <pane ySplit="1" topLeftCell="A2" activePane="bottomLeft" state="frozen"/>
      <selection activeCell="F1" sqref="F1"/>
      <selection pane="bottomLeft" activeCell="T1" sqref="T1"/>
    </sheetView>
  </sheetViews>
  <sheetFormatPr defaultColWidth="9.140625" defaultRowHeight="12.75" x14ac:dyDescent="0.2"/>
  <cols>
    <col min="1" max="1" width="9.140625" style="11"/>
    <col min="2" max="2" width="15.42578125" style="11" customWidth="1"/>
    <col min="3" max="3" width="33.5703125" style="11" customWidth="1"/>
    <col min="4" max="4" width="28.5703125" style="11" customWidth="1"/>
    <col min="5" max="5" width="14.85546875" style="11" customWidth="1"/>
    <col min="6" max="6" width="15.140625" style="11" customWidth="1"/>
    <col min="7" max="7" width="25.42578125" style="11" customWidth="1"/>
    <col min="8" max="8" width="14.28515625" style="11" customWidth="1"/>
    <col min="9" max="9" width="17.28515625" style="11" customWidth="1"/>
    <col min="10" max="10" width="21" style="11" customWidth="1"/>
    <col min="11" max="11" width="30" style="11" customWidth="1"/>
    <col min="12" max="12" width="30" style="21" customWidth="1"/>
    <col min="13" max="13" width="30.28515625" style="11" customWidth="1"/>
    <col min="14" max="14" width="30.28515625" style="21" customWidth="1"/>
    <col min="15" max="15" width="42.42578125" style="11" customWidth="1"/>
    <col min="16" max="16" width="42.42578125" style="21" customWidth="1"/>
    <col min="17" max="17" width="88.28515625" style="11" customWidth="1"/>
    <col min="18" max="19" width="24.140625" style="11" customWidth="1"/>
    <col min="20" max="20" width="7.7109375" style="11" customWidth="1"/>
    <col min="21" max="21" width="22" style="11" customWidth="1"/>
    <col min="22" max="22" width="17.7109375" style="11" customWidth="1"/>
    <col min="23" max="35" width="10.5703125" style="11" customWidth="1"/>
    <col min="36" max="36" width="31.5703125" style="11" customWidth="1"/>
    <col min="37" max="40" width="7.85546875" style="11" customWidth="1"/>
    <col min="41" max="50" width="10.5703125" style="11" customWidth="1"/>
    <col min="51" max="51" width="23.5703125" style="11" customWidth="1"/>
    <col min="52" max="64" width="10.5703125" style="11" customWidth="1"/>
    <col min="65" max="66" width="10.5703125" style="7" customWidth="1"/>
    <col min="67" max="67" width="19.7109375" style="7" customWidth="1"/>
    <col min="68" max="73" width="10.5703125" style="7" customWidth="1"/>
    <col min="74" max="74" width="21.85546875" style="11" customWidth="1"/>
    <col min="75" max="78" width="8.85546875" style="11" customWidth="1"/>
    <col min="79" max="88" width="11.7109375" style="11" customWidth="1"/>
    <col min="89" max="89" width="23.5703125" style="11" customWidth="1"/>
    <col min="90" max="90" width="8.28515625" style="11" customWidth="1"/>
    <col min="91" max="99" width="10.140625" style="11" customWidth="1"/>
    <col min="100" max="100" width="21.28515625" style="11" customWidth="1"/>
    <col min="101" max="101" width="8.28515625" style="11" customWidth="1"/>
    <col min="102" max="110" width="9.85546875" style="11" customWidth="1"/>
    <col min="111" max="111" width="27" style="11" customWidth="1"/>
    <col min="112" max="115" width="7.85546875" style="11" customWidth="1"/>
    <col min="116" max="125" width="9.140625" style="11"/>
    <col min="126" max="126" width="24.28515625" style="11" customWidth="1"/>
    <col min="127" max="128" width="9.140625" style="11"/>
    <col min="129" max="129" width="33.7109375" style="11" customWidth="1"/>
    <col min="130" max="130" width="8.85546875" style="11" customWidth="1"/>
    <col min="131" max="131" width="56.28515625" style="11" customWidth="1"/>
    <col min="132" max="132" width="37.5703125" style="11" customWidth="1"/>
    <col min="133" max="133" width="9.140625" style="11"/>
    <col min="134" max="134" width="63.28515625" style="11" customWidth="1"/>
    <col min="135" max="135" width="31.7109375" style="11" customWidth="1"/>
    <col min="136" max="16384" width="9.140625" style="11"/>
  </cols>
  <sheetData>
    <row r="1" spans="1:140" s="2" customFormat="1" ht="76.5" x14ac:dyDescent="0.2">
      <c r="B1" s="2" t="s">
        <v>693</v>
      </c>
      <c r="C1" s="22" t="s">
        <v>694</v>
      </c>
      <c r="D1" s="2" t="s">
        <v>695</v>
      </c>
      <c r="E1" s="65" t="s">
        <v>3616</v>
      </c>
      <c r="F1" s="53" t="s">
        <v>3617</v>
      </c>
      <c r="G1" s="22" t="s">
        <v>1988</v>
      </c>
      <c r="H1" s="2" t="s">
        <v>3618</v>
      </c>
      <c r="I1" s="2" t="s">
        <v>3619</v>
      </c>
      <c r="J1" s="2" t="s">
        <v>698</v>
      </c>
      <c r="K1" s="22" t="s">
        <v>3620</v>
      </c>
      <c r="L1" s="8" t="s">
        <v>3620</v>
      </c>
      <c r="M1" s="22" t="s">
        <v>699</v>
      </c>
      <c r="N1" s="8" t="s">
        <v>699</v>
      </c>
      <c r="O1" s="22" t="s">
        <v>700</v>
      </c>
      <c r="P1" s="8" t="s">
        <v>700</v>
      </c>
      <c r="Q1" s="22" t="s">
        <v>701</v>
      </c>
      <c r="R1" s="8" t="s">
        <v>701</v>
      </c>
      <c r="U1" s="8" t="s">
        <v>693</v>
      </c>
      <c r="V1" s="8" t="s">
        <v>3570</v>
      </c>
      <c r="W1" s="8" t="s">
        <v>4002</v>
      </c>
      <c r="X1" s="8" t="s">
        <v>4014</v>
      </c>
      <c r="Y1" s="8" t="s">
        <v>4003</v>
      </c>
      <c r="Z1" s="8"/>
      <c r="AA1" s="8" t="s">
        <v>105</v>
      </c>
      <c r="AB1" s="8" t="s">
        <v>324</v>
      </c>
      <c r="AC1" s="8" t="s">
        <v>309</v>
      </c>
      <c r="AD1" s="8" t="s">
        <v>443</v>
      </c>
      <c r="AE1" s="8" t="s">
        <v>107</v>
      </c>
      <c r="AF1" s="8" t="s">
        <v>3959</v>
      </c>
      <c r="AG1" s="8" t="s">
        <v>377</v>
      </c>
      <c r="AH1" s="8" t="s">
        <v>161</v>
      </c>
      <c r="AI1" s="8"/>
      <c r="AJ1" s="8" t="s">
        <v>695</v>
      </c>
      <c r="AK1" s="8" t="s">
        <v>3570</v>
      </c>
      <c r="AL1" s="8" t="s">
        <v>4002</v>
      </c>
      <c r="AM1" s="8" t="s">
        <v>4014</v>
      </c>
      <c r="AN1" s="8" t="s">
        <v>4003</v>
      </c>
      <c r="AO1" s="8"/>
      <c r="AP1" s="8" t="s">
        <v>105</v>
      </c>
      <c r="AQ1" s="8" t="s">
        <v>324</v>
      </c>
      <c r="AR1" s="8" t="s">
        <v>309</v>
      </c>
      <c r="AS1" s="8" t="s">
        <v>443</v>
      </c>
      <c r="AT1" s="8" t="s">
        <v>107</v>
      </c>
      <c r="AU1" s="8" t="s">
        <v>3959</v>
      </c>
      <c r="AV1" s="8" t="s">
        <v>377</v>
      </c>
      <c r="AW1" s="8" t="s">
        <v>161</v>
      </c>
      <c r="AX1" s="8"/>
      <c r="AY1" s="8" t="s">
        <v>3964</v>
      </c>
      <c r="AZ1" s="8"/>
      <c r="BA1" s="8" t="s">
        <v>4002</v>
      </c>
      <c r="BB1" s="8" t="s">
        <v>4014</v>
      </c>
      <c r="BC1" s="8" t="s">
        <v>4003</v>
      </c>
      <c r="BD1" s="8"/>
      <c r="BE1" s="8" t="s">
        <v>105</v>
      </c>
      <c r="BF1" s="8" t="s">
        <v>324</v>
      </c>
      <c r="BG1" s="8" t="s">
        <v>309</v>
      </c>
      <c r="BH1" s="8" t="s">
        <v>443</v>
      </c>
      <c r="BI1" s="8" t="s">
        <v>107</v>
      </c>
      <c r="BJ1" s="8" t="s">
        <v>3959</v>
      </c>
      <c r="BK1" s="8" t="s">
        <v>377</v>
      </c>
      <c r="BL1" s="8" t="s">
        <v>161</v>
      </c>
      <c r="BM1" s="8"/>
      <c r="BN1" s="8"/>
      <c r="BO1" s="8" t="s">
        <v>3964</v>
      </c>
      <c r="BP1" s="8"/>
      <c r="BQ1" s="8" t="s">
        <v>4002</v>
      </c>
      <c r="BR1" s="8" t="s">
        <v>4014</v>
      </c>
      <c r="BS1" s="8" t="s">
        <v>4003</v>
      </c>
      <c r="BT1" s="8"/>
      <c r="BU1" s="8"/>
      <c r="BV1" s="8" t="s">
        <v>3623</v>
      </c>
      <c r="BW1" s="8" t="s">
        <v>3570</v>
      </c>
      <c r="BX1" s="8" t="s">
        <v>4002</v>
      </c>
      <c r="BY1" s="8" t="s">
        <v>4014</v>
      </c>
      <c r="BZ1" s="8" t="s">
        <v>4003</v>
      </c>
      <c r="CA1" s="8"/>
      <c r="CB1" s="8" t="s">
        <v>105</v>
      </c>
      <c r="CC1" s="8" t="s">
        <v>324</v>
      </c>
      <c r="CD1" s="8" t="s">
        <v>309</v>
      </c>
      <c r="CE1" s="8" t="s">
        <v>443</v>
      </c>
      <c r="CF1" s="8" t="s">
        <v>107</v>
      </c>
      <c r="CG1" s="8" t="s">
        <v>3959</v>
      </c>
      <c r="CH1" s="8" t="s">
        <v>377</v>
      </c>
      <c r="CI1" s="8" t="s">
        <v>161</v>
      </c>
      <c r="CJ1" s="8"/>
      <c r="CK1" s="8" t="s">
        <v>696</v>
      </c>
      <c r="CL1" s="8" t="s">
        <v>3570</v>
      </c>
      <c r="CM1" s="8" t="s">
        <v>105</v>
      </c>
      <c r="CN1" s="8" t="s">
        <v>324</v>
      </c>
      <c r="CO1" s="8" t="s">
        <v>309</v>
      </c>
      <c r="CP1" s="8" t="s">
        <v>443</v>
      </c>
      <c r="CQ1" s="8" t="s">
        <v>107</v>
      </c>
      <c r="CR1" s="8" t="s">
        <v>3959</v>
      </c>
      <c r="CS1" s="8" t="s">
        <v>377</v>
      </c>
      <c r="CT1" s="8" t="s">
        <v>161</v>
      </c>
      <c r="CU1" s="8"/>
      <c r="CV1" s="8" t="s">
        <v>697</v>
      </c>
      <c r="CW1" s="8" t="s">
        <v>3570</v>
      </c>
      <c r="CX1" s="8" t="s">
        <v>105</v>
      </c>
      <c r="CY1" s="8" t="s">
        <v>324</v>
      </c>
      <c r="CZ1" s="8" t="s">
        <v>309</v>
      </c>
      <c r="DA1" s="8" t="s">
        <v>443</v>
      </c>
      <c r="DB1" s="8" t="s">
        <v>107</v>
      </c>
      <c r="DC1" s="8" t="s">
        <v>3959</v>
      </c>
      <c r="DD1" s="8" t="s">
        <v>377</v>
      </c>
      <c r="DE1" s="8" t="s">
        <v>161</v>
      </c>
      <c r="DF1" s="8"/>
      <c r="DG1" s="8" t="s">
        <v>698</v>
      </c>
      <c r="DH1" s="8" t="s">
        <v>3570</v>
      </c>
      <c r="DI1" s="8" t="s">
        <v>4002</v>
      </c>
      <c r="DJ1" s="8" t="s">
        <v>4014</v>
      </c>
      <c r="DK1" s="8" t="s">
        <v>4003</v>
      </c>
      <c r="DL1" s="8"/>
      <c r="DM1" s="8" t="s">
        <v>105</v>
      </c>
      <c r="DN1" s="8" t="s">
        <v>324</v>
      </c>
      <c r="DO1" s="8" t="s">
        <v>309</v>
      </c>
      <c r="DP1" s="8" t="s">
        <v>443</v>
      </c>
      <c r="DQ1" s="8" t="s">
        <v>107</v>
      </c>
      <c r="DR1" s="8" t="s">
        <v>3959</v>
      </c>
      <c r="DS1" s="8" t="s">
        <v>377</v>
      </c>
      <c r="DT1" s="8" t="s">
        <v>161</v>
      </c>
      <c r="DU1" s="8"/>
      <c r="DV1" s="8" t="s">
        <v>3620</v>
      </c>
      <c r="DW1" s="8"/>
      <c r="DX1" s="8"/>
      <c r="DY1" s="8" t="s">
        <v>699</v>
      </c>
      <c r="DZ1" s="8"/>
      <c r="EA1" s="8"/>
      <c r="EB1" s="8" t="s">
        <v>700</v>
      </c>
      <c r="EC1" s="8"/>
      <c r="ED1" s="8"/>
      <c r="EE1" s="8" t="s">
        <v>701</v>
      </c>
      <c r="EF1" s="8"/>
      <c r="EG1" s="8"/>
      <c r="EH1" s="8"/>
      <c r="EI1" s="8"/>
      <c r="EJ1" s="8"/>
    </row>
    <row r="2" spans="1:140" x14ac:dyDescent="0.2">
      <c r="A2" s="11">
        <v>1</v>
      </c>
      <c r="B2" s="11" t="s">
        <v>100</v>
      </c>
      <c r="D2" s="11" t="s">
        <v>82</v>
      </c>
      <c r="F2" s="39"/>
      <c r="H2" s="11" t="s">
        <v>82</v>
      </c>
      <c r="I2" s="11" t="s">
        <v>82</v>
      </c>
      <c r="J2" s="11" t="s">
        <v>82</v>
      </c>
      <c r="M2" s="7" t="s">
        <v>102</v>
      </c>
      <c r="N2" s="21" t="s">
        <v>1045</v>
      </c>
      <c r="O2" s="7" t="s">
        <v>103</v>
      </c>
      <c r="P2" s="21" t="s">
        <v>1055</v>
      </c>
      <c r="Q2" s="7" t="s">
        <v>104</v>
      </c>
      <c r="R2" s="21" t="s">
        <v>1071</v>
      </c>
      <c r="S2" s="7"/>
      <c r="T2" s="7"/>
      <c r="U2" s="11" t="s">
        <v>340</v>
      </c>
      <c r="V2" s="11">
        <f>COUNTIF($B$2:$B$496,"never")</f>
        <v>0</v>
      </c>
      <c r="W2" s="11">
        <f>COUNTIFS($B$2:$B$496,"never",'1'!$F$2:$F$496,"*staff*")</f>
        <v>0</v>
      </c>
      <c r="X2" s="11">
        <f>COUNTIFS($B$2:$B$496,"never",'1'!$F$2:$F$496,"*both*")</f>
        <v>0</v>
      </c>
      <c r="Y2" s="11">
        <f>COUNTIFS($B$2:$B$496,"never",'1'!$F$2:$F$496,"*users work*")</f>
        <v>0</v>
      </c>
      <c r="AA2" s="11">
        <f>COUNTIFS($B$2:$B$496,"never",'1'!$B$2:$B$496,"*flow cytometry*")</f>
        <v>0</v>
      </c>
      <c r="AB2" s="11">
        <f>COUNTIFS($B$2:$B$496,"never",'1'!$B$2:$B$496,"*genomics*")</f>
        <v>0</v>
      </c>
      <c r="AC2" s="11">
        <f>COUNTIFS($B$2:$B$496,"never",'1'!$B$2:$B$496,"*histology*")</f>
        <v>0</v>
      </c>
      <c r="AD2" s="11">
        <f>COUNTIFS($B$2:$B$496,"never",'1'!$B$2:$B$496,"*metabolomics*")</f>
        <v>0</v>
      </c>
      <c r="AE2" s="11">
        <f>COUNTIFS($B$2:$B$496,"never",'1'!$B$2:$B$496,"*microscopy*")</f>
        <v>0</v>
      </c>
      <c r="AF2" s="11">
        <f>COUNTIFS($B$2:$B$496,"never",'1'!$B$2:$B$496,"*mouse*")</f>
        <v>0</v>
      </c>
      <c r="AG2" s="11">
        <f>COUNTIFS($B$2:$B$496,"never",'1'!$B$2:$B$496,"*protein expression*")</f>
        <v>0</v>
      </c>
      <c r="AH2" s="11">
        <f>COUNTIFS($B$2:$B$496,"never",'1'!$B$2:$B$496,"*proteomics*")</f>
        <v>0</v>
      </c>
      <c r="AJ2" s="11" t="s">
        <v>84</v>
      </c>
      <c r="AK2" s="11">
        <f>COUNTIF($D$2:$D$496,"Yes")</f>
        <v>74</v>
      </c>
      <c r="AL2" s="11">
        <f>COUNTIFS($D$2:$D$496,"Yes",'1'!$F$2:$F$496,"*staff*")</f>
        <v>23</v>
      </c>
      <c r="AM2" s="11">
        <f>COUNTIFS($D$2:$D$496,"Yes",'1'!$F$2:$F$496,"*both*")</f>
        <v>50</v>
      </c>
      <c r="AN2" s="11">
        <f>COUNTIFS($D$2:$D$496,"Yes",'1'!$F$2:$F$496,"*users work*")</f>
        <v>1</v>
      </c>
      <c r="AP2" s="11">
        <f>COUNTIFS($D$2:$D$496,"Yes",'1'!$B$2:$B$496,"*flow cytometry*")</f>
        <v>11</v>
      </c>
      <c r="AQ2" s="11">
        <f>COUNTIFS($D$2:$D$496,"Yes",'1'!$B$2:$B$496,"*genomics*")</f>
        <v>9</v>
      </c>
      <c r="AR2" s="11">
        <f>COUNTIFS($D$2:$D$496,"Yes",'1'!$B$2:$B$496,"*histology*")</f>
        <v>3</v>
      </c>
      <c r="AS2" s="11">
        <f>COUNTIFS($D$2:$D$496,"Yes",'1'!$B$2:$B$496,"*metabolomics*")</f>
        <v>1</v>
      </c>
      <c r="AT2" s="11">
        <f>COUNTIFS($D$2:$D$496,"Yes",'1'!$B$2:$B$496,"*microscopy*")</f>
        <v>13</v>
      </c>
      <c r="AU2" s="11">
        <f>COUNTIFS($D$2:$D$496,"Yes",'1'!$B$2:$B$496,"*mouse*")</f>
        <v>6</v>
      </c>
      <c r="AV2" s="11">
        <f>COUNTIFS($D$2:$D$496,"Yes",'1'!$B$2:$B$496,"*protein expression*")</f>
        <v>5</v>
      </c>
      <c r="AW2" s="11">
        <f>COUNTIFS($D$2:$D$496,"Yes",'1'!$B$2:$B$496,"*proteomics*")</f>
        <v>12</v>
      </c>
      <c r="AY2" s="11" t="s">
        <v>84</v>
      </c>
      <c r="AZ2" s="11">
        <f>COUNTIF($D$2:$D$496,"Yes")</f>
        <v>74</v>
      </c>
      <c r="BA2" s="11">
        <f>COUNTIFS($D$2:$D$496,"Yes",'1'!$F$2:$F$496,"*staff*")</f>
        <v>23</v>
      </c>
      <c r="BB2" s="11">
        <f>COUNTIFS($D$2:$D$496,"Yes",'1'!$F$2:$F$496,"*both*")</f>
        <v>50</v>
      </c>
      <c r="BC2" s="11">
        <f>COUNTIFS($D$2:$D$496,"Yes",'1'!$F$2:$F$496,"*users work*")</f>
        <v>1</v>
      </c>
      <c r="BE2" s="11">
        <f>COUNTIFS($D$2:$D$496,"Yes",'1'!$B$2:$B$496,"*flow cytometry*")</f>
        <v>11</v>
      </c>
      <c r="BF2" s="11">
        <f>COUNTIFS($D$2:$D$496,"Yes",'1'!$B$2:$B$496,"*genomics*")</f>
        <v>9</v>
      </c>
      <c r="BG2" s="11">
        <f>COUNTIFS($D$2:$D$496,"Yes",'1'!$B$2:$B$496,"*histology*")</f>
        <v>3</v>
      </c>
      <c r="BH2" s="11">
        <f>COUNTIFS($D$2:$D$496,"Yes",'1'!$B$2:$B$496,"*metabolomics*")</f>
        <v>1</v>
      </c>
      <c r="BI2" s="11">
        <f>COUNTIFS($D$2:$D$496,"Yes",'1'!$B$2:$B$496,"*microscopy*")</f>
        <v>13</v>
      </c>
      <c r="BJ2" s="11">
        <f>COUNTIFS($D$2:$D$496,"Yes",'1'!$B$2:$B$496,"*mouse*")</f>
        <v>6</v>
      </c>
      <c r="BK2" s="11">
        <f>COUNTIFS($D$2:$D$496,"Yes",'1'!$B$2:$B$496,"*protein expression*")</f>
        <v>5</v>
      </c>
      <c r="BL2" s="11">
        <f>COUNTIFS($D$2:$D$496,"Yes",'1'!$B$2:$B$496,"*proteomics*")</f>
        <v>12</v>
      </c>
      <c r="BO2" s="11" t="s">
        <v>84</v>
      </c>
      <c r="BP2" s="11">
        <f>COUNTIF($D$62:$D$496,"Yes")</f>
        <v>59</v>
      </c>
      <c r="BQ2" s="11">
        <f>COUNTIFS($D$62:$D$496,"Yes",'1'!$F$62:$F$496,"*staff*")</f>
        <v>18</v>
      </c>
      <c r="BR2" s="11">
        <f>COUNTIFS($D$62:$D$496,"Yes",'1'!$F$62:$F$496,"*both*")</f>
        <v>40</v>
      </c>
      <c r="BS2" s="11">
        <f>COUNTIFS($D$62:$D$496,"Yes",'1'!$F$62:$F$496,"*users work*")</f>
        <v>1</v>
      </c>
      <c r="BT2" s="11"/>
      <c r="BU2" s="11"/>
      <c r="BV2" s="11" t="s">
        <v>84</v>
      </c>
      <c r="BW2" s="11">
        <f>COUNTIF($F$2:$F$496,"Yes")</f>
        <v>104</v>
      </c>
      <c r="BX2" s="11">
        <f>COUNTIFS($F$2:$F$496,"Yes",'1'!$F$2:$F$496,"*staff*")</f>
        <v>29</v>
      </c>
      <c r="BY2" s="11">
        <f>COUNTIFS($F$2:$F$496,"Yes",'1'!$F$2:$F$496,"*both*")</f>
        <v>65</v>
      </c>
      <c r="BZ2" s="11">
        <f>COUNTIFS($F$2:$F$496,"Yes",'1'!$F$2:$F$496,"*users work*")</f>
        <v>10</v>
      </c>
      <c r="CB2" s="11">
        <f>COUNTIFS($F$2:$F$496,"Yes",'1'!$B$2:$B$496,"*flow cytometry*")</f>
        <v>19</v>
      </c>
      <c r="CC2" s="11">
        <f>COUNTIFS($F$2:$F$496,"Yes",'1'!$B$2:$B$496,"*genomics*")</f>
        <v>12</v>
      </c>
      <c r="CD2" s="11">
        <f>COUNTIFS($F$2:$F$496,"Yes",'1'!$B$2:$B$496,"*histology*")</f>
        <v>3</v>
      </c>
      <c r="CE2" s="11">
        <f>COUNTIFS($F$2:$F$496,"Yes",'1'!$B$2:$B$496,"*metabolomics*")</f>
        <v>3</v>
      </c>
      <c r="CF2" s="11">
        <f>COUNTIFS($F$2:$F$496,"Yes",'1'!$B$2:$B$496,"*microscopy*")</f>
        <v>26</v>
      </c>
      <c r="CG2" s="11">
        <f>COUNTIFS($F$2:$F$496,"Yes",'1'!$B$2:$B$496,"*mouse*")</f>
        <v>3</v>
      </c>
      <c r="CH2" s="11">
        <f>COUNTIFS($F$2:$F$496,"Yes",'1'!$B$2:$B$496,"*protein expression*")</f>
        <v>2</v>
      </c>
      <c r="CI2" s="11">
        <f>COUNTIFS($F$2:$F$496,"Yes",'1'!$B$2:$B$496,"*proteomics*")</f>
        <v>18</v>
      </c>
      <c r="CK2" s="11" t="s">
        <v>84</v>
      </c>
      <c r="CL2" s="11">
        <f>COUNTIF($H$2:$H$496,"Yes")</f>
        <v>111</v>
      </c>
      <c r="CM2" s="11">
        <f>COUNTIFS($H$2:$H$496,"Yes",'1'!$B$2:$B$496,"*flow cytometry*")</f>
        <v>25</v>
      </c>
      <c r="CN2" s="11">
        <f>COUNTIFS($H$2:$H$496,"Yes",'1'!$B$2:$B$496,"*genomics*")</f>
        <v>12</v>
      </c>
      <c r="CO2" s="11">
        <f>COUNTIFS($H$2:$H$496,"Yes",'1'!$B$2:$B$496,"*histology*")</f>
        <v>7</v>
      </c>
      <c r="CP2" s="11">
        <f>COUNTIFS($H$2:$H$496,"Yes",'1'!$B$2:$B$496,"*metabolomics*")</f>
        <v>1</v>
      </c>
      <c r="CQ2" s="11">
        <f>COUNTIFS($H$2:$H$496,"Yes",'1'!$B$2:$B$496,"*microscopy*")</f>
        <v>23</v>
      </c>
      <c r="CR2" s="11">
        <f>COUNTIFS($H$2:$H$496,"Yes",'1'!$B$2:$B$496,"*mouse*")</f>
        <v>5</v>
      </c>
      <c r="CS2" s="11">
        <f>COUNTIFS($H$2:$H$496,"Yes",'1'!$B$2:$B$496,"*protein expression*")</f>
        <v>2</v>
      </c>
      <c r="CT2" s="11">
        <f>COUNTIFS($H$2:$H$496,"Yes",'1'!$B$2:$B$496,"*proteomics*")</f>
        <v>14</v>
      </c>
      <c r="CV2" s="11" t="s">
        <v>84</v>
      </c>
      <c r="CW2" s="11">
        <f>COUNTIF($I$2:$I$496,"Yes")</f>
        <v>127</v>
      </c>
      <c r="CX2" s="11">
        <f>COUNTIFS($I$2:$I$496,"Yes",'1'!$B$2:$B$496,"*flow cytometry*")</f>
        <v>23</v>
      </c>
      <c r="CY2" s="11">
        <f>COUNTIFS($I$2:$I$496,"Yes",'1'!$B$2:$B$496,"*genomics*")</f>
        <v>19</v>
      </c>
      <c r="CZ2" s="11">
        <f>COUNTIFS($I$2:$I$496,"Yes",'1'!$B$2:$B$496,"*histology*")</f>
        <v>3</v>
      </c>
      <c r="DA2" s="11">
        <f>COUNTIFS($I$2:$I$496,"Yes",'1'!$B$2:$B$496,"*metabolomics*")</f>
        <v>4</v>
      </c>
      <c r="DB2" s="11">
        <f>COUNTIFS($I$2:$I$496,"Yes",'1'!$B$2:$B$496,"*microscopy*")</f>
        <v>26</v>
      </c>
      <c r="DC2" s="11">
        <f>COUNTIFS($I$2:$I$496,"Yes",'1'!$B$2:$B$496,"*mouse*")</f>
        <v>6</v>
      </c>
      <c r="DD2" s="11">
        <f>COUNTIFS($I$2:$I$496,"Yes",'1'!$B$2:$B$496,"*protein expression*")</f>
        <v>3</v>
      </c>
      <c r="DE2" s="11">
        <f>COUNTIFS($I$2:$I$496,"Yes",'1'!$B$2:$B$496,"*proteomics*")</f>
        <v>19</v>
      </c>
      <c r="DG2" s="11" t="s">
        <v>84</v>
      </c>
      <c r="DH2" s="11">
        <f>COUNTIF($J$2:$J$496,"Yes")</f>
        <v>97</v>
      </c>
      <c r="DI2" s="11">
        <f>COUNTIFS($J$2:$J$496,"Yes",'1'!$F$2:$F$496,"*staff*")</f>
        <v>35</v>
      </c>
      <c r="DJ2" s="11">
        <f>COUNTIFS($J$2:$J$496,"Yes",'1'!$F$2:$F$496,"*both*")</f>
        <v>53</v>
      </c>
      <c r="DK2" s="11">
        <f>COUNTIFS($J$2:$J$496,"Yes",'1'!$F$2:$F$496,"*users work*")</f>
        <v>9</v>
      </c>
      <c r="DM2" s="11">
        <f>COUNTIFS($J$2:$J$496,"Yes",'1'!$B$2:$B$496,"*flow cytometry*")</f>
        <v>11</v>
      </c>
      <c r="DN2" s="11">
        <f>COUNTIFS($J$2:$J$496,"Yes",'1'!$B$2:$B$496,"*genomics*")</f>
        <v>14</v>
      </c>
      <c r="DO2" s="11">
        <f>COUNTIFS($J$2:$J$496,"Yes",'1'!$B$2:$B$496,"*histology*")</f>
        <v>5</v>
      </c>
      <c r="DP2" s="11">
        <f>COUNTIFS($J$2:$J$496,"Yes",'1'!$B$2:$B$496,"*metabolomics*")</f>
        <v>3</v>
      </c>
      <c r="DQ2" s="11">
        <f>COUNTIFS($J$2:$J$496,"Yes",'1'!$B$2:$B$496,"*microscopy*")</f>
        <v>19</v>
      </c>
      <c r="DR2" s="11">
        <f>COUNTIFS($J$2:$J$496,"Yes",'1'!$B$2:$B$496,"*mouse*")</f>
        <v>7</v>
      </c>
      <c r="DS2" s="11">
        <f>COUNTIFS($J$2:$J$496,"Yes",'1'!$B$2:$B$496,"*protein expression*")</f>
        <v>3</v>
      </c>
      <c r="DT2" s="11">
        <f>COUNTIFS($J$2:$J$496,"Yes",'1'!$B$2:$B$496,"*proteomics*")</f>
        <v>16</v>
      </c>
      <c r="DV2" s="11" t="s">
        <v>4230</v>
      </c>
      <c r="DW2" s="11">
        <f>COUNTIF(L$2:L$496,"*software*")</f>
        <v>25</v>
      </c>
      <c r="DY2" s="11" t="s">
        <v>3391</v>
      </c>
      <c r="DZ2" s="11">
        <f>COUNTIF(N$2:N$496,"*staff*")</f>
        <v>43</v>
      </c>
      <c r="EB2" s="11" t="s">
        <v>3444</v>
      </c>
      <c r="EC2" s="11">
        <f>COUNTIF(P$2:P$496,"*more staff*")</f>
        <v>64</v>
      </c>
      <c r="EE2" s="11" t="s">
        <v>1059</v>
      </c>
      <c r="EF2" s="11">
        <f>COUNTIF(R$2:R$496,"*funding*")</f>
        <v>43</v>
      </c>
    </row>
    <row r="3" spans="1:140" ht="51" x14ac:dyDescent="0.2">
      <c r="A3" s="11">
        <v>2</v>
      </c>
      <c r="B3" s="11" t="s">
        <v>93</v>
      </c>
      <c r="D3" s="11" t="s">
        <v>82</v>
      </c>
      <c r="F3" s="39"/>
      <c r="G3" s="70"/>
      <c r="H3" s="11" t="s">
        <v>84</v>
      </c>
      <c r="I3" s="11" t="s">
        <v>84</v>
      </c>
      <c r="J3" s="11" t="s">
        <v>84</v>
      </c>
      <c r="M3" s="7"/>
      <c r="O3" s="7"/>
      <c r="Q3" s="7"/>
      <c r="R3" s="21"/>
      <c r="S3" s="7"/>
      <c r="T3" s="7"/>
      <c r="U3" s="11" t="s">
        <v>112</v>
      </c>
      <c r="V3" s="11">
        <f>COUNTIF($B$2:$B$496,"rarely")</f>
        <v>1</v>
      </c>
      <c r="W3" s="11">
        <f>COUNTIFS($B$2:$B$496,"rarely",'1'!$F$2:$F$496,"*staff*")</f>
        <v>1</v>
      </c>
      <c r="X3" s="11">
        <f>COUNTIFS($B$2:$B$496,"rarely",'1'!$F$2:$F$496,"*both*")</f>
        <v>0</v>
      </c>
      <c r="Y3" s="11">
        <f>COUNTIFS($B$2:$B$496,"rarely",'1'!$F$2:$F$496,"*users work*")</f>
        <v>0</v>
      </c>
      <c r="AA3" s="11">
        <f>COUNTIFS($B$2:$B$496,"rarely",'1'!$B$2:$B$496,"*flow cytometry*")</f>
        <v>0</v>
      </c>
      <c r="AB3" s="11">
        <f>COUNTIFS($B$2:$B$496,"rarely",'1'!$B$2:$B$496,"*genomics*")</f>
        <v>1</v>
      </c>
      <c r="AC3" s="11">
        <f>COUNTIFS($B$2:$B$496,"rarely",'1'!$B$2:$B$496,"*histology*")</f>
        <v>0</v>
      </c>
      <c r="AD3" s="11">
        <f>COUNTIFS($B$2:$B$496,"rarely",'1'!$B$2:$B$496,"*metabolomics*")</f>
        <v>0</v>
      </c>
      <c r="AE3" s="11">
        <f>COUNTIFS($B$2:$B$496,"rarely",'1'!$B$2:$B$496,"*microscopy*")</f>
        <v>0</v>
      </c>
      <c r="AF3" s="11">
        <f>COUNTIFS($B$2:$B$496,"rarely",'1'!$B$2:$B$496,"*mouse*")</f>
        <v>0</v>
      </c>
      <c r="AG3" s="11">
        <f>COUNTIFS($B$2:$B$496,"rarely",'1'!$B$2:$B$496,"*protein expression*")</f>
        <v>0</v>
      </c>
      <c r="AH3" s="11">
        <f>COUNTIFS($B$2:$B$496,"rarely",'1'!$B$2:$B$496,"*proteomics*")</f>
        <v>0</v>
      </c>
      <c r="AJ3" s="11" t="s">
        <v>82</v>
      </c>
      <c r="AK3" s="11">
        <f>COUNTIF($D$2:$D$496,"No")</f>
        <v>179</v>
      </c>
      <c r="AL3" s="11">
        <f>COUNTIFS($D$2:$D$496,"No",'1'!$F$2:$F$496,"*staff*")</f>
        <v>43</v>
      </c>
      <c r="AM3" s="11">
        <f>COUNTIFS($D$2:$D$496,"No",'1'!$F$2:$F$496,"*both*")</f>
        <v>110</v>
      </c>
      <c r="AN3" s="11">
        <f>COUNTIFS($D$2:$D$496,"No",'1'!$F$2:$F$496,"*users work*")</f>
        <v>26</v>
      </c>
      <c r="AP3" s="11">
        <f>COUNTIFS($D$2:$D$496,"No",'1'!$B$2:$B$496,"*flow cytometry*")</f>
        <v>34</v>
      </c>
      <c r="AQ3" s="11">
        <f>COUNTIFS($D$2:$D$496,"No",'1'!$B$2:$B$496,"*genomics*")</f>
        <v>21</v>
      </c>
      <c r="AR3" s="11">
        <f>COUNTIFS($D$2:$D$496,"No",'1'!$B$2:$B$496,"*histology*")</f>
        <v>8</v>
      </c>
      <c r="AS3" s="11">
        <f>COUNTIFS($D$2:$D$496,"No",'1'!$B$2:$B$496,"*metabolomics*")</f>
        <v>6</v>
      </c>
      <c r="AT3" s="11">
        <f>COUNTIFS($D$2:$D$496,"No",'1'!$B$2:$B$496,"*microscopy*")</f>
        <v>45</v>
      </c>
      <c r="AU3" s="11">
        <f>COUNTIFS($D$2:$D$496,"No",'1'!$B$2:$B$496,"*mouse*")</f>
        <v>6</v>
      </c>
      <c r="AV3" s="11">
        <f>COUNTIFS($D$2:$D$496,"No",'1'!$B$2:$B$496,"*protein expression*")</f>
        <v>3</v>
      </c>
      <c r="AW3" s="11">
        <f>COUNTIFS($D$2:$D$496,"No",'1'!$B$2:$B$496,"*proteomics*")</f>
        <v>22</v>
      </c>
      <c r="AY3" s="11" t="s">
        <v>3965</v>
      </c>
      <c r="AZ3" s="11">
        <f>COUNTIFS($D$2:$D$496,"No",$F$2:$F$496,"Yes")</f>
        <v>104</v>
      </c>
      <c r="BA3" s="11">
        <f>COUNTIFS($D$2:$D$496,"No",$F$2:$F$496,"Yes",'1'!$F$2:$F$496,"*staff*")</f>
        <v>29</v>
      </c>
      <c r="BB3" s="11">
        <f>COUNTIFS($D$2:$D$496,"No",$F$2:$F$496,"Yes",'1'!$F$2:$F$496,"*both*")</f>
        <v>65</v>
      </c>
      <c r="BC3" s="11">
        <f>COUNTIFS($D$2:$D$496,"No",$F$2:$F$496,"Yes",'1'!$F$2:$F$496,"*users work*")</f>
        <v>10</v>
      </c>
      <c r="BE3" s="11">
        <f>COUNTIFS($D$2:$D$496,"No",$F$2:$F$496,"Yes",'1'!$B$2:$B$496,"*flow cytometry*")</f>
        <v>19</v>
      </c>
      <c r="BF3" s="11">
        <f>COUNTIFS($D$2:$D$496,"No",$F$2:$F$496,"Yes",'1'!$B$2:$B$496,"*genomics*")</f>
        <v>12</v>
      </c>
      <c r="BG3" s="11">
        <f>COUNTIFS($D$2:$D$496,"No",$F$2:$F$496,"Yes",'1'!$B$2:$B$496,"*histology*")</f>
        <v>3</v>
      </c>
      <c r="BH3" s="11">
        <f>COUNTIFS($D$2:$D$496,"No",$F$2:$F$496,"Yes",'1'!$B$2:$B$496,"*metabolomics*")</f>
        <v>3</v>
      </c>
      <c r="BI3" s="11">
        <f>COUNTIFS($D$2:$D$496,"No",$F$2:$F$496,"Yes",'1'!$B$2:$B$496,"*microscopy*")</f>
        <v>26</v>
      </c>
      <c r="BJ3" s="11">
        <f>COUNTIFS($D$2:$D$496,"No",$F$2:$F$496,"Yes",'1'!$B$2:$B$496,"*mouse*")</f>
        <v>3</v>
      </c>
      <c r="BK3" s="11">
        <f>COUNTIFS($D$2:$D$496,"No",$F$2:$F$496,"Yes",'1'!$B$2:$B$496,"*protein expression*")</f>
        <v>2</v>
      </c>
      <c r="BL3" s="11">
        <f>COUNTIFS($D$2:$D$496,"No",$F$2:$F$496,"Yes",'1'!$B$2:$B$496,"*proteomics*")</f>
        <v>18</v>
      </c>
      <c r="BO3" s="11" t="s">
        <v>3965</v>
      </c>
      <c r="BP3" s="11">
        <f>COUNTIFS($D$62:$D$496,"No",$F$62:$F$496,"Yes")</f>
        <v>89</v>
      </c>
      <c r="BQ3" s="11">
        <f>COUNTIFS($D$62:$D$496,"No",$F$62:$F$496,"Yes",'1'!$F$62:$F$496,"*staff*")</f>
        <v>27</v>
      </c>
      <c r="BR3" s="11">
        <f>COUNTIFS($D$62:$D$496,"No",$F$62:$F$496,"Yes",'1'!$F$62:$F$496,"*both*")</f>
        <v>60</v>
      </c>
      <c r="BS3" s="11">
        <f>COUNTIFS($D$62:$D$496,"No",$F$62:$F$496,"Yes",'1'!$F$62:$F$496,"*users work*")</f>
        <v>2</v>
      </c>
      <c r="BT3" s="11"/>
      <c r="BU3" s="11"/>
      <c r="BV3" s="11" t="s">
        <v>82</v>
      </c>
      <c r="BW3" s="11">
        <f>COUNTIF($F$2:$F$496,"No")</f>
        <v>54</v>
      </c>
      <c r="BX3" s="11">
        <f>COUNTIFS($F$2:$F$496,"No",'1'!$F$2:$F$496,"*staff*")</f>
        <v>9</v>
      </c>
      <c r="BY3" s="11">
        <f>COUNTIFS($F$2:$F$496,"No",'1'!$F$2:$F$496,"*both*")</f>
        <v>36</v>
      </c>
      <c r="BZ3" s="11">
        <f>COUNTIFS($F$2:$F$496,"No",'1'!$F$2:$F$496,"*users work*")</f>
        <v>9</v>
      </c>
      <c r="CB3" s="11">
        <f>COUNTIFS($F$2:$F$496,"No",'1'!$B$2:$B$496,"*flow cytometry*")</f>
        <v>14</v>
      </c>
      <c r="CC3" s="11">
        <f>COUNTIFS($F$2:$F$496,"No",'1'!$B$2:$B$496,"*genomics*")</f>
        <v>7</v>
      </c>
      <c r="CD3" s="11">
        <f>COUNTIFS($F$2:$F$496,"No",'1'!$B$2:$B$496,"*histology*")</f>
        <v>3</v>
      </c>
      <c r="CE3" s="11">
        <f>COUNTIFS($F$2:$F$496,"No",'1'!$B$2:$B$496,"*metabolomics*")</f>
        <v>2</v>
      </c>
      <c r="CF3" s="11">
        <f>COUNTIFS($F$2:$F$496,"No",'1'!$B$2:$B$496,"*microscopy*")</f>
        <v>14</v>
      </c>
      <c r="CG3" s="11">
        <f>COUNTIFS($F$2:$F$496,"No",'1'!$B$2:$B$496,"*mouse*")</f>
        <v>2</v>
      </c>
      <c r="CH3" s="11">
        <f>COUNTIFS($F$2:$F$496,"No",'1'!$B$2:$B$496,"*protein expression*")</f>
        <v>1</v>
      </c>
      <c r="CI3" s="11">
        <f>COUNTIFS($F$2:$F$496,"No",'1'!$B$2:$B$496,"*proteomics*")</f>
        <v>1</v>
      </c>
      <c r="CK3" s="11" t="s">
        <v>82</v>
      </c>
      <c r="CL3" s="11">
        <f>COUNTIF($H$2:$H$496,"No")</f>
        <v>142</v>
      </c>
      <c r="CM3" s="11">
        <f>COUNTIFS($H$2:$H$496,"No",'1'!$B$2:$B$496,"*flow cytometry*")</f>
        <v>20</v>
      </c>
      <c r="CN3" s="11">
        <f>COUNTIFS($H$2:$H$496,"No",'1'!$B$2:$B$496,"*genomics*")</f>
        <v>18</v>
      </c>
      <c r="CO3" s="11">
        <f>COUNTIFS($H$2:$H$496,"No",'1'!$B$2:$B$496,"*histology*")</f>
        <v>4</v>
      </c>
      <c r="CP3" s="11">
        <f>COUNTIFS($H$2:$H$496,"No",'1'!$B$2:$B$496,"*metabolomics*")</f>
        <v>6</v>
      </c>
      <c r="CQ3" s="11">
        <f>COUNTIFS($H$2:$H$496,"No",'1'!$B$2:$B$496,"*microscopy*")</f>
        <v>35</v>
      </c>
      <c r="CR3" s="11">
        <f>COUNTIFS($H$2:$H$496,"No",'1'!$B$2:$B$496,"*mouse*")</f>
        <v>7</v>
      </c>
      <c r="CS3" s="11">
        <f>COUNTIFS($H$2:$H$496,"No",'1'!$B$2:$B$496,"*protein expression*")</f>
        <v>6</v>
      </c>
      <c r="CT3" s="11">
        <f>COUNTIFS($H$2:$H$496,"No",'1'!$B$2:$B$496,"*proteomics*")</f>
        <v>20</v>
      </c>
      <c r="CV3" s="11" t="s">
        <v>82</v>
      </c>
      <c r="CW3" s="11">
        <f>COUNTIF($I$2:$I$496,"No")</f>
        <v>126</v>
      </c>
      <c r="CX3" s="11">
        <f>COUNTIFS($I$2:$I$496,"No",'1'!$B$2:$B$496,"*flow cytometry*")</f>
        <v>22</v>
      </c>
      <c r="CY3" s="11">
        <f>COUNTIFS($I$2:$I$496,"No",'1'!$B$2:$B$496,"*genomics*")</f>
        <v>11</v>
      </c>
      <c r="CZ3" s="11">
        <f>COUNTIFS($I$2:$I$496,"No",'1'!$B$2:$B$496,"*histology*")</f>
        <v>8</v>
      </c>
      <c r="DA3" s="11">
        <f>COUNTIFS($I$2:$I$496,"No",'1'!$B$2:$B$496,"*metabolomics*")</f>
        <v>3</v>
      </c>
      <c r="DB3" s="11">
        <f>COUNTIFS($I$2:$I$496,"No",'1'!$B$2:$B$496,"*microscopy*")</f>
        <v>32</v>
      </c>
      <c r="DC3" s="11">
        <f>COUNTIFS($I$2:$I$496,"No",'1'!$B$2:$B$496,"*mouse*")</f>
        <v>6</v>
      </c>
      <c r="DD3" s="11">
        <f>COUNTIFS($I$2:$I$496,"No",'1'!$B$2:$B$496,"*protein expression*")</f>
        <v>5</v>
      </c>
      <c r="DE3" s="11">
        <f>COUNTIFS($I$2:$I$496,"No",'1'!$B$2:$B$496,"*proteomics*")</f>
        <v>15</v>
      </c>
      <c r="DG3" s="11" t="s">
        <v>82</v>
      </c>
      <c r="DH3" s="11">
        <f>COUNTIF($J$2:$J$496,"No")</f>
        <v>156</v>
      </c>
      <c r="DI3" s="11">
        <f>COUNTIFS($J$2:$J$496,"No",'1'!$F$2:$F$496,"*staff*")</f>
        <v>31</v>
      </c>
      <c r="DJ3" s="11">
        <f>COUNTIFS($J$2:$J$496,"No",'1'!$F$2:$F$496,"*both*")</f>
        <v>107</v>
      </c>
      <c r="DK3" s="11">
        <f>COUNTIFS($J$2:$J$496,"No",'1'!$F$2:$F$496,"*users work*")</f>
        <v>18</v>
      </c>
      <c r="DM3" s="11">
        <f>COUNTIFS($J$2:$J$496,"No",'1'!$B$2:$B$496,"*flow cytometry*")</f>
        <v>34</v>
      </c>
      <c r="DN3" s="11">
        <f>COUNTIFS($J$2:$J$496,"No",'1'!$B$2:$B$496,"*genomics*")</f>
        <v>16</v>
      </c>
      <c r="DO3" s="11">
        <f>COUNTIFS($J$2:$J$496,"No",'1'!$B$2:$B$496,"*histology*")</f>
        <v>6</v>
      </c>
      <c r="DP3" s="11">
        <f>COUNTIFS($J$2:$J$496,"No",'1'!$B$2:$B$496,"*metabolomics*")</f>
        <v>4</v>
      </c>
      <c r="DQ3" s="11">
        <f>COUNTIFS($J$2:$J$496,"No",'1'!$B$2:$B$496,"*microscopy*")</f>
        <v>39</v>
      </c>
      <c r="DR3" s="11">
        <f>COUNTIFS($J$2:$J$496,"No",'1'!$B$2:$B$496,"*mouse*")</f>
        <v>5</v>
      </c>
      <c r="DS3" s="11">
        <f>COUNTIFS($J$2:$J$496,"No",'1'!$B$2:$B$496,"*protein expression*")</f>
        <v>5</v>
      </c>
      <c r="DT3" s="11">
        <f>COUNTIFS($J$2:$J$496,"No",'1'!$B$2:$B$496,"*proteomics*")</f>
        <v>18</v>
      </c>
      <c r="DV3" s="11" t="s">
        <v>4235</v>
      </c>
      <c r="DW3" s="11">
        <f>COUNTIF(L$2:L$496,"*technical*")</f>
        <v>18</v>
      </c>
      <c r="DY3" s="11" t="s">
        <v>3374</v>
      </c>
      <c r="DZ3" s="11">
        <f>COUNTIF(N$2:N$496,"*equipment*")</f>
        <v>41</v>
      </c>
      <c r="EB3" s="11" t="s">
        <v>3374</v>
      </c>
      <c r="EC3" s="11">
        <f>COUNTIF(P$2:P$496,"*equipment*")</f>
        <v>36</v>
      </c>
      <c r="EE3" s="11" t="s">
        <v>4018</v>
      </c>
      <c r="EF3" s="11">
        <f>COUNTIF(R$2:R$496,"*staff*")</f>
        <v>40</v>
      </c>
    </row>
    <row r="4" spans="1:140" ht="102" x14ac:dyDescent="0.2">
      <c r="A4" s="11">
        <v>3</v>
      </c>
      <c r="B4" s="11" t="s">
        <v>113</v>
      </c>
      <c r="D4" s="11" t="s">
        <v>82</v>
      </c>
      <c r="F4" s="39" t="s">
        <v>81</v>
      </c>
      <c r="G4" s="70" t="s">
        <v>3877</v>
      </c>
      <c r="H4" s="11" t="s">
        <v>82</v>
      </c>
      <c r="I4" s="11" t="s">
        <v>82</v>
      </c>
      <c r="J4" s="11" t="s">
        <v>82</v>
      </c>
      <c r="K4" s="7"/>
      <c r="M4" s="7"/>
      <c r="O4" s="7" t="s">
        <v>135</v>
      </c>
      <c r="P4" s="21" t="s">
        <v>3445</v>
      </c>
      <c r="Q4" s="7" t="s">
        <v>136</v>
      </c>
      <c r="R4" s="21" t="s">
        <v>3273</v>
      </c>
      <c r="S4" s="7"/>
      <c r="T4" s="7"/>
      <c r="U4" s="11" t="s">
        <v>100</v>
      </c>
      <c r="V4" s="11">
        <f>COUNTIF($B$2:$B$496,"sometimes")</f>
        <v>60</v>
      </c>
      <c r="W4" s="11">
        <f>COUNTIFS($B$2:$B$496,"sometimes",'1'!$F$2:$F$496,"*staff*")</f>
        <v>10</v>
      </c>
      <c r="X4" s="11">
        <f>COUNTIFS($B$2:$B$496,"sometimes",'1'!$F$2:$F$496,"*both*")</f>
        <v>38</v>
      </c>
      <c r="Y4" s="11">
        <f>COUNTIFS($B$2:$B$496,"sometimes",'1'!$F$2:$F$496,"*users work*")</f>
        <v>12</v>
      </c>
      <c r="AA4" s="11">
        <f>COUNTIFS($B$2:$B$496,"sometimes",'1'!$B$2:$B$496,"*flow cytometry*")</f>
        <v>18</v>
      </c>
      <c r="AB4" s="11">
        <f>COUNTIFS($B$2:$B$496,"sometimes",'1'!$B$2:$B$496,"*genomics*")</f>
        <v>6</v>
      </c>
      <c r="AC4" s="11">
        <f>COUNTIFS($B$2:$B$496,"sometimes",'1'!$B$2:$B$496,"*histology*")</f>
        <v>3</v>
      </c>
      <c r="AD4" s="11">
        <f>COUNTIFS($B$2:$B$496,"sometimes",'1'!$B$2:$B$496,"*metabolomics*")</f>
        <v>1</v>
      </c>
      <c r="AE4" s="11">
        <f>COUNTIFS($B$2:$B$496,"sometimes",'1'!$B$2:$B$496,"*microscopy*")</f>
        <v>10</v>
      </c>
      <c r="AF4" s="11">
        <f>COUNTIFS($B$2:$B$496,"sometimes",'1'!$B$2:$B$496,"*mouse*")</f>
        <v>2</v>
      </c>
      <c r="AG4" s="11">
        <f>COUNTIFS($B$2:$B$496,"sometimes",'1'!$B$2:$B$496,"*protein expression*")</f>
        <v>4</v>
      </c>
      <c r="AH4" s="11">
        <f>COUNTIFS($B$2:$B$496,"sometimes",'1'!$B$2:$B$496,"*proteomics*")</f>
        <v>6</v>
      </c>
      <c r="AK4" s="11">
        <f>SUM(AK2:AK3)</f>
        <v>253</v>
      </c>
      <c r="AY4" s="11" t="s">
        <v>4233</v>
      </c>
      <c r="AZ4" s="11">
        <f>COUNTIFS($D$2:$D$496,"No",$F$2:$F$496,"No")</f>
        <v>54</v>
      </c>
      <c r="BA4" s="11">
        <f>COUNTIFS($D$2:$D$496,"No",$F$2:$F$496,"No",'1'!$F$2:$F$496,"*staff*")</f>
        <v>9</v>
      </c>
      <c r="BB4" s="11">
        <f>COUNTIFS($D$2:$D$496,"No",$F$2:$F$496,"No",'1'!$F$2:$F$496,"*both*")</f>
        <v>36</v>
      </c>
      <c r="BC4" s="11">
        <f>COUNTIFS($D$2:$D$496,"No",$F$2:$F$496,"No",'1'!$F$2:$F$496,"*users work*")</f>
        <v>9</v>
      </c>
      <c r="BE4" s="11">
        <f>COUNTIFS($D$2:$D$496,"No",$F$2:$F$496,"No",'1'!$B$2:$B$496,"*flow cytometry*")</f>
        <v>14</v>
      </c>
      <c r="BF4" s="11">
        <f>COUNTIFS($D$2:$D$496,"No",$F$2:$F$496,"No",'1'!$B$2:$B$496,"*genomics*")</f>
        <v>7</v>
      </c>
      <c r="BG4" s="11">
        <f>COUNTIFS($D$2:$D$496,"No",$F$2:$F$496,"No",'1'!$B$2:$B$496,"*histology*")</f>
        <v>3</v>
      </c>
      <c r="BH4" s="11">
        <f>COUNTIFS($D$2:$D$496,"No",$F$2:$F$496,"No",'1'!$B$2:$B$496,"*metabolomics*")</f>
        <v>2</v>
      </c>
      <c r="BI4" s="11">
        <f>COUNTIFS($D$2:$D$496,"No",$F$2:$F$496,"No",'1'!$B$2:$B$496,"*microscopy*")</f>
        <v>14</v>
      </c>
      <c r="BJ4" s="11">
        <f>COUNTIFS($D$2:$D$496,"No",$F$2:$F$496,"No",'1'!$B$2:$B$496,"*mouse*")</f>
        <v>2</v>
      </c>
      <c r="BK4" s="11">
        <f>COUNTIFS($D$2:$D$496,"No",$F$2:$F$496,"No",'1'!$B$2:$B$496,"*protein expression*")</f>
        <v>1</v>
      </c>
      <c r="BL4" s="11">
        <f>COUNTIFS($D$2:$D$496,"No",$F$2:$F$496,"No",'1'!$B$2:$B$496,"*proteomics*")</f>
        <v>1</v>
      </c>
      <c r="BO4" s="11" t="s">
        <v>4233</v>
      </c>
      <c r="BP4" s="11">
        <f>COUNTIFS($D$62:$D$496,"No",$F$62:$F$496,"No")</f>
        <v>48</v>
      </c>
      <c r="BQ4" s="11">
        <f>COUNTIFS($D$62:$D$496,"No",$F$62:$F$496,"No",'1'!$F$62:$F$496,"*staff*")</f>
        <v>9</v>
      </c>
      <c r="BR4" s="11">
        <f>COUNTIFS($D$62:$D$496,"No",$F$62:$F$496,"No",'1'!$F$62:$F$496,"*both*")</f>
        <v>32</v>
      </c>
      <c r="BS4" s="11">
        <f>COUNTIFS($D$62:$D$496,"No",$F$62:$F$496,"No",'1'!$F$62:$F$496,"*users work*")</f>
        <v>7</v>
      </c>
      <c r="BT4" s="11"/>
      <c r="BU4" s="11"/>
      <c r="BV4" s="7"/>
      <c r="BW4" s="7"/>
      <c r="BX4" s="7"/>
      <c r="BY4" s="7"/>
      <c r="BZ4" s="7"/>
      <c r="CA4" s="7"/>
      <c r="CB4" s="7"/>
      <c r="CC4" s="7"/>
      <c r="CD4" s="7"/>
      <c r="CE4" s="7"/>
      <c r="CF4" s="7"/>
      <c r="CG4" s="7"/>
      <c r="CH4" s="7"/>
      <c r="CI4" s="7"/>
      <c r="CJ4" s="7"/>
      <c r="CL4" s="11">
        <f>SUM(CL2:CL3)</f>
        <v>253</v>
      </c>
      <c r="CW4" s="11">
        <f>SUM(CW2:CW3)</f>
        <v>253</v>
      </c>
      <c r="DH4" s="11">
        <f>SUM(DH2:DH3)</f>
        <v>253</v>
      </c>
      <c r="DV4" s="11" t="s">
        <v>3920</v>
      </c>
      <c r="DW4" s="11">
        <f>COUNTIF(L$2:L$496,"*knowledge*")</f>
        <v>15</v>
      </c>
      <c r="DY4" s="11" t="s">
        <v>3923</v>
      </c>
      <c r="DZ4" s="11">
        <f>COUNTIF(N$2:N$496,"*user*")+COUNTIF(N$2:N$496,"*training*")</f>
        <v>38</v>
      </c>
      <c r="EB4" s="11" t="s">
        <v>1431</v>
      </c>
      <c r="EC4" s="11">
        <f>COUNTIF(P$2:P$496,"*data analysis*")</f>
        <v>21</v>
      </c>
      <c r="EE4" s="11" t="s">
        <v>1057</v>
      </c>
      <c r="EF4" s="11">
        <f>COUNTIF(R$2:R$496,"*development*")</f>
        <v>25</v>
      </c>
    </row>
    <row r="5" spans="1:140" ht="25.5" x14ac:dyDescent="0.2">
      <c r="A5" s="11">
        <v>4</v>
      </c>
      <c r="B5" s="11" t="s">
        <v>113</v>
      </c>
      <c r="D5" s="11" t="s">
        <v>82</v>
      </c>
      <c r="F5" s="39" t="s">
        <v>246</v>
      </c>
      <c r="G5" s="70" t="s">
        <v>147</v>
      </c>
      <c r="H5" s="11" t="s">
        <v>82</v>
      </c>
      <c r="I5" s="11" t="s">
        <v>82</v>
      </c>
      <c r="J5" s="11" t="s">
        <v>82</v>
      </c>
      <c r="K5" s="7"/>
      <c r="M5" s="7" t="s">
        <v>148</v>
      </c>
      <c r="N5" s="21" t="s">
        <v>148</v>
      </c>
      <c r="O5" s="7" t="s">
        <v>149</v>
      </c>
      <c r="P5" s="21" t="s">
        <v>1498</v>
      </c>
      <c r="Q5" s="7" t="s">
        <v>150</v>
      </c>
      <c r="R5" s="21" t="s">
        <v>1066</v>
      </c>
      <c r="S5" s="7"/>
      <c r="T5" s="7"/>
      <c r="U5" s="11" t="s">
        <v>113</v>
      </c>
      <c r="V5" s="11">
        <f>COUNTIF($B$2:$B$496,"often")</f>
        <v>145</v>
      </c>
      <c r="W5" s="11">
        <f>COUNTIFS($B$2:$B$496,"often",'1'!$F$2:$F$496,"*staff*")</f>
        <v>40</v>
      </c>
      <c r="X5" s="11">
        <f>COUNTIFS($B$2:$B$496,"often",'1'!$F$2:$F$496,"*both*")</f>
        <v>92</v>
      </c>
      <c r="Y5" s="11">
        <f>COUNTIFS($B$2:$B$496,"often",'1'!$F$2:$F$496,"*users work*")</f>
        <v>13</v>
      </c>
      <c r="AA5" s="11">
        <f>COUNTIFS($B$2:$B$496,"often",'1'!$B$2:$B$496,"*flow cytometry*")</f>
        <v>20</v>
      </c>
      <c r="AB5" s="11">
        <f>COUNTIFS($B$2:$B$496,"often",'1'!$B$2:$B$496,"*genomics*")</f>
        <v>18</v>
      </c>
      <c r="AC5" s="11">
        <f>COUNTIFS($B$2:$B$496,"often",'1'!$B$2:$B$496,"*histology*")</f>
        <v>7</v>
      </c>
      <c r="AD5" s="11">
        <f>COUNTIFS($B$2:$B$496,"often",'1'!$B$2:$B$496,"*metabolomics*")</f>
        <v>6</v>
      </c>
      <c r="AE5" s="11">
        <f>COUNTIFS($B$2:$B$496,"often",'1'!$B$2:$B$496,"*microscopy*")</f>
        <v>36</v>
      </c>
      <c r="AF5" s="11">
        <f>COUNTIFS($B$2:$B$496,"often",'1'!$B$2:$B$496,"*mouse*")</f>
        <v>8</v>
      </c>
      <c r="AG5" s="11">
        <f>COUNTIFS($B$2:$B$496,"often",'1'!$B$2:$B$496,"*protein expression*")</f>
        <v>2</v>
      </c>
      <c r="AH5" s="11">
        <f>COUNTIFS($B$2:$B$496,"often",'1'!$B$2:$B$496,"*proteomics*")</f>
        <v>19</v>
      </c>
      <c r="AY5" s="11" t="s">
        <v>82</v>
      </c>
      <c r="AZ5" s="11">
        <f>AK3-AZ3-AZ4</f>
        <v>21</v>
      </c>
      <c r="BA5" s="11">
        <f>AL3-BA3-BA4</f>
        <v>5</v>
      </c>
      <c r="BB5" s="11">
        <f>AM3-BB3-BB4</f>
        <v>9</v>
      </c>
      <c r="BC5" s="11">
        <f t="shared" ref="BC5:BL5" si="0">AN3-BC3-BC4</f>
        <v>7</v>
      </c>
      <c r="BE5" s="11">
        <f t="shared" si="0"/>
        <v>1</v>
      </c>
      <c r="BF5" s="11">
        <f t="shared" si="0"/>
        <v>2</v>
      </c>
      <c r="BG5" s="11">
        <f t="shared" si="0"/>
        <v>2</v>
      </c>
      <c r="BH5" s="11">
        <f t="shared" si="0"/>
        <v>1</v>
      </c>
      <c r="BI5" s="11">
        <f t="shared" si="0"/>
        <v>5</v>
      </c>
      <c r="BJ5" s="11">
        <f t="shared" si="0"/>
        <v>1</v>
      </c>
      <c r="BK5" s="11">
        <f t="shared" si="0"/>
        <v>0</v>
      </c>
      <c r="BL5" s="11">
        <f t="shared" si="0"/>
        <v>3</v>
      </c>
      <c r="BO5" s="11"/>
      <c r="BP5" s="11"/>
      <c r="BQ5" s="11"/>
      <c r="BR5" s="11"/>
      <c r="BS5" s="11"/>
      <c r="BT5" s="11"/>
      <c r="BU5" s="11"/>
      <c r="BV5" s="7"/>
      <c r="BW5" s="7"/>
      <c r="BX5" s="7"/>
      <c r="BY5" s="7"/>
      <c r="BZ5" s="7"/>
      <c r="CA5" s="7"/>
      <c r="CB5" s="7"/>
      <c r="CC5" s="7"/>
      <c r="CD5" s="7"/>
      <c r="CE5" s="7"/>
      <c r="CF5" s="7"/>
      <c r="CG5" s="7"/>
      <c r="CH5" s="7"/>
      <c r="CI5" s="7"/>
      <c r="CJ5" s="7"/>
      <c r="DV5" s="11" t="s">
        <v>3922</v>
      </c>
      <c r="DW5" s="11">
        <f>COUNTIF(L$2:L$496,"*quality*")</f>
        <v>13</v>
      </c>
      <c r="DY5" s="11" t="s">
        <v>3373</v>
      </c>
      <c r="DZ5" s="11">
        <f>COUNTIF(N$2:N$496,"*SOP*")</f>
        <v>32</v>
      </c>
      <c r="EB5" s="11" t="s">
        <v>3376</v>
      </c>
      <c r="EC5" s="11">
        <f>COUNTIF(P$2:P$496,"*data management*")</f>
        <v>19</v>
      </c>
      <c r="EE5" s="11" t="s">
        <v>3280</v>
      </c>
      <c r="EF5" s="11">
        <f>COUNTIF(R$2:R$496,"*time*")+COUNTIF(R$2:R$496,"*capacity*")</f>
        <v>21</v>
      </c>
    </row>
    <row r="6" spans="1:140" ht="25.5" x14ac:dyDescent="0.2">
      <c r="A6" s="11">
        <v>5</v>
      </c>
      <c r="B6" s="11" t="s">
        <v>100</v>
      </c>
      <c r="D6" s="11" t="s">
        <v>84</v>
      </c>
      <c r="F6" s="39"/>
      <c r="G6" s="70"/>
      <c r="H6" s="11" t="s">
        <v>84</v>
      </c>
      <c r="I6" s="11" t="s">
        <v>84</v>
      </c>
      <c r="J6" s="11" t="s">
        <v>82</v>
      </c>
      <c r="K6" s="7"/>
      <c r="M6" s="7" t="s">
        <v>160</v>
      </c>
      <c r="O6" s="7"/>
      <c r="Q6" s="7"/>
      <c r="R6" s="21"/>
      <c r="S6" s="7"/>
      <c r="T6" s="7"/>
      <c r="U6" s="11" t="s">
        <v>93</v>
      </c>
      <c r="V6" s="11">
        <f>COUNTIF($B$2:$B$496,"always")</f>
        <v>47</v>
      </c>
      <c r="W6" s="11">
        <f>COUNTIFS($B$2:$B$496,"always",'1'!$F$2:$F$496,"*staff*")</f>
        <v>15</v>
      </c>
      <c r="X6" s="11">
        <f>COUNTIFS($B$2:$B$496,"always",'1'!$F$2:$F$496,"*both*")</f>
        <v>30</v>
      </c>
      <c r="Y6" s="11">
        <f>COUNTIFS($B$2:$B$496,"always",'1'!$F$2:$F$496,"*users work*")</f>
        <v>2</v>
      </c>
      <c r="AA6" s="11">
        <f>COUNTIFS($B$2:$B$496,"always",'1'!$B$2:$B$496,"*flow cytometry*")</f>
        <v>7</v>
      </c>
      <c r="AB6" s="11">
        <f>COUNTIFS($B$2:$B$496,"always",'1'!$B$2:$B$496,"*genomics*")</f>
        <v>5</v>
      </c>
      <c r="AC6" s="11">
        <f>COUNTIFS($B$2:$B$496,"always",'1'!$B$2:$B$496,"*histology*")</f>
        <v>1</v>
      </c>
      <c r="AD6" s="11">
        <f>COUNTIFS($B$2:$B$496,"always",'1'!$B$2:$B$496,"*metabolomics*")</f>
        <v>0</v>
      </c>
      <c r="AE6" s="11">
        <f>COUNTIFS($B$2:$B$496,"always",'1'!$B$2:$B$496,"*microscopy*")</f>
        <v>12</v>
      </c>
      <c r="AF6" s="11">
        <f>COUNTIFS($B$2:$B$496,"always",'1'!$B$2:$B$496,"*mouse*")</f>
        <v>2</v>
      </c>
      <c r="AG6" s="11">
        <f>COUNTIFS($B$2:$B$496,"always",'1'!$B$2:$B$496,"*protein expression*")</f>
        <v>2</v>
      </c>
      <c r="AH6" s="11">
        <f>COUNTIFS($B$2:$B$496,"always",'1'!$B$2:$B$496,"*proteomics*")</f>
        <v>9</v>
      </c>
      <c r="AZ6" s="11">
        <f>SUM(AZ2:AZ5)</f>
        <v>253</v>
      </c>
      <c r="BO6" s="11"/>
      <c r="BP6" s="11">
        <f>SUM(BP2:BP5)</f>
        <v>196</v>
      </c>
      <c r="BQ6" s="11"/>
      <c r="BR6" s="11"/>
      <c r="BS6" s="11"/>
      <c r="BT6" s="11"/>
      <c r="BU6" s="11"/>
      <c r="DV6" s="11" t="s">
        <v>1043</v>
      </c>
      <c r="DW6" s="11">
        <f>COUNTIF(L$2:L$496,"*SOP*")</f>
        <v>10</v>
      </c>
      <c r="DY6" s="11" t="s">
        <v>3372</v>
      </c>
      <c r="DZ6" s="11">
        <f>COUNTIF(N$2:N$496,"*sample*")+COUNTIF(N$2:N$496,"*controls*")</f>
        <v>29</v>
      </c>
      <c r="EB6" s="11" t="s">
        <v>3441</v>
      </c>
      <c r="EC6" s="11">
        <f>COUNTIF(P$2:P$496,"*training user*")</f>
        <v>15</v>
      </c>
      <c r="EE6" s="11" t="s">
        <v>1055</v>
      </c>
      <c r="EF6" s="11">
        <f>COUNTIF(R$2:R$496,"*equipment*")</f>
        <v>10</v>
      </c>
    </row>
    <row r="7" spans="1:140" ht="51" x14ac:dyDescent="0.2">
      <c r="A7" s="11">
        <v>6</v>
      </c>
      <c r="B7" s="11" t="s">
        <v>113</v>
      </c>
      <c r="C7" s="7" t="s">
        <v>1028</v>
      </c>
      <c r="D7" s="11" t="s">
        <v>82</v>
      </c>
      <c r="F7" s="39"/>
      <c r="H7" s="11" t="s">
        <v>82</v>
      </c>
      <c r="I7" s="11" t="s">
        <v>82</v>
      </c>
      <c r="J7" s="11" t="s">
        <v>82</v>
      </c>
      <c r="K7" s="7"/>
      <c r="M7" s="7" t="s">
        <v>174</v>
      </c>
      <c r="N7" s="21" t="s">
        <v>1046</v>
      </c>
      <c r="O7" s="7" t="s">
        <v>175</v>
      </c>
      <c r="P7" s="21" t="s">
        <v>1056</v>
      </c>
      <c r="Q7" s="7" t="s">
        <v>176</v>
      </c>
      <c r="R7" s="21" t="s">
        <v>3282</v>
      </c>
      <c r="S7" s="7"/>
      <c r="T7" s="7"/>
      <c r="V7" s="11">
        <f>SUM(V2:V6)</f>
        <v>253</v>
      </c>
      <c r="BO7" s="11"/>
      <c r="BP7" s="11"/>
      <c r="BQ7" s="11"/>
      <c r="BR7" s="11"/>
      <c r="BS7" s="11"/>
      <c r="BT7" s="11"/>
      <c r="BU7" s="11"/>
      <c r="DV7" s="11" t="s">
        <v>3921</v>
      </c>
      <c r="DW7" s="11">
        <f>COUNTIF(L$2:L$496,"*audit*")</f>
        <v>7</v>
      </c>
      <c r="DY7" s="11" t="s">
        <v>1054</v>
      </c>
      <c r="DZ7" s="11">
        <f>COUNTIF(N$2:N$496,"*quality*")</f>
        <v>22</v>
      </c>
      <c r="EB7" s="11" t="s">
        <v>3371</v>
      </c>
      <c r="EC7" s="11">
        <f>COUNTIF(P$2:P$496,"*development*")+COUNTIF(P$2:P$496,"*expertise*")</f>
        <v>14</v>
      </c>
      <c r="EE7" s="11" t="s">
        <v>1066</v>
      </c>
      <c r="EF7" s="11">
        <f>COUNTIF(R$2:R$496,"*cost recovery*")</f>
        <v>6</v>
      </c>
    </row>
    <row r="8" spans="1:140" ht="63.75" x14ac:dyDescent="0.2">
      <c r="A8" s="11">
        <v>7</v>
      </c>
      <c r="B8" s="11" t="s">
        <v>100</v>
      </c>
      <c r="C8" s="11" t="s">
        <v>4108</v>
      </c>
      <c r="D8" s="11" t="s">
        <v>82</v>
      </c>
      <c r="F8" s="39"/>
      <c r="G8" s="11" t="s">
        <v>190</v>
      </c>
      <c r="H8" s="11" t="s">
        <v>84</v>
      </c>
      <c r="I8" s="11" t="s">
        <v>84</v>
      </c>
      <c r="J8" s="11" t="s">
        <v>82</v>
      </c>
      <c r="K8" s="7"/>
      <c r="M8" s="7" t="s">
        <v>191</v>
      </c>
      <c r="N8" s="21" t="s">
        <v>3320</v>
      </c>
      <c r="O8" s="7" t="s">
        <v>192</v>
      </c>
      <c r="P8" s="21" t="s">
        <v>3393</v>
      </c>
      <c r="Q8" s="7" t="s">
        <v>193</v>
      </c>
      <c r="R8" s="21" t="s">
        <v>1064</v>
      </c>
      <c r="S8" s="7"/>
      <c r="T8" s="7"/>
      <c r="BO8" s="11"/>
      <c r="BP8" s="11"/>
      <c r="BQ8" s="11"/>
      <c r="BR8" s="11"/>
      <c r="BS8" s="11"/>
      <c r="BT8" s="11"/>
      <c r="BU8" s="11"/>
      <c r="DV8" s="11" t="s">
        <v>148</v>
      </c>
      <c r="DW8" s="11">
        <f>COUNTIF(L$2:L$496,"*documentation*")</f>
        <v>3</v>
      </c>
      <c r="DY8" s="11" t="s">
        <v>1431</v>
      </c>
      <c r="DZ8" s="11">
        <f>COUNTIF(N$2:N$496,"*data analysis*")</f>
        <v>20</v>
      </c>
      <c r="EB8" s="11" t="s">
        <v>3442</v>
      </c>
      <c r="EC8" s="11">
        <f>COUNTIF(P$2:P$496,"*sample management*")+COUNTIF(P$2:P$496,"*project management*")</f>
        <v>11</v>
      </c>
      <c r="EE8" s="11" t="s">
        <v>3262</v>
      </c>
      <c r="EF8" s="11">
        <f>COUNTIF(R$2:R$496,"*space*")</f>
        <v>4</v>
      </c>
    </row>
    <row r="9" spans="1:140" ht="25.5" x14ac:dyDescent="0.2">
      <c r="A9" s="11">
        <v>8</v>
      </c>
      <c r="B9" s="11" t="s">
        <v>113</v>
      </c>
      <c r="D9" s="11" t="s">
        <v>84</v>
      </c>
      <c r="F9" s="39"/>
      <c r="H9" s="11" t="s">
        <v>84</v>
      </c>
      <c r="I9" s="11" t="s">
        <v>84</v>
      </c>
      <c r="J9" s="11" t="s">
        <v>84</v>
      </c>
      <c r="K9" s="7"/>
      <c r="O9" s="7"/>
      <c r="R9" s="21"/>
      <c r="S9" s="7"/>
      <c r="T9" s="7"/>
      <c r="BO9" s="11"/>
      <c r="BP9" s="11"/>
      <c r="BQ9" s="11"/>
      <c r="BR9" s="11"/>
      <c r="BS9" s="11"/>
      <c r="BT9" s="11"/>
      <c r="BU9" s="11"/>
      <c r="DY9" s="11" t="s">
        <v>3376</v>
      </c>
      <c r="DZ9" s="11">
        <f>COUNTIF(N$2:N$496,"*data management*")+COUNTIF(N$2:N$496,"*metadata*")+COUNTIF(N$2:N$496,"*documentation*")</f>
        <v>15</v>
      </c>
      <c r="EB9" s="11" t="s">
        <v>4027</v>
      </c>
      <c r="EC9" s="11">
        <f>COUNTIF(P$2:P$496,"*CF management*")+COUNTIF(P$2:P$496,"*infrastructure*")</f>
        <v>9</v>
      </c>
      <c r="EE9" s="28" t="s">
        <v>3296</v>
      </c>
      <c r="EF9" s="11">
        <f>COUNTIF(R$2:R$496,"*data management*")+COUNTIF(R$2:R$496,"*infrastructure*")</f>
        <v>6</v>
      </c>
    </row>
    <row r="10" spans="1:140" ht="127.5" x14ac:dyDescent="0.2">
      <c r="A10" s="11">
        <v>9</v>
      </c>
      <c r="B10" s="11" t="s">
        <v>113</v>
      </c>
      <c r="C10" s="19" t="s">
        <v>216</v>
      </c>
      <c r="D10" s="11" t="s">
        <v>82</v>
      </c>
      <c r="F10" s="39"/>
      <c r="G10" s="7" t="s">
        <v>3879</v>
      </c>
      <c r="H10" s="11" t="s">
        <v>82</v>
      </c>
      <c r="I10" s="11" t="s">
        <v>82</v>
      </c>
      <c r="J10" s="11" t="s">
        <v>84</v>
      </c>
      <c r="K10" s="7" t="s">
        <v>218</v>
      </c>
      <c r="L10" s="21" t="s">
        <v>3899</v>
      </c>
      <c r="M10" s="7" t="s">
        <v>219</v>
      </c>
      <c r="N10" s="21" t="s">
        <v>899</v>
      </c>
      <c r="O10" s="7" t="s">
        <v>220</v>
      </c>
      <c r="P10" s="21" t="s">
        <v>3422</v>
      </c>
      <c r="Q10" s="7" t="s">
        <v>221</v>
      </c>
      <c r="R10" s="21" t="s">
        <v>1067</v>
      </c>
      <c r="S10" s="7"/>
      <c r="T10" s="7"/>
      <c r="BO10" s="11"/>
      <c r="BP10" s="11"/>
      <c r="BQ10" s="11"/>
      <c r="BR10" s="11"/>
      <c r="BS10" s="11"/>
      <c r="BT10" s="11"/>
      <c r="BU10" s="11"/>
      <c r="DY10" s="11" t="s">
        <v>3371</v>
      </c>
      <c r="DZ10" s="11">
        <f>COUNTIF(N$2:N$496,"*expertise*")+COUNTIF(N$2:N$496,"*development*")</f>
        <v>16</v>
      </c>
      <c r="EB10" s="11" t="s">
        <v>3446</v>
      </c>
      <c r="EC10" s="11">
        <f>COUNTIF(P$2:P$496,"*communication*")+COUNTIF(P$2:P$496,"*collaboration*")+COUNTIF(P$2:P$496,"*involvement*")</f>
        <v>8</v>
      </c>
      <c r="EE10" s="28" t="s">
        <v>1063</v>
      </c>
      <c r="EF10" s="11">
        <f>COUNTIF(R$2:R$496,"*project complexity*")</f>
        <v>3</v>
      </c>
    </row>
    <row r="11" spans="1:140" ht="63.75" x14ac:dyDescent="0.2">
      <c r="A11" s="11">
        <v>10</v>
      </c>
      <c r="B11" s="11" t="s">
        <v>113</v>
      </c>
      <c r="C11" s="7" t="s">
        <v>1029</v>
      </c>
      <c r="D11" s="11" t="s">
        <v>82</v>
      </c>
      <c r="F11" s="39" t="s">
        <v>81</v>
      </c>
      <c r="G11" s="19" t="s">
        <v>235</v>
      </c>
      <c r="H11" s="11" t="s">
        <v>82</v>
      </c>
      <c r="I11" s="11" t="s">
        <v>84</v>
      </c>
      <c r="J11" s="11" t="s">
        <v>82</v>
      </c>
      <c r="K11" s="7"/>
      <c r="M11" s="7" t="s">
        <v>236</v>
      </c>
      <c r="N11" s="21" t="s">
        <v>3926</v>
      </c>
      <c r="O11" s="7" t="s">
        <v>237</v>
      </c>
      <c r="P11" s="21" t="s">
        <v>3423</v>
      </c>
      <c r="Q11" s="7" t="s">
        <v>238</v>
      </c>
      <c r="R11" s="21" t="s">
        <v>1068</v>
      </c>
      <c r="S11" s="7"/>
      <c r="T11" s="7"/>
      <c r="BO11" s="11"/>
      <c r="BP11" s="11"/>
      <c r="BQ11" s="11"/>
      <c r="BR11" s="11"/>
      <c r="BS11" s="11"/>
      <c r="BT11" s="11"/>
      <c r="BU11" s="11"/>
      <c r="DY11" s="11" t="s">
        <v>1053</v>
      </c>
      <c r="DZ11" s="11">
        <f>COUNTIF(N$2:N$496,"*design*")</f>
        <v>15</v>
      </c>
      <c r="EB11" s="11" t="s">
        <v>3443</v>
      </c>
      <c r="EC11" s="11">
        <f>COUNTIF(P$2:P$496,"*automa*")</f>
        <v>8</v>
      </c>
      <c r="EE11" s="28" t="s">
        <v>1054</v>
      </c>
      <c r="EF11" s="11">
        <f>COUNTIF(R$2:R$496,"*quality*")</f>
        <v>3</v>
      </c>
      <c r="EI11" s="28"/>
      <c r="EJ11" s="28"/>
    </row>
    <row r="12" spans="1:140" ht="25.5" x14ac:dyDescent="0.2">
      <c r="A12" s="11">
        <v>11</v>
      </c>
      <c r="B12" s="11" t="s">
        <v>100</v>
      </c>
      <c r="D12" s="11" t="s">
        <v>82</v>
      </c>
      <c r="F12" s="39" t="s">
        <v>246</v>
      </c>
      <c r="G12" s="7" t="s">
        <v>246</v>
      </c>
      <c r="H12" s="11" t="s">
        <v>82</v>
      </c>
      <c r="I12" s="11" t="s">
        <v>84</v>
      </c>
      <c r="J12" s="11" t="s">
        <v>82</v>
      </c>
      <c r="K12" s="7"/>
      <c r="M12" s="7" t="s">
        <v>4030</v>
      </c>
      <c r="N12" s="21" t="s">
        <v>1061</v>
      </c>
      <c r="O12" s="7" t="s">
        <v>249</v>
      </c>
      <c r="P12" s="21" t="s">
        <v>1498</v>
      </c>
      <c r="Q12" s="7" t="s">
        <v>250</v>
      </c>
      <c r="R12" s="21" t="s">
        <v>899</v>
      </c>
      <c r="S12" s="7"/>
      <c r="T12" s="7"/>
      <c r="BV12" s="19"/>
      <c r="BW12" s="19"/>
      <c r="BX12" s="19"/>
      <c r="BY12" s="19"/>
      <c r="BZ12" s="19"/>
      <c r="CA12" s="19"/>
      <c r="CB12" s="19"/>
      <c r="CC12" s="19"/>
      <c r="CD12" s="19"/>
      <c r="CE12" s="19"/>
      <c r="CF12" s="19"/>
      <c r="CG12" s="19"/>
      <c r="CH12" s="19"/>
      <c r="CI12" s="19"/>
      <c r="CJ12" s="19"/>
      <c r="DY12" s="11" t="s">
        <v>3368</v>
      </c>
      <c r="DZ12" s="11">
        <f>COUNTIF(N$2:N$496,"*communication*")+COUNTIF(N$2:N$496,"*collaboration*")</f>
        <v>14</v>
      </c>
      <c r="EB12" s="11" t="s">
        <v>1054</v>
      </c>
      <c r="EC12" s="11">
        <f>COUNTIF(P$2:P$496,"*quality*")</f>
        <v>7</v>
      </c>
      <c r="EE12" s="28" t="s">
        <v>3272</v>
      </c>
      <c r="EF12" s="11">
        <f>COUNTIF(R$2:R$496,"*standardization*")</f>
        <v>1</v>
      </c>
      <c r="EI12" s="28"/>
      <c r="EJ12" s="28"/>
    </row>
    <row r="13" spans="1:140" ht="38.25" x14ac:dyDescent="0.2">
      <c r="A13" s="11">
        <v>12</v>
      </c>
      <c r="B13" s="11" t="s">
        <v>113</v>
      </c>
      <c r="C13" s="11" t="s">
        <v>1030</v>
      </c>
      <c r="D13" s="11" t="s">
        <v>84</v>
      </c>
      <c r="F13" s="39"/>
      <c r="G13" s="7"/>
      <c r="H13" s="11" t="s">
        <v>84</v>
      </c>
      <c r="I13" s="11" t="s">
        <v>84</v>
      </c>
      <c r="J13" s="11" t="s">
        <v>84</v>
      </c>
      <c r="K13" s="7" t="s">
        <v>268</v>
      </c>
      <c r="L13" s="21" t="s">
        <v>2242</v>
      </c>
      <c r="M13" s="7" t="s">
        <v>269</v>
      </c>
      <c r="N13" s="21" t="s">
        <v>3297</v>
      </c>
      <c r="O13" s="7" t="s">
        <v>4031</v>
      </c>
      <c r="P13" s="21" t="s">
        <v>1057</v>
      </c>
      <c r="Q13" s="7" t="s">
        <v>271</v>
      </c>
      <c r="R13" s="21" t="s">
        <v>1057</v>
      </c>
      <c r="S13" s="7"/>
      <c r="T13" s="7"/>
      <c r="DY13" s="11" t="s">
        <v>3327</v>
      </c>
      <c r="DZ13" s="11">
        <f>COUNTIF(N$2:N$496,"*good scientific practice*")</f>
        <v>12</v>
      </c>
      <c r="EB13" s="11" t="s">
        <v>3369</v>
      </c>
      <c r="EC13" s="11">
        <f>COUNTIF(P$2:P$496,"*training staff*")</f>
        <v>7</v>
      </c>
      <c r="EE13" s="28" t="s">
        <v>3260</v>
      </c>
      <c r="EF13" s="11">
        <f>COUNTIF(R$2:R$496,"*publishing*")</f>
        <v>1</v>
      </c>
      <c r="EI13" s="28"/>
      <c r="EJ13" s="28"/>
    </row>
    <row r="14" spans="1:140" ht="51" x14ac:dyDescent="0.2">
      <c r="A14" s="11">
        <v>13</v>
      </c>
      <c r="B14" s="11" t="s">
        <v>100</v>
      </c>
      <c r="C14" s="11" t="s">
        <v>284</v>
      </c>
      <c r="D14" s="11" t="s">
        <v>82</v>
      </c>
      <c r="F14" s="39" t="s">
        <v>81</v>
      </c>
      <c r="G14" s="7" t="s">
        <v>285</v>
      </c>
      <c r="H14" s="11" t="s">
        <v>82</v>
      </c>
      <c r="I14" s="11" t="s">
        <v>82</v>
      </c>
      <c r="J14" s="11" t="s">
        <v>82</v>
      </c>
      <c r="K14" s="7"/>
      <c r="M14" s="7" t="s">
        <v>286</v>
      </c>
      <c r="N14" s="21" t="s">
        <v>1041</v>
      </c>
      <c r="O14" s="7" t="s">
        <v>287</v>
      </c>
      <c r="P14" s="21" t="s">
        <v>1062</v>
      </c>
      <c r="Q14" s="7" t="s">
        <v>288</v>
      </c>
      <c r="R14" s="21" t="s">
        <v>1064</v>
      </c>
      <c r="S14" s="7"/>
      <c r="T14" s="7"/>
      <c r="BV14" s="7"/>
      <c r="BW14" s="7"/>
      <c r="BX14" s="7"/>
      <c r="BY14" s="7"/>
      <c r="BZ14" s="7"/>
      <c r="CA14" s="7"/>
      <c r="CB14" s="7"/>
      <c r="CC14" s="7"/>
      <c r="CD14" s="7"/>
      <c r="CE14" s="7"/>
      <c r="CF14" s="7"/>
      <c r="CG14" s="7"/>
      <c r="CH14" s="7"/>
      <c r="CI14" s="7"/>
      <c r="CJ14" s="7"/>
      <c r="DY14" s="11" t="s">
        <v>3375</v>
      </c>
      <c r="DZ14" s="11">
        <f>COUNTIF(N$2:N$496,"*data collection*")</f>
        <v>5</v>
      </c>
      <c r="EB14" s="11" t="s">
        <v>1059</v>
      </c>
      <c r="EC14" s="11">
        <f>COUNTIF(P$2:P$496,"*funding*")</f>
        <v>5</v>
      </c>
      <c r="EE14" s="11" t="s">
        <v>1064</v>
      </c>
      <c r="EF14" s="11">
        <f>COUNTIF(R$2:R$496,"*interaction with user*")</f>
        <v>27</v>
      </c>
    </row>
    <row r="15" spans="1:140" ht="38.25" x14ac:dyDescent="0.2">
      <c r="A15" s="11">
        <v>14</v>
      </c>
      <c r="B15" s="11" t="s">
        <v>113</v>
      </c>
      <c r="D15" s="11" t="s">
        <v>84</v>
      </c>
      <c r="F15" s="39"/>
      <c r="G15" s="7"/>
      <c r="H15" s="11" t="s">
        <v>82</v>
      </c>
      <c r="I15" s="11" t="s">
        <v>84</v>
      </c>
      <c r="J15" s="11" t="s">
        <v>84</v>
      </c>
      <c r="K15" s="7" t="s">
        <v>3907</v>
      </c>
      <c r="L15" s="21" t="s">
        <v>3900</v>
      </c>
      <c r="M15" s="7" t="s">
        <v>3377</v>
      </c>
      <c r="N15" s="21" t="s">
        <v>1047</v>
      </c>
      <c r="O15" s="7" t="s">
        <v>307</v>
      </c>
      <c r="P15" s="21" t="s">
        <v>3438</v>
      </c>
      <c r="Q15" s="7" t="s">
        <v>308</v>
      </c>
      <c r="R15" s="21" t="s">
        <v>1059</v>
      </c>
      <c r="S15" s="7"/>
      <c r="T15" s="7"/>
      <c r="DY15" s="11" t="s">
        <v>3335</v>
      </c>
      <c r="DZ15" s="11">
        <f>COUNTIF(N$2:N$496,"*reporting*")</f>
        <v>3</v>
      </c>
      <c r="EB15" s="11" t="s">
        <v>1053</v>
      </c>
      <c r="EC15" s="11">
        <f>COUNTIF(P$2:P$496,"*design*")</f>
        <v>4</v>
      </c>
      <c r="EE15" s="11" t="s">
        <v>3281</v>
      </c>
      <c r="EF15" s="11">
        <f>COUNTIF(R$2:R$496,"*career*")</f>
        <v>11</v>
      </c>
    </row>
    <row r="16" spans="1:140" ht="76.5" x14ac:dyDescent="0.2">
      <c r="A16" s="11">
        <v>15</v>
      </c>
      <c r="B16" s="11" t="s">
        <v>113</v>
      </c>
      <c r="C16" s="11" t="s">
        <v>319</v>
      </c>
      <c r="D16" s="11" t="s">
        <v>84</v>
      </c>
      <c r="E16" s="11" t="s">
        <v>4066</v>
      </c>
      <c r="F16" s="39"/>
      <c r="G16" s="7"/>
      <c r="H16" s="11" t="s">
        <v>84</v>
      </c>
      <c r="I16" s="11" t="s">
        <v>82</v>
      </c>
      <c r="J16" s="11" t="s">
        <v>82</v>
      </c>
      <c r="K16" s="7"/>
      <c r="M16" s="7" t="s">
        <v>321</v>
      </c>
      <c r="N16" s="21" t="s">
        <v>3378</v>
      </c>
      <c r="O16" s="7" t="s">
        <v>322</v>
      </c>
      <c r="P16" s="21" t="s">
        <v>1498</v>
      </c>
      <c r="Q16" s="7" t="s">
        <v>323</v>
      </c>
      <c r="R16" s="21" t="s">
        <v>899</v>
      </c>
      <c r="S16" s="7"/>
      <c r="T16" s="7"/>
      <c r="DY16" s="11" t="s">
        <v>1052</v>
      </c>
      <c r="DZ16" s="11">
        <f>COUNTIF(N$2:N$496,"*time*")</f>
        <v>2</v>
      </c>
      <c r="EB16" s="11" t="s">
        <v>1062</v>
      </c>
      <c r="EC16" s="11">
        <f>COUNTIF(P$2:P$496,"*recognition*")</f>
        <v>3</v>
      </c>
      <c r="EE16" s="11" t="s">
        <v>1062</v>
      </c>
      <c r="EF16" s="11">
        <f>COUNTIF(R$2:R$496,"*recognition*")</f>
        <v>9</v>
      </c>
    </row>
    <row r="17" spans="1:136" ht="51" x14ac:dyDescent="0.2">
      <c r="A17" s="11">
        <v>16</v>
      </c>
      <c r="B17" s="11" t="s">
        <v>100</v>
      </c>
      <c r="C17" s="11" t="s">
        <v>1031</v>
      </c>
      <c r="D17" s="11" t="s">
        <v>82</v>
      </c>
      <c r="F17" s="39" t="s">
        <v>246</v>
      </c>
      <c r="G17" s="7" t="s">
        <v>332</v>
      </c>
      <c r="H17" s="11" t="s">
        <v>82</v>
      </c>
      <c r="I17" s="11" t="s">
        <v>82</v>
      </c>
      <c r="J17" s="11" t="s">
        <v>82</v>
      </c>
      <c r="K17" s="7"/>
      <c r="M17" s="7" t="s">
        <v>333</v>
      </c>
      <c r="N17" s="21" t="s">
        <v>1048</v>
      </c>
      <c r="O17" s="7" t="s">
        <v>334</v>
      </c>
      <c r="P17" s="21" t="s">
        <v>3424</v>
      </c>
      <c r="Q17" s="7" t="s">
        <v>335</v>
      </c>
      <c r="R17" s="21" t="s">
        <v>1059</v>
      </c>
      <c r="S17" s="7"/>
      <c r="T17" s="7"/>
      <c r="BV17" s="7"/>
      <c r="BW17" s="7"/>
      <c r="BX17" s="7"/>
      <c r="BY17" s="7"/>
      <c r="BZ17" s="7"/>
      <c r="CA17" s="7"/>
      <c r="CB17" s="7"/>
      <c r="CC17" s="7"/>
      <c r="CD17" s="7"/>
      <c r="CE17" s="7"/>
      <c r="CF17" s="7"/>
      <c r="CG17" s="7"/>
      <c r="CH17" s="7"/>
      <c r="CI17" s="7"/>
      <c r="CJ17" s="7"/>
      <c r="EB17" s="11" t="s">
        <v>3335</v>
      </c>
      <c r="EC17" s="11">
        <f>COUNTIF(P$2:P$496,"*reporting*")</f>
        <v>1</v>
      </c>
      <c r="EE17" s="11" t="s">
        <v>1067</v>
      </c>
      <c r="EF17" s="11">
        <f>COUNTIF(R$2:R$496,"*bureaucracy*")</f>
        <v>6</v>
      </c>
    </row>
    <row r="18" spans="1:136" ht="51" x14ac:dyDescent="0.2">
      <c r="A18" s="11">
        <v>17</v>
      </c>
      <c r="B18" s="11" t="s">
        <v>100</v>
      </c>
      <c r="C18" s="11" t="s">
        <v>345</v>
      </c>
      <c r="D18" s="11" t="s">
        <v>82</v>
      </c>
      <c r="F18" s="39"/>
      <c r="G18" s="7"/>
      <c r="H18" s="11" t="s">
        <v>82</v>
      </c>
      <c r="I18" s="11" t="s">
        <v>84</v>
      </c>
      <c r="J18" s="11" t="s">
        <v>84</v>
      </c>
      <c r="K18" s="7" t="s">
        <v>346</v>
      </c>
      <c r="L18" s="21" t="s">
        <v>3901</v>
      </c>
      <c r="M18" s="7" t="s">
        <v>347</v>
      </c>
      <c r="N18" s="21" t="s">
        <v>3327</v>
      </c>
      <c r="O18" s="7" t="s">
        <v>4032</v>
      </c>
      <c r="P18" s="21" t="s">
        <v>3425</v>
      </c>
      <c r="Q18" s="7" t="s">
        <v>349</v>
      </c>
      <c r="R18" s="21" t="s">
        <v>899</v>
      </c>
      <c r="S18" s="7"/>
      <c r="T18" s="7"/>
      <c r="EB18" s="11" t="s">
        <v>3373</v>
      </c>
      <c r="EC18" s="11">
        <f>COUNTIF(P$2:P$496,"*SOP*")+COUNTIF(P$2:P$496,"*standard*")</f>
        <v>2</v>
      </c>
      <c r="EE18" s="11" t="s">
        <v>3269</v>
      </c>
      <c r="EF18" s="11">
        <f>COUNTIF(R$2:R$496,"*visibility*")</f>
        <v>2</v>
      </c>
    </row>
    <row r="19" spans="1:136" ht="63.75" x14ac:dyDescent="0.2">
      <c r="A19" s="11">
        <v>18</v>
      </c>
      <c r="B19" s="11" t="s">
        <v>112</v>
      </c>
      <c r="D19" s="11" t="s">
        <v>82</v>
      </c>
      <c r="F19" s="39"/>
      <c r="G19" s="7" t="s">
        <v>359</v>
      </c>
      <c r="H19" s="11" t="s">
        <v>82</v>
      </c>
      <c r="I19" s="11" t="s">
        <v>82</v>
      </c>
      <c r="J19" s="11" t="s">
        <v>84</v>
      </c>
      <c r="K19" s="7" t="s">
        <v>360</v>
      </c>
      <c r="L19" s="21" t="s">
        <v>2242</v>
      </c>
      <c r="M19" s="7"/>
      <c r="O19" s="7" t="s">
        <v>361</v>
      </c>
      <c r="P19" s="21" t="s">
        <v>3395</v>
      </c>
      <c r="Q19" s="7" t="s">
        <v>362</v>
      </c>
      <c r="R19" s="21" t="s">
        <v>1069</v>
      </c>
      <c r="S19" s="7"/>
      <c r="T19" s="7"/>
      <c r="EE19" s="11" t="s">
        <v>1072</v>
      </c>
      <c r="EF19" s="11">
        <f>COUNTIF(R$2:R$496,"*data protection*")</f>
        <v>1</v>
      </c>
    </row>
    <row r="20" spans="1:136" x14ac:dyDescent="0.2">
      <c r="A20" s="11">
        <v>19</v>
      </c>
      <c r="B20" s="33"/>
      <c r="C20" s="33"/>
      <c r="D20" s="33" t="s">
        <v>80</v>
      </c>
      <c r="E20" s="33"/>
      <c r="F20" s="46"/>
      <c r="G20" s="52"/>
      <c r="H20" s="33" t="s">
        <v>80</v>
      </c>
      <c r="I20" s="33" t="s">
        <v>80</v>
      </c>
      <c r="J20" s="33" t="s">
        <v>80</v>
      </c>
      <c r="K20" s="52"/>
      <c r="L20" s="45"/>
      <c r="M20" s="52"/>
      <c r="O20" s="52"/>
      <c r="Q20" s="52"/>
      <c r="R20" s="21"/>
      <c r="S20" s="7"/>
      <c r="T20" s="7"/>
    </row>
    <row r="21" spans="1:136" x14ac:dyDescent="0.2">
      <c r="A21" s="11">
        <v>20</v>
      </c>
      <c r="B21" s="33"/>
      <c r="C21" s="33"/>
      <c r="D21" s="33" t="s">
        <v>80</v>
      </c>
      <c r="E21" s="33"/>
      <c r="F21" s="46"/>
      <c r="G21" s="52"/>
      <c r="H21" s="33" t="s">
        <v>80</v>
      </c>
      <c r="I21" s="33" t="s">
        <v>80</v>
      </c>
      <c r="J21" s="33" t="s">
        <v>80</v>
      </c>
      <c r="K21" s="52"/>
      <c r="L21" s="45"/>
      <c r="M21" s="52"/>
      <c r="O21" s="52"/>
      <c r="Q21" s="52"/>
      <c r="R21" s="21"/>
      <c r="S21" s="7"/>
      <c r="T21" s="7"/>
    </row>
    <row r="22" spans="1:136" x14ac:dyDescent="0.2">
      <c r="A22" s="11">
        <v>21</v>
      </c>
      <c r="B22" s="11" t="s">
        <v>113</v>
      </c>
      <c r="D22" s="11" t="s">
        <v>84</v>
      </c>
      <c r="F22" s="39"/>
      <c r="G22" s="7"/>
      <c r="H22" s="11" t="s">
        <v>84</v>
      </c>
      <c r="I22" s="11" t="s">
        <v>84</v>
      </c>
      <c r="J22" s="11" t="s">
        <v>84</v>
      </c>
      <c r="K22" s="7"/>
      <c r="M22" s="7"/>
      <c r="O22" s="7"/>
      <c r="Q22" s="7"/>
      <c r="R22" s="21"/>
      <c r="S22" s="7"/>
      <c r="T22" s="7"/>
    </row>
    <row r="23" spans="1:136" ht="25.5" x14ac:dyDescent="0.2">
      <c r="A23" s="11">
        <v>22</v>
      </c>
      <c r="B23" s="11" t="s">
        <v>113</v>
      </c>
      <c r="D23" s="11" t="s">
        <v>84</v>
      </c>
      <c r="F23" s="39"/>
      <c r="G23" s="7"/>
      <c r="H23" s="11" t="s">
        <v>84</v>
      </c>
      <c r="I23" s="11" t="s">
        <v>84</v>
      </c>
      <c r="J23" s="11" t="s">
        <v>84</v>
      </c>
      <c r="K23" s="7" t="s">
        <v>384</v>
      </c>
      <c r="L23" s="21" t="s">
        <v>3902</v>
      </c>
      <c r="M23" s="7"/>
      <c r="O23" s="7"/>
      <c r="Q23" s="7"/>
      <c r="R23" s="21"/>
      <c r="S23" s="7"/>
      <c r="T23" s="7"/>
    </row>
    <row r="24" spans="1:136" ht="25.5" x14ac:dyDescent="0.2">
      <c r="A24" s="11">
        <v>23</v>
      </c>
      <c r="B24" s="11" t="s">
        <v>100</v>
      </c>
      <c r="C24" s="11" t="s">
        <v>397</v>
      </c>
      <c r="D24" s="11" t="s">
        <v>82</v>
      </c>
      <c r="F24" s="39" t="s">
        <v>81</v>
      </c>
      <c r="G24" s="7" t="s">
        <v>398</v>
      </c>
      <c r="H24" s="11" t="s">
        <v>84</v>
      </c>
      <c r="I24" s="11" t="s">
        <v>82</v>
      </c>
      <c r="J24" s="11" t="s">
        <v>82</v>
      </c>
      <c r="K24" s="7"/>
      <c r="M24" s="7" t="s">
        <v>399</v>
      </c>
      <c r="N24" s="21" t="s">
        <v>3379</v>
      </c>
      <c r="O24" s="7" t="s">
        <v>400</v>
      </c>
      <c r="P24" s="21" t="s">
        <v>3416</v>
      </c>
      <c r="Q24" s="7" t="s">
        <v>401</v>
      </c>
      <c r="R24" s="21" t="s">
        <v>1059</v>
      </c>
      <c r="S24" s="7"/>
      <c r="T24" s="7"/>
      <c r="BV24" s="7"/>
      <c r="BW24" s="7"/>
      <c r="BX24" s="7"/>
      <c r="BY24" s="7"/>
      <c r="BZ24" s="7"/>
      <c r="CA24" s="7"/>
      <c r="CB24" s="7"/>
      <c r="CC24" s="7"/>
      <c r="CD24" s="7"/>
      <c r="CE24" s="7"/>
      <c r="CF24" s="7"/>
      <c r="CG24" s="7"/>
      <c r="CH24" s="7"/>
      <c r="CI24" s="7"/>
      <c r="CJ24" s="7"/>
    </row>
    <row r="25" spans="1:136" ht="25.5" x14ac:dyDescent="0.2">
      <c r="A25" s="11">
        <v>24</v>
      </c>
      <c r="B25" s="11" t="s">
        <v>93</v>
      </c>
      <c r="D25" s="11" t="s">
        <v>82</v>
      </c>
      <c r="F25" s="39"/>
      <c r="G25" s="7"/>
      <c r="H25" s="11" t="s">
        <v>82</v>
      </c>
      <c r="I25" s="11" t="s">
        <v>82</v>
      </c>
      <c r="J25" s="11" t="s">
        <v>84</v>
      </c>
      <c r="K25" s="7" t="s">
        <v>413</v>
      </c>
      <c r="L25" s="21" t="s">
        <v>3903</v>
      </c>
      <c r="M25" s="7" t="s">
        <v>414</v>
      </c>
      <c r="N25" s="21" t="s">
        <v>3349</v>
      </c>
      <c r="O25" s="7" t="s">
        <v>415</v>
      </c>
      <c r="P25" s="21" t="s">
        <v>1498</v>
      </c>
      <c r="Q25" s="7" t="s">
        <v>416</v>
      </c>
      <c r="R25" s="21" t="s">
        <v>1059</v>
      </c>
      <c r="S25" s="7"/>
      <c r="T25" s="7"/>
    </row>
    <row r="26" spans="1:136" x14ac:dyDescent="0.2">
      <c r="A26" s="11">
        <v>25</v>
      </c>
      <c r="B26" s="11" t="s">
        <v>113</v>
      </c>
      <c r="C26" s="19" t="s">
        <v>427</v>
      </c>
      <c r="D26" s="11" t="s">
        <v>82</v>
      </c>
      <c r="F26" s="39"/>
      <c r="G26" s="7"/>
      <c r="H26" s="11" t="s">
        <v>82</v>
      </c>
      <c r="I26" s="11" t="s">
        <v>84</v>
      </c>
      <c r="J26" s="11" t="s">
        <v>82</v>
      </c>
      <c r="K26" s="7"/>
      <c r="M26" s="7"/>
      <c r="O26" s="7"/>
      <c r="Q26" s="7"/>
      <c r="R26" s="21"/>
      <c r="S26" s="7"/>
      <c r="T26" s="7"/>
    </row>
    <row r="27" spans="1:136" ht="51" x14ac:dyDescent="0.2">
      <c r="A27" s="11">
        <v>26</v>
      </c>
      <c r="B27" s="11" t="s">
        <v>113</v>
      </c>
      <c r="D27" s="11" t="s">
        <v>82</v>
      </c>
      <c r="F27" s="39" t="s">
        <v>81</v>
      </c>
      <c r="G27" s="7" t="s">
        <v>3878</v>
      </c>
      <c r="H27" s="11" t="s">
        <v>82</v>
      </c>
      <c r="I27" s="11" t="s">
        <v>82</v>
      </c>
      <c r="J27" s="11" t="s">
        <v>84</v>
      </c>
      <c r="K27" s="7" t="s">
        <v>441</v>
      </c>
      <c r="L27" s="21" t="s">
        <v>3903</v>
      </c>
      <c r="M27" s="7"/>
      <c r="O27" s="7" t="s">
        <v>442</v>
      </c>
      <c r="P27" s="21" t="s">
        <v>1498</v>
      </c>
      <c r="Q27" s="7"/>
      <c r="R27" s="21"/>
      <c r="S27" s="7"/>
      <c r="T27" s="7"/>
    </row>
    <row r="28" spans="1:136" ht="216.75" x14ac:dyDescent="0.2">
      <c r="A28" s="11">
        <v>27</v>
      </c>
      <c r="B28" s="11" t="s">
        <v>113</v>
      </c>
      <c r="C28" s="11" t="s">
        <v>456</v>
      </c>
      <c r="D28" s="11" t="s">
        <v>82</v>
      </c>
      <c r="F28" s="39" t="s">
        <v>81</v>
      </c>
      <c r="G28" s="7" t="s">
        <v>3880</v>
      </c>
      <c r="H28" s="11" t="s">
        <v>84</v>
      </c>
      <c r="I28" s="11" t="s">
        <v>84</v>
      </c>
      <c r="J28" s="11" t="s">
        <v>82</v>
      </c>
      <c r="K28" s="7"/>
      <c r="M28" s="7" t="s">
        <v>4033</v>
      </c>
      <c r="N28" s="21" t="s">
        <v>3298</v>
      </c>
      <c r="O28" s="7" t="s">
        <v>459</v>
      </c>
      <c r="P28" s="21" t="s">
        <v>1431</v>
      </c>
      <c r="Q28" s="7" t="s">
        <v>460</v>
      </c>
      <c r="R28" s="21" t="s">
        <v>3279</v>
      </c>
      <c r="S28" s="7"/>
      <c r="T28" s="7"/>
    </row>
    <row r="29" spans="1:136" ht="25.5" x14ac:dyDescent="0.2">
      <c r="A29" s="11">
        <v>28</v>
      </c>
      <c r="B29" s="11" t="s">
        <v>113</v>
      </c>
      <c r="D29" s="11" t="s">
        <v>82</v>
      </c>
      <c r="F29" s="39"/>
      <c r="G29" s="7" t="s">
        <v>472</v>
      </c>
      <c r="H29" s="11" t="s">
        <v>82</v>
      </c>
      <c r="I29" s="11" t="s">
        <v>82</v>
      </c>
      <c r="J29" s="11" t="s">
        <v>82</v>
      </c>
      <c r="K29" s="7"/>
      <c r="M29" s="7"/>
      <c r="O29" s="7" t="s">
        <v>473</v>
      </c>
      <c r="P29" s="21" t="s">
        <v>1498</v>
      </c>
      <c r="Q29" s="7" t="s">
        <v>474</v>
      </c>
      <c r="R29" s="21" t="s">
        <v>899</v>
      </c>
      <c r="S29" s="7"/>
      <c r="T29" s="7"/>
    </row>
    <row r="30" spans="1:136" ht="63.75" x14ac:dyDescent="0.2">
      <c r="A30" s="11">
        <v>29</v>
      </c>
      <c r="B30" s="11" t="s">
        <v>113</v>
      </c>
      <c r="C30" s="11" t="s">
        <v>3859</v>
      </c>
      <c r="D30" s="11" t="s">
        <v>82</v>
      </c>
      <c r="F30" s="39" t="s">
        <v>246</v>
      </c>
      <c r="G30" s="7" t="s">
        <v>147</v>
      </c>
      <c r="H30" s="11" t="s">
        <v>84</v>
      </c>
      <c r="I30" s="11" t="s">
        <v>84</v>
      </c>
      <c r="J30" s="11" t="s">
        <v>82</v>
      </c>
      <c r="K30" s="7"/>
      <c r="M30" s="7" t="s">
        <v>490</v>
      </c>
      <c r="N30" s="21" t="s">
        <v>3350</v>
      </c>
      <c r="O30" s="7" t="s">
        <v>491</v>
      </c>
      <c r="P30" s="21" t="s">
        <v>1057</v>
      </c>
      <c r="Q30" s="7" t="s">
        <v>492</v>
      </c>
      <c r="R30" s="21" t="s">
        <v>1070</v>
      </c>
      <c r="S30" s="7"/>
      <c r="T30" s="7"/>
      <c r="BV30" s="7"/>
      <c r="BW30" s="7"/>
      <c r="BX30" s="7"/>
      <c r="BY30" s="7"/>
      <c r="BZ30" s="7"/>
      <c r="CA30" s="7"/>
      <c r="CB30" s="7"/>
      <c r="CC30" s="7"/>
      <c r="CD30" s="7"/>
      <c r="CE30" s="7"/>
      <c r="CF30" s="7"/>
      <c r="CG30" s="7"/>
      <c r="CH30" s="7"/>
      <c r="CI30" s="7"/>
      <c r="CJ30" s="7"/>
    </row>
    <row r="31" spans="1:136" ht="76.5" x14ac:dyDescent="0.2">
      <c r="A31" s="11">
        <v>30</v>
      </c>
      <c r="B31" s="11" t="s">
        <v>113</v>
      </c>
      <c r="D31" s="11" t="s">
        <v>82</v>
      </c>
      <c r="F31" s="39" t="s">
        <v>246</v>
      </c>
      <c r="G31" s="7" t="s">
        <v>1998</v>
      </c>
      <c r="H31" s="11" t="s">
        <v>82</v>
      </c>
      <c r="I31" s="11" t="s">
        <v>84</v>
      </c>
      <c r="J31" s="11" t="s">
        <v>82</v>
      </c>
      <c r="K31" s="7"/>
      <c r="M31" s="7" t="s">
        <v>504</v>
      </c>
      <c r="N31" s="21" t="s">
        <v>1431</v>
      </c>
      <c r="O31" s="7" t="s">
        <v>3392</v>
      </c>
      <c r="P31" s="21" t="s">
        <v>1498</v>
      </c>
      <c r="Q31" s="7" t="s">
        <v>3283</v>
      </c>
      <c r="R31" s="21" t="s">
        <v>3284</v>
      </c>
      <c r="S31" s="7"/>
      <c r="T31" s="7"/>
    </row>
    <row r="32" spans="1:136" ht="25.5" x14ac:dyDescent="0.2">
      <c r="A32" s="11">
        <v>31</v>
      </c>
      <c r="B32" s="11" t="s">
        <v>100</v>
      </c>
      <c r="C32" s="11" t="s">
        <v>514</v>
      </c>
      <c r="D32" s="11" t="s">
        <v>82</v>
      </c>
      <c r="F32" s="39"/>
      <c r="G32" s="7"/>
      <c r="H32" s="11" t="s">
        <v>82</v>
      </c>
      <c r="I32" s="11" t="s">
        <v>82</v>
      </c>
      <c r="J32" s="11" t="s">
        <v>82</v>
      </c>
      <c r="K32" s="7"/>
      <c r="M32" s="7"/>
      <c r="O32" s="7" t="s">
        <v>515</v>
      </c>
      <c r="P32" s="21" t="s">
        <v>1053</v>
      </c>
      <c r="Q32" s="7" t="s">
        <v>516</v>
      </c>
      <c r="R32" s="21" t="s">
        <v>899</v>
      </c>
      <c r="S32" s="7"/>
      <c r="T32" s="7"/>
    </row>
    <row r="33" spans="1:88" x14ac:dyDescent="0.2">
      <c r="A33" s="11">
        <v>32</v>
      </c>
      <c r="B33" s="11" t="s">
        <v>93</v>
      </c>
      <c r="D33" s="11" t="s">
        <v>84</v>
      </c>
      <c r="F33" s="39"/>
      <c r="G33" s="7"/>
      <c r="H33" s="11" t="s">
        <v>84</v>
      </c>
      <c r="I33" s="11" t="s">
        <v>84</v>
      </c>
      <c r="J33" s="11" t="s">
        <v>84</v>
      </c>
      <c r="K33" s="7"/>
      <c r="M33" s="7"/>
      <c r="O33" s="7"/>
      <c r="Q33" s="7"/>
      <c r="R33" s="21"/>
      <c r="S33" s="7"/>
      <c r="T33" s="7"/>
    </row>
    <row r="34" spans="1:88" ht="38.25" x14ac:dyDescent="0.2">
      <c r="A34" s="11">
        <v>33</v>
      </c>
      <c r="B34" s="11" t="s">
        <v>100</v>
      </c>
      <c r="C34" s="7" t="s">
        <v>1032</v>
      </c>
      <c r="D34" s="11" t="s">
        <v>82</v>
      </c>
      <c r="F34" s="39" t="s">
        <v>81</v>
      </c>
      <c r="G34" s="7" t="s">
        <v>534</v>
      </c>
      <c r="H34" s="11" t="s">
        <v>82</v>
      </c>
      <c r="I34" s="11" t="s">
        <v>82</v>
      </c>
      <c r="J34" s="11" t="s">
        <v>84</v>
      </c>
      <c r="K34" s="7" t="s">
        <v>535</v>
      </c>
      <c r="L34" s="21" t="s">
        <v>3904</v>
      </c>
      <c r="M34" s="7" t="s">
        <v>536</v>
      </c>
      <c r="N34" s="21" t="s">
        <v>1041</v>
      </c>
      <c r="O34" s="7" t="s">
        <v>537</v>
      </c>
      <c r="P34" s="21" t="s">
        <v>3263</v>
      </c>
      <c r="Q34" s="7" t="s">
        <v>538</v>
      </c>
      <c r="R34" s="21" t="s">
        <v>1064</v>
      </c>
      <c r="S34" s="7"/>
      <c r="T34" s="7"/>
      <c r="BV34" s="7"/>
      <c r="BW34" s="7"/>
      <c r="BX34" s="7"/>
      <c r="BY34" s="7"/>
      <c r="BZ34" s="7"/>
      <c r="CA34" s="7"/>
      <c r="CB34" s="7"/>
      <c r="CC34" s="7"/>
      <c r="CD34" s="7"/>
      <c r="CE34" s="7"/>
      <c r="CF34" s="7"/>
      <c r="CG34" s="7"/>
      <c r="CH34" s="7"/>
      <c r="CI34" s="7"/>
      <c r="CJ34" s="7"/>
    </row>
    <row r="35" spans="1:88" ht="25.5" x14ac:dyDescent="0.2">
      <c r="A35" s="11">
        <v>34</v>
      </c>
      <c r="B35" s="11" t="s">
        <v>113</v>
      </c>
      <c r="C35" s="7" t="s">
        <v>1034</v>
      </c>
      <c r="D35" s="11" t="s">
        <v>82</v>
      </c>
      <c r="F35" s="39" t="s">
        <v>81</v>
      </c>
      <c r="G35" s="7" t="s">
        <v>555</v>
      </c>
      <c r="H35" s="11" t="s">
        <v>82</v>
      </c>
      <c r="I35" s="11" t="s">
        <v>82</v>
      </c>
      <c r="J35" s="11" t="s">
        <v>84</v>
      </c>
      <c r="K35" s="7" t="s">
        <v>556</v>
      </c>
      <c r="L35" s="21" t="s">
        <v>1043</v>
      </c>
      <c r="M35" s="7" t="s">
        <v>557</v>
      </c>
      <c r="N35" s="21" t="s">
        <v>1042</v>
      </c>
      <c r="O35" s="7" t="s">
        <v>558</v>
      </c>
      <c r="P35" s="21" t="s">
        <v>1059</v>
      </c>
      <c r="Q35" s="7" t="s">
        <v>559</v>
      </c>
      <c r="R35" s="21" t="s">
        <v>3285</v>
      </c>
      <c r="S35" s="7"/>
      <c r="T35" s="7"/>
      <c r="BV35" s="7"/>
      <c r="BW35" s="7"/>
      <c r="BX35" s="7"/>
      <c r="BY35" s="7"/>
      <c r="BZ35" s="7"/>
      <c r="CA35" s="7"/>
      <c r="CB35" s="7"/>
      <c r="CC35" s="7"/>
      <c r="CD35" s="7"/>
      <c r="CE35" s="7"/>
      <c r="CF35" s="7"/>
      <c r="CG35" s="7"/>
      <c r="CH35" s="7"/>
      <c r="CI35" s="7"/>
      <c r="CJ35" s="7"/>
    </row>
    <row r="36" spans="1:88" ht="38.25" x14ac:dyDescent="0.2">
      <c r="A36" s="11">
        <v>35</v>
      </c>
      <c r="B36" s="11" t="s">
        <v>113</v>
      </c>
      <c r="C36" s="7" t="s">
        <v>4067</v>
      </c>
      <c r="D36" s="11" t="s">
        <v>82</v>
      </c>
      <c r="F36" s="39"/>
      <c r="G36" s="7"/>
      <c r="H36" s="11" t="s">
        <v>82</v>
      </c>
      <c r="I36" s="11" t="s">
        <v>84</v>
      </c>
      <c r="J36" s="11" t="s">
        <v>84</v>
      </c>
      <c r="K36" s="7" t="s">
        <v>574</v>
      </c>
      <c r="L36" s="21" t="s">
        <v>3275</v>
      </c>
      <c r="M36" s="7" t="s">
        <v>575</v>
      </c>
      <c r="N36" s="21" t="s">
        <v>651</v>
      </c>
      <c r="O36" s="7" t="s">
        <v>576</v>
      </c>
      <c r="P36" s="21" t="s">
        <v>1431</v>
      </c>
      <c r="Q36" s="7" t="s">
        <v>4068</v>
      </c>
      <c r="R36" s="21" t="s">
        <v>3286</v>
      </c>
      <c r="S36" s="7"/>
      <c r="T36" s="7"/>
    </row>
    <row r="37" spans="1:88" x14ac:dyDescent="0.2">
      <c r="A37" s="11">
        <v>36</v>
      </c>
      <c r="B37" s="11" t="s">
        <v>113</v>
      </c>
      <c r="D37" s="11" t="s">
        <v>82</v>
      </c>
      <c r="F37" s="39"/>
      <c r="G37" s="7"/>
      <c r="H37" s="11" t="s">
        <v>82</v>
      </c>
      <c r="I37" s="11" t="s">
        <v>82</v>
      </c>
      <c r="J37" s="11" t="s">
        <v>84</v>
      </c>
      <c r="K37" s="7" t="s">
        <v>590</v>
      </c>
      <c r="M37" s="7" t="s">
        <v>591</v>
      </c>
      <c r="N37" s="21" t="s">
        <v>1043</v>
      </c>
      <c r="O37" s="7" t="s">
        <v>592</v>
      </c>
      <c r="P37" s="21" t="s">
        <v>1055</v>
      </c>
      <c r="R37" s="21"/>
      <c r="S37" s="7"/>
      <c r="T37" s="7"/>
    </row>
    <row r="38" spans="1:88" ht="165.75" x14ac:dyDescent="0.2">
      <c r="A38" s="11">
        <v>37</v>
      </c>
      <c r="B38" s="11" t="s">
        <v>113</v>
      </c>
      <c r="C38" s="11" t="s">
        <v>607</v>
      </c>
      <c r="D38" s="11" t="s">
        <v>84</v>
      </c>
      <c r="F38" s="39"/>
      <c r="G38" s="7"/>
      <c r="H38" s="11" t="s">
        <v>84</v>
      </c>
      <c r="I38" s="11" t="s">
        <v>82</v>
      </c>
      <c r="J38" s="11" t="s">
        <v>84</v>
      </c>
      <c r="K38" s="7" t="s">
        <v>608</v>
      </c>
      <c r="L38" s="21" t="s">
        <v>3275</v>
      </c>
      <c r="M38" s="7" t="s">
        <v>609</v>
      </c>
      <c r="N38" s="21" t="s">
        <v>3299</v>
      </c>
      <c r="O38" s="7" t="s">
        <v>610</v>
      </c>
      <c r="P38" s="21" t="s">
        <v>3394</v>
      </c>
      <c r="R38" s="21"/>
      <c r="S38" s="7"/>
      <c r="T38" s="7"/>
    </row>
    <row r="39" spans="1:88" ht="178.5" x14ac:dyDescent="0.2">
      <c r="A39" s="11">
        <v>38</v>
      </c>
      <c r="B39" s="11" t="s">
        <v>113</v>
      </c>
      <c r="C39" s="11" t="s">
        <v>1033</v>
      </c>
      <c r="D39" s="11" t="s">
        <v>82</v>
      </c>
      <c r="F39" s="39" t="s">
        <v>81</v>
      </c>
      <c r="G39" s="7" t="s">
        <v>4159</v>
      </c>
      <c r="H39" s="11" t="s">
        <v>82</v>
      </c>
      <c r="I39" s="11" t="s">
        <v>82</v>
      </c>
      <c r="J39" s="11" t="s">
        <v>82</v>
      </c>
      <c r="K39" s="21" t="s">
        <v>3960</v>
      </c>
      <c r="M39" s="7" t="s">
        <v>3336</v>
      </c>
      <c r="N39" s="21" t="s">
        <v>3300</v>
      </c>
      <c r="O39" s="11" t="s">
        <v>4034</v>
      </c>
      <c r="P39" s="21" t="s">
        <v>3426</v>
      </c>
      <c r="Q39" s="7" t="s">
        <v>729</v>
      </c>
      <c r="R39" s="21" t="s">
        <v>3287</v>
      </c>
      <c r="S39" s="7"/>
      <c r="T39" s="7"/>
      <c r="BV39" s="7"/>
      <c r="BW39" s="7"/>
      <c r="BX39" s="7"/>
      <c r="BY39" s="7"/>
      <c r="BZ39" s="7"/>
      <c r="CA39" s="7"/>
      <c r="CB39" s="7"/>
      <c r="CC39" s="7"/>
      <c r="CD39" s="7"/>
      <c r="CE39" s="7"/>
      <c r="CF39" s="7"/>
      <c r="CG39" s="7"/>
      <c r="CH39" s="7"/>
      <c r="CI39" s="7"/>
      <c r="CJ39" s="7"/>
    </row>
    <row r="40" spans="1:88" ht="38.25" x14ac:dyDescent="0.2">
      <c r="A40" s="11">
        <v>39</v>
      </c>
      <c r="B40" s="11" t="s">
        <v>113</v>
      </c>
      <c r="C40" s="11" t="s">
        <v>743</v>
      </c>
      <c r="D40" s="11" t="s">
        <v>82</v>
      </c>
      <c r="F40" s="39" t="s">
        <v>81</v>
      </c>
      <c r="G40" s="7" t="s">
        <v>3881</v>
      </c>
      <c r="H40" s="11" t="s">
        <v>82</v>
      </c>
      <c r="I40" s="11" t="s">
        <v>82</v>
      </c>
      <c r="J40" s="11" t="s">
        <v>82</v>
      </c>
      <c r="K40" s="7"/>
      <c r="M40" s="7" t="s">
        <v>3337</v>
      </c>
      <c r="N40" s="21" t="s">
        <v>1049</v>
      </c>
      <c r="O40" s="11" t="s">
        <v>747</v>
      </c>
      <c r="P40" s="21" t="s">
        <v>3427</v>
      </c>
      <c r="Q40" s="7" t="s">
        <v>747</v>
      </c>
      <c r="R40" s="21" t="s">
        <v>3258</v>
      </c>
      <c r="S40" s="7"/>
      <c r="T40" s="7"/>
    </row>
    <row r="41" spans="1:88" ht="89.25" x14ac:dyDescent="0.2">
      <c r="A41" s="11">
        <v>40</v>
      </c>
      <c r="B41" s="11" t="s">
        <v>113</v>
      </c>
      <c r="C41" s="11" t="s">
        <v>1035</v>
      </c>
      <c r="D41" s="11" t="s">
        <v>84</v>
      </c>
      <c r="F41" s="39"/>
      <c r="G41" s="7"/>
      <c r="H41" s="11" t="s">
        <v>84</v>
      </c>
      <c r="I41" s="11" t="s">
        <v>84</v>
      </c>
      <c r="J41" s="11" t="s">
        <v>84</v>
      </c>
      <c r="K41" s="7" t="s">
        <v>765</v>
      </c>
      <c r="M41" s="7" t="s">
        <v>4035</v>
      </c>
      <c r="N41" s="21" t="s">
        <v>1050</v>
      </c>
      <c r="O41" s="7" t="s">
        <v>767</v>
      </c>
      <c r="P41" s="21" t="s">
        <v>3927</v>
      </c>
      <c r="Q41" s="7" t="s">
        <v>768</v>
      </c>
      <c r="R41" s="21" t="s">
        <v>1063</v>
      </c>
      <c r="S41" s="7"/>
      <c r="T41" s="7"/>
    </row>
    <row r="42" spans="1:88" ht="63.75" x14ac:dyDescent="0.2">
      <c r="A42" s="11">
        <v>41</v>
      </c>
      <c r="B42" s="11" t="s">
        <v>113</v>
      </c>
      <c r="D42" s="11" t="s">
        <v>82</v>
      </c>
      <c r="F42" s="39" t="s">
        <v>246</v>
      </c>
      <c r="G42" s="7" t="s">
        <v>778</v>
      </c>
      <c r="H42" s="11" t="s">
        <v>82</v>
      </c>
      <c r="I42" s="11" t="s">
        <v>82</v>
      </c>
      <c r="J42" s="11" t="s">
        <v>82</v>
      </c>
      <c r="K42" s="7"/>
      <c r="M42" s="7"/>
      <c r="O42" s="7" t="s">
        <v>779</v>
      </c>
      <c r="P42" s="21" t="s">
        <v>3428</v>
      </c>
      <c r="Q42" s="7" t="s">
        <v>780</v>
      </c>
      <c r="R42" s="21" t="s">
        <v>1059</v>
      </c>
      <c r="S42" s="7"/>
      <c r="T42" s="7"/>
      <c r="BV42" s="7"/>
      <c r="BW42" s="7"/>
      <c r="BX42" s="7"/>
      <c r="BY42" s="7"/>
      <c r="BZ42" s="7"/>
      <c r="CA42" s="7"/>
      <c r="CB42" s="7"/>
      <c r="CC42" s="7"/>
      <c r="CD42" s="7"/>
      <c r="CE42" s="7"/>
      <c r="CF42" s="7"/>
      <c r="CG42" s="7"/>
      <c r="CH42" s="7"/>
      <c r="CI42" s="7"/>
      <c r="CJ42" s="7"/>
    </row>
    <row r="43" spans="1:88" x14ac:dyDescent="0.2">
      <c r="A43" s="11">
        <v>42</v>
      </c>
      <c r="B43" s="11" t="s">
        <v>113</v>
      </c>
      <c r="D43" s="11" t="s">
        <v>82</v>
      </c>
      <c r="F43" s="39"/>
      <c r="G43" s="7"/>
      <c r="H43" s="11" t="s">
        <v>84</v>
      </c>
      <c r="I43" s="11" t="s">
        <v>84</v>
      </c>
      <c r="J43" s="11" t="s">
        <v>82</v>
      </c>
      <c r="K43" s="7"/>
      <c r="M43" s="7"/>
      <c r="O43" s="7"/>
      <c r="R43" s="21"/>
      <c r="S43" s="7"/>
      <c r="T43" s="7"/>
    </row>
    <row r="44" spans="1:88" ht="178.5" x14ac:dyDescent="0.2">
      <c r="A44" s="11">
        <v>43</v>
      </c>
      <c r="B44" s="11" t="s">
        <v>100</v>
      </c>
      <c r="C44" s="11" t="s">
        <v>798</v>
      </c>
      <c r="D44" s="11" t="s">
        <v>84</v>
      </c>
      <c r="E44" s="11" t="s">
        <v>799</v>
      </c>
      <c r="F44" s="39"/>
      <c r="G44" s="7"/>
      <c r="H44" s="11" t="s">
        <v>84</v>
      </c>
      <c r="I44" s="11" t="s">
        <v>84</v>
      </c>
      <c r="J44" s="11" t="s">
        <v>84</v>
      </c>
      <c r="K44" s="7" t="s">
        <v>800</v>
      </c>
      <c r="L44" s="21" t="s">
        <v>3902</v>
      </c>
      <c r="M44" s="7" t="s">
        <v>4036</v>
      </c>
      <c r="N44" s="21" t="s">
        <v>3390</v>
      </c>
      <c r="O44" s="7" t="s">
        <v>802</v>
      </c>
      <c r="P44" s="21" t="s">
        <v>1053</v>
      </c>
      <c r="Q44" s="7" t="s">
        <v>803</v>
      </c>
      <c r="R44" s="21" t="s">
        <v>3288</v>
      </c>
      <c r="S44" s="7"/>
      <c r="T44" s="7"/>
    </row>
    <row r="45" spans="1:88" x14ac:dyDescent="0.2">
      <c r="A45" s="11">
        <v>44</v>
      </c>
      <c r="B45" s="33"/>
      <c r="C45" s="33"/>
      <c r="D45" s="33" t="s">
        <v>80</v>
      </c>
      <c r="E45" s="33"/>
      <c r="F45" s="46"/>
      <c r="G45" s="52"/>
      <c r="H45" s="33" t="s">
        <v>80</v>
      </c>
      <c r="I45" s="33" t="s">
        <v>80</v>
      </c>
      <c r="J45" s="33" t="s">
        <v>80</v>
      </c>
      <c r="K45" s="52"/>
      <c r="L45" s="45"/>
      <c r="M45" s="33"/>
      <c r="O45" s="52"/>
      <c r="Q45" s="52"/>
      <c r="R45" s="21"/>
      <c r="S45" s="7"/>
      <c r="T45" s="7"/>
    </row>
    <row r="46" spans="1:88" x14ac:dyDescent="0.2">
      <c r="A46" s="11">
        <v>45</v>
      </c>
      <c r="B46" s="11" t="s">
        <v>113</v>
      </c>
      <c r="D46" s="11" t="s">
        <v>84</v>
      </c>
      <c r="F46" s="39"/>
      <c r="G46" s="7"/>
      <c r="H46" s="11" t="s">
        <v>84</v>
      </c>
      <c r="I46" s="11" t="s">
        <v>84</v>
      </c>
      <c r="J46" s="11" t="s">
        <v>84</v>
      </c>
      <c r="K46" s="7"/>
      <c r="O46" s="7"/>
      <c r="Q46" s="7"/>
      <c r="R46" s="21"/>
      <c r="S46" s="7"/>
      <c r="T46" s="7"/>
    </row>
    <row r="47" spans="1:88" ht="51" x14ac:dyDescent="0.2">
      <c r="A47" s="11">
        <v>46</v>
      </c>
      <c r="B47" s="11" t="s">
        <v>113</v>
      </c>
      <c r="C47" s="11" t="s">
        <v>834</v>
      </c>
      <c r="D47" s="11" t="s">
        <v>82</v>
      </c>
      <c r="F47" s="39" t="s">
        <v>81</v>
      </c>
      <c r="G47" s="7" t="s">
        <v>1999</v>
      </c>
      <c r="H47" s="11" t="s">
        <v>84</v>
      </c>
      <c r="I47" s="11" t="s">
        <v>84</v>
      </c>
      <c r="J47" s="11" t="s">
        <v>84</v>
      </c>
      <c r="K47" s="7" t="s">
        <v>836</v>
      </c>
      <c r="L47" s="21" t="s">
        <v>3275</v>
      </c>
      <c r="M47" s="7" t="s">
        <v>837</v>
      </c>
      <c r="N47" s="21" t="s">
        <v>3301</v>
      </c>
      <c r="O47" s="7"/>
      <c r="Q47" s="7" t="s">
        <v>838</v>
      </c>
      <c r="R47" s="21" t="s">
        <v>1064</v>
      </c>
      <c r="S47" s="7"/>
      <c r="T47" s="7"/>
    </row>
    <row r="48" spans="1:88" ht="51" x14ac:dyDescent="0.2">
      <c r="A48" s="11">
        <v>47</v>
      </c>
      <c r="B48" s="11" t="s">
        <v>113</v>
      </c>
      <c r="C48" s="11" t="s">
        <v>851</v>
      </c>
      <c r="D48" s="11" t="s">
        <v>82</v>
      </c>
      <c r="F48" s="39" t="s">
        <v>81</v>
      </c>
      <c r="G48" s="7" t="s">
        <v>852</v>
      </c>
      <c r="H48" s="11" t="s">
        <v>82</v>
      </c>
      <c r="I48" s="11" t="s">
        <v>82</v>
      </c>
      <c r="J48" s="11" t="s">
        <v>82</v>
      </c>
      <c r="K48" s="7"/>
      <c r="M48" s="7" t="s">
        <v>853</v>
      </c>
      <c r="N48" s="21" t="s">
        <v>1043</v>
      </c>
      <c r="O48" s="7" t="s">
        <v>854</v>
      </c>
      <c r="P48" s="21" t="s">
        <v>3415</v>
      </c>
      <c r="Q48" s="7" t="s">
        <v>855</v>
      </c>
      <c r="R48" s="21" t="s">
        <v>1064</v>
      </c>
      <c r="S48" s="7"/>
      <c r="T48" s="7"/>
      <c r="BV48" s="7"/>
      <c r="BW48" s="7"/>
      <c r="BX48" s="7"/>
      <c r="BY48" s="7"/>
      <c r="BZ48" s="7"/>
      <c r="CA48" s="7"/>
      <c r="CB48" s="7"/>
      <c r="CC48" s="7"/>
      <c r="CD48" s="7"/>
      <c r="CE48" s="7"/>
      <c r="CF48" s="7"/>
      <c r="CG48" s="7"/>
      <c r="CH48" s="7"/>
      <c r="CI48" s="7"/>
      <c r="CJ48" s="7"/>
    </row>
    <row r="49" spans="1:88" ht="25.5" x14ac:dyDescent="0.2">
      <c r="A49" s="11">
        <v>48</v>
      </c>
      <c r="B49" s="11" t="s">
        <v>100</v>
      </c>
      <c r="C49" s="11" t="s">
        <v>84</v>
      </c>
      <c r="D49" s="11" t="s">
        <v>82</v>
      </c>
      <c r="F49" s="39"/>
      <c r="G49" s="7"/>
      <c r="H49" s="11" t="s">
        <v>84</v>
      </c>
      <c r="I49" s="11" t="s">
        <v>84</v>
      </c>
      <c r="J49" s="11" t="s">
        <v>82</v>
      </c>
      <c r="K49" s="7"/>
      <c r="M49" s="7"/>
      <c r="O49" s="7" t="s">
        <v>864</v>
      </c>
      <c r="P49" s="21" t="s">
        <v>1057</v>
      </c>
      <c r="Q49" s="11" t="s">
        <v>865</v>
      </c>
      <c r="R49" s="21" t="s">
        <v>1062</v>
      </c>
      <c r="S49" s="7"/>
      <c r="T49" s="7"/>
    </row>
    <row r="50" spans="1:88" ht="25.5" x14ac:dyDescent="0.2">
      <c r="A50" s="11">
        <v>49</v>
      </c>
      <c r="B50" s="11" t="s">
        <v>100</v>
      </c>
      <c r="C50" s="19" t="s">
        <v>875</v>
      </c>
      <c r="D50" s="11" t="s">
        <v>82</v>
      </c>
      <c r="F50" s="39"/>
      <c r="G50" s="7"/>
      <c r="H50" s="11" t="s">
        <v>82</v>
      </c>
      <c r="I50" s="11" t="s">
        <v>82</v>
      </c>
      <c r="J50" s="11" t="s">
        <v>84</v>
      </c>
      <c r="K50" s="7" t="s">
        <v>876</v>
      </c>
      <c r="L50" s="21" t="s">
        <v>3905</v>
      </c>
      <c r="M50" s="7" t="s">
        <v>877</v>
      </c>
      <c r="N50" s="21" t="s">
        <v>3302</v>
      </c>
      <c r="O50" s="7" t="s">
        <v>4037</v>
      </c>
      <c r="P50" s="21" t="s">
        <v>3429</v>
      </c>
      <c r="Q50" s="7" t="s">
        <v>879</v>
      </c>
      <c r="R50" s="21" t="s">
        <v>1057</v>
      </c>
      <c r="S50" s="7"/>
      <c r="T50" s="7"/>
    </row>
    <row r="51" spans="1:88" ht="127.5" x14ac:dyDescent="0.2">
      <c r="A51" s="11">
        <v>50</v>
      </c>
      <c r="B51" s="11" t="s">
        <v>100</v>
      </c>
      <c r="C51" s="7" t="s">
        <v>1036</v>
      </c>
      <c r="D51" s="11" t="s">
        <v>82</v>
      </c>
      <c r="F51" s="39" t="s">
        <v>81</v>
      </c>
      <c r="G51" s="7" t="s">
        <v>81</v>
      </c>
      <c r="H51" s="11" t="s">
        <v>84</v>
      </c>
      <c r="I51" s="11" t="s">
        <v>84</v>
      </c>
      <c r="J51" s="11" t="s">
        <v>82</v>
      </c>
      <c r="K51" s="7"/>
      <c r="M51" s="7" t="s">
        <v>890</v>
      </c>
      <c r="N51" s="21" t="s">
        <v>3331</v>
      </c>
      <c r="O51" s="7"/>
      <c r="Q51" s="7" t="s">
        <v>891</v>
      </c>
      <c r="R51" s="21" t="s">
        <v>1064</v>
      </c>
      <c r="S51" s="7"/>
      <c r="T51" s="7"/>
      <c r="BV51" s="19"/>
      <c r="BW51" s="19"/>
      <c r="BX51" s="19"/>
      <c r="BY51" s="19"/>
      <c r="BZ51" s="19"/>
      <c r="CA51" s="19"/>
      <c r="CB51" s="19"/>
      <c r="CC51" s="19"/>
      <c r="CD51" s="19"/>
      <c r="CE51" s="19"/>
      <c r="CF51" s="19"/>
      <c r="CG51" s="19"/>
      <c r="CH51" s="19"/>
      <c r="CI51" s="19"/>
      <c r="CJ51" s="19"/>
    </row>
    <row r="52" spans="1:88" x14ac:dyDescent="0.2">
      <c r="A52" s="11">
        <v>51</v>
      </c>
      <c r="B52" s="11" t="s">
        <v>93</v>
      </c>
      <c r="D52" s="11" t="s">
        <v>84</v>
      </c>
      <c r="F52" s="39"/>
      <c r="G52" s="7"/>
      <c r="H52" s="11" t="s">
        <v>82</v>
      </c>
      <c r="I52" s="11" t="s">
        <v>82</v>
      </c>
      <c r="J52" s="11" t="s">
        <v>82</v>
      </c>
      <c r="K52" s="7"/>
      <c r="M52" s="7" t="s">
        <v>898</v>
      </c>
      <c r="N52" s="21" t="s">
        <v>3052</v>
      </c>
      <c r="O52" s="7" t="s">
        <v>899</v>
      </c>
      <c r="P52" s="21" t="s">
        <v>1498</v>
      </c>
      <c r="Q52" s="7"/>
      <c r="R52" s="21"/>
      <c r="S52" s="7"/>
      <c r="T52" s="7"/>
    </row>
    <row r="53" spans="1:88" x14ac:dyDescent="0.2">
      <c r="A53" s="11">
        <v>52</v>
      </c>
      <c r="B53" s="11" t="s">
        <v>113</v>
      </c>
      <c r="D53" s="11" t="s">
        <v>82</v>
      </c>
      <c r="F53" s="39"/>
      <c r="G53" s="7"/>
      <c r="H53" s="11" t="s">
        <v>84</v>
      </c>
      <c r="I53" s="11" t="s">
        <v>84</v>
      </c>
      <c r="J53" s="11" t="s">
        <v>84</v>
      </c>
      <c r="K53" s="7"/>
      <c r="M53" s="7"/>
      <c r="O53" s="7"/>
      <c r="Q53" s="7"/>
      <c r="R53" s="21"/>
      <c r="S53" s="7"/>
      <c r="T53" s="7"/>
    </row>
    <row r="54" spans="1:88" ht="38.25" x14ac:dyDescent="0.2">
      <c r="A54" s="11">
        <v>53</v>
      </c>
      <c r="B54" s="11" t="s">
        <v>93</v>
      </c>
      <c r="C54" s="7" t="s">
        <v>1037</v>
      </c>
      <c r="D54" s="11" t="s">
        <v>84</v>
      </c>
      <c r="F54" s="39"/>
      <c r="G54" s="7"/>
      <c r="H54" s="11" t="s">
        <v>84</v>
      </c>
      <c r="I54" s="11" t="s">
        <v>84</v>
      </c>
      <c r="J54" s="11" t="s">
        <v>82</v>
      </c>
      <c r="K54" s="7"/>
      <c r="M54" s="7" t="s">
        <v>917</v>
      </c>
      <c r="N54" s="21" t="s">
        <v>1051</v>
      </c>
      <c r="O54" s="7" t="s">
        <v>918</v>
      </c>
      <c r="P54" s="21" t="s">
        <v>1498</v>
      </c>
      <c r="Q54" s="7" t="s">
        <v>919</v>
      </c>
      <c r="R54" s="21" t="s">
        <v>1067</v>
      </c>
      <c r="S54" s="7"/>
      <c r="T54" s="7"/>
    </row>
    <row r="55" spans="1:88" x14ac:dyDescent="0.2">
      <c r="A55" s="11">
        <v>54</v>
      </c>
      <c r="B55" s="11" t="s">
        <v>113</v>
      </c>
      <c r="D55" s="11" t="s">
        <v>82</v>
      </c>
      <c r="F55" s="39"/>
      <c r="G55" s="7"/>
      <c r="H55" s="11" t="s">
        <v>84</v>
      </c>
      <c r="I55" s="11" t="s">
        <v>82</v>
      </c>
      <c r="J55" s="11" t="s">
        <v>84</v>
      </c>
      <c r="K55" s="7" t="s">
        <v>925</v>
      </c>
      <c r="L55" s="21" t="s">
        <v>2242</v>
      </c>
      <c r="O55" s="7"/>
      <c r="R55" s="21"/>
      <c r="S55" s="7"/>
      <c r="T55" s="7"/>
    </row>
    <row r="56" spans="1:88" ht="76.5" x14ac:dyDescent="0.2">
      <c r="A56" s="11">
        <v>55</v>
      </c>
      <c r="B56" s="11" t="s">
        <v>113</v>
      </c>
      <c r="C56" s="11" t="s">
        <v>941</v>
      </c>
      <c r="D56" s="11" t="s">
        <v>82</v>
      </c>
      <c r="F56" s="39" t="s">
        <v>81</v>
      </c>
      <c r="G56" s="7" t="s">
        <v>3882</v>
      </c>
      <c r="H56" s="11" t="s">
        <v>84</v>
      </c>
      <c r="I56" s="11" t="s">
        <v>84</v>
      </c>
      <c r="J56" s="11" t="s">
        <v>82</v>
      </c>
      <c r="K56" s="7"/>
      <c r="M56" s="7" t="s">
        <v>943</v>
      </c>
      <c r="N56" s="21" t="s">
        <v>1044</v>
      </c>
      <c r="O56" s="7" t="s">
        <v>944</v>
      </c>
      <c r="P56" s="21" t="s">
        <v>1060</v>
      </c>
      <c r="Q56" s="7" t="s">
        <v>945</v>
      </c>
      <c r="R56" s="21" t="s">
        <v>1065</v>
      </c>
      <c r="S56" s="7"/>
      <c r="T56" s="7"/>
    </row>
    <row r="57" spans="1:88" ht="63.75" x14ac:dyDescent="0.2">
      <c r="A57" s="11">
        <v>56</v>
      </c>
      <c r="B57" s="11" t="s">
        <v>100</v>
      </c>
      <c r="C57" s="7" t="s">
        <v>1038</v>
      </c>
      <c r="D57" s="11" t="s">
        <v>82</v>
      </c>
      <c r="F57" s="39"/>
      <c r="G57" s="7" t="s">
        <v>4069</v>
      </c>
      <c r="H57" s="11" t="s">
        <v>82</v>
      </c>
      <c r="I57" s="11" t="s">
        <v>82</v>
      </c>
      <c r="J57" s="11" t="s">
        <v>84</v>
      </c>
      <c r="K57" s="7" t="s">
        <v>958</v>
      </c>
      <c r="L57" s="21" t="s">
        <v>3901</v>
      </c>
      <c r="M57" s="7" t="s">
        <v>959</v>
      </c>
      <c r="N57" s="21" t="s">
        <v>3303</v>
      </c>
      <c r="O57" s="7" t="s">
        <v>4038</v>
      </c>
      <c r="P57" s="21" t="s">
        <v>3430</v>
      </c>
      <c r="Q57" s="7" t="s">
        <v>3338</v>
      </c>
      <c r="R57" s="21" t="s">
        <v>1059</v>
      </c>
      <c r="S57" s="7"/>
      <c r="T57" s="7"/>
    </row>
    <row r="58" spans="1:88" x14ac:dyDescent="0.2">
      <c r="A58" s="11">
        <v>57</v>
      </c>
      <c r="B58" s="11" t="s">
        <v>113</v>
      </c>
      <c r="C58" s="11" t="s">
        <v>81</v>
      </c>
      <c r="D58" s="11" t="s">
        <v>82</v>
      </c>
      <c r="F58" s="39"/>
      <c r="G58" s="7"/>
      <c r="H58" s="11" t="s">
        <v>84</v>
      </c>
      <c r="I58" s="11" t="s">
        <v>84</v>
      </c>
      <c r="J58" s="11" t="s">
        <v>84</v>
      </c>
      <c r="K58" s="7"/>
      <c r="M58" s="7"/>
      <c r="O58" s="7"/>
      <c r="Q58" s="7"/>
      <c r="R58" s="21"/>
      <c r="S58" s="7"/>
      <c r="T58" s="7"/>
    </row>
    <row r="59" spans="1:88" ht="89.25" x14ac:dyDescent="0.2">
      <c r="A59" s="11">
        <v>58</v>
      </c>
      <c r="B59" s="11" t="s">
        <v>100</v>
      </c>
      <c r="C59" s="11" t="s">
        <v>1087</v>
      </c>
      <c r="D59" s="11" t="s">
        <v>82</v>
      </c>
      <c r="F59" s="39"/>
      <c r="G59" s="7" t="s">
        <v>1088</v>
      </c>
      <c r="H59" s="11" t="s">
        <v>82</v>
      </c>
      <c r="I59" s="11" t="s">
        <v>84</v>
      </c>
      <c r="J59" s="11" t="s">
        <v>82</v>
      </c>
      <c r="K59" s="7"/>
      <c r="M59" s="7" t="s">
        <v>1089</v>
      </c>
      <c r="N59" s="21" t="s">
        <v>3304</v>
      </c>
      <c r="O59" s="7" t="s">
        <v>1090</v>
      </c>
      <c r="P59" s="21" t="s">
        <v>1498</v>
      </c>
      <c r="Q59" s="7" t="s">
        <v>1091</v>
      </c>
      <c r="R59" s="21" t="s">
        <v>3254</v>
      </c>
      <c r="S59" s="7"/>
      <c r="T59" s="7"/>
    </row>
    <row r="60" spans="1:88" x14ac:dyDescent="0.2">
      <c r="A60" s="11">
        <v>59</v>
      </c>
      <c r="B60" s="11" t="s">
        <v>113</v>
      </c>
      <c r="D60" s="11" t="s">
        <v>82</v>
      </c>
      <c r="F60" s="39" t="s">
        <v>81</v>
      </c>
      <c r="G60" s="7" t="s">
        <v>81</v>
      </c>
      <c r="H60" s="11" t="s">
        <v>82</v>
      </c>
      <c r="I60" s="11" t="s">
        <v>84</v>
      </c>
      <c r="J60" s="11" t="s">
        <v>82</v>
      </c>
      <c r="K60" s="7"/>
      <c r="O60" s="7"/>
      <c r="R60" s="21"/>
      <c r="S60" s="7"/>
      <c r="T60" s="7"/>
    </row>
    <row r="61" spans="1:88" ht="38.25" x14ac:dyDescent="0.2">
      <c r="A61" s="11">
        <v>60</v>
      </c>
      <c r="B61" s="11" t="s">
        <v>113</v>
      </c>
      <c r="C61" s="11" t="s">
        <v>1112</v>
      </c>
      <c r="D61" s="11" t="s">
        <v>84</v>
      </c>
      <c r="F61" s="39"/>
      <c r="G61" s="7"/>
      <c r="H61" s="11" t="s">
        <v>84</v>
      </c>
      <c r="I61" s="11" t="s">
        <v>82</v>
      </c>
      <c r="J61" s="11" t="s">
        <v>82</v>
      </c>
      <c r="K61" s="7"/>
      <c r="O61" s="7"/>
      <c r="R61" s="21"/>
      <c r="S61" s="7"/>
      <c r="T61" s="7"/>
    </row>
    <row r="62" spans="1:88" ht="63.75" x14ac:dyDescent="0.2">
      <c r="A62" s="11">
        <v>61</v>
      </c>
      <c r="B62" s="11" t="s">
        <v>93</v>
      </c>
      <c r="C62" s="11" t="s">
        <v>3860</v>
      </c>
      <c r="D62" s="11" t="s">
        <v>82</v>
      </c>
      <c r="F62" s="11" t="s">
        <v>81</v>
      </c>
      <c r="G62" s="19" t="s">
        <v>4070</v>
      </c>
      <c r="H62" s="11" t="s">
        <v>82</v>
      </c>
      <c r="I62" s="11" t="s">
        <v>84</v>
      </c>
      <c r="J62" s="11" t="s">
        <v>82</v>
      </c>
      <c r="K62" s="7"/>
      <c r="M62" s="7" t="s">
        <v>4039</v>
      </c>
      <c r="N62" s="21" t="s">
        <v>3305</v>
      </c>
      <c r="O62" s="7" t="s">
        <v>1307</v>
      </c>
      <c r="P62" s="21" t="s">
        <v>3396</v>
      </c>
      <c r="Q62" s="7" t="s">
        <v>1308</v>
      </c>
      <c r="R62" s="21" t="s">
        <v>899</v>
      </c>
      <c r="S62" s="7"/>
      <c r="T62" s="7"/>
    </row>
    <row r="63" spans="1:88" ht="51" x14ac:dyDescent="0.2">
      <c r="A63" s="11">
        <v>62</v>
      </c>
      <c r="B63" s="11" t="s">
        <v>113</v>
      </c>
      <c r="C63" s="11" t="s">
        <v>1315</v>
      </c>
      <c r="D63" s="11" t="s">
        <v>82</v>
      </c>
      <c r="F63" s="11" t="s">
        <v>81</v>
      </c>
      <c r="G63" s="7"/>
      <c r="H63" s="11" t="s">
        <v>82</v>
      </c>
      <c r="I63" s="11" t="s">
        <v>84</v>
      </c>
      <c r="J63" s="11" t="s">
        <v>84</v>
      </c>
      <c r="K63" s="7" t="s">
        <v>1316</v>
      </c>
      <c r="L63" s="21" t="s">
        <v>3906</v>
      </c>
      <c r="M63" s="7" t="s">
        <v>1317</v>
      </c>
      <c r="N63" s="21" t="s">
        <v>3306</v>
      </c>
      <c r="O63" s="7" t="s">
        <v>899</v>
      </c>
      <c r="P63" s="21" t="s">
        <v>1498</v>
      </c>
      <c r="Q63" s="7" t="s">
        <v>4071</v>
      </c>
      <c r="R63" s="21" t="s">
        <v>899</v>
      </c>
      <c r="S63" s="7"/>
      <c r="T63" s="7"/>
    </row>
    <row r="64" spans="1:88" ht="76.5" x14ac:dyDescent="0.2">
      <c r="A64" s="11">
        <v>63</v>
      </c>
      <c r="B64" s="11" t="s">
        <v>113</v>
      </c>
      <c r="C64" s="7" t="s">
        <v>3861</v>
      </c>
      <c r="D64" s="11" t="s">
        <v>82</v>
      </c>
      <c r="F64" s="11" t="s">
        <v>81</v>
      </c>
      <c r="G64" s="7"/>
      <c r="H64" s="11" t="s">
        <v>84</v>
      </c>
      <c r="I64" s="11" t="s">
        <v>82</v>
      </c>
      <c r="J64" s="11" t="s">
        <v>82</v>
      </c>
      <c r="K64" s="7"/>
      <c r="M64" s="7" t="s">
        <v>1334</v>
      </c>
      <c r="N64" s="21" t="s">
        <v>3307</v>
      </c>
      <c r="O64" s="7" t="s">
        <v>4040</v>
      </c>
      <c r="P64" s="21" t="s">
        <v>3419</v>
      </c>
      <c r="Q64" s="11" t="s">
        <v>1336</v>
      </c>
      <c r="R64" s="21" t="s">
        <v>3256</v>
      </c>
      <c r="S64" s="7"/>
      <c r="T64" s="7"/>
    </row>
    <row r="65" spans="1:20" x14ac:dyDescent="0.2">
      <c r="A65" s="11">
        <v>64</v>
      </c>
      <c r="B65" s="33"/>
      <c r="C65" s="33"/>
      <c r="D65" s="33" t="s">
        <v>80</v>
      </c>
      <c r="E65" s="33"/>
      <c r="F65" s="33"/>
      <c r="G65" s="52"/>
      <c r="H65" s="33" t="s">
        <v>80</v>
      </c>
      <c r="I65" s="33" t="s">
        <v>80</v>
      </c>
      <c r="J65" s="33" t="s">
        <v>80</v>
      </c>
      <c r="K65" s="52"/>
      <c r="L65" s="45"/>
      <c r="M65" s="52"/>
      <c r="O65" s="52"/>
      <c r="Q65" s="33"/>
      <c r="R65" s="21"/>
      <c r="S65" s="7"/>
      <c r="T65" s="7"/>
    </row>
    <row r="66" spans="1:20" ht="51" x14ac:dyDescent="0.2">
      <c r="A66" s="11">
        <v>65</v>
      </c>
      <c r="B66" s="11" t="s">
        <v>93</v>
      </c>
      <c r="C66" s="11" t="s">
        <v>1348</v>
      </c>
      <c r="D66" s="11" t="s">
        <v>84</v>
      </c>
      <c r="E66" s="11" t="s">
        <v>1349</v>
      </c>
      <c r="G66" s="7"/>
      <c r="H66" s="11" t="s">
        <v>82</v>
      </c>
      <c r="I66" s="11" t="s">
        <v>84</v>
      </c>
      <c r="J66" s="11" t="s">
        <v>84</v>
      </c>
      <c r="K66" s="7" t="s">
        <v>3815</v>
      </c>
      <c r="L66" s="21" t="s">
        <v>2242</v>
      </c>
      <c r="M66" s="7" t="s">
        <v>1351</v>
      </c>
      <c r="N66" s="21" t="s">
        <v>899</v>
      </c>
      <c r="O66" s="7" t="s">
        <v>1352</v>
      </c>
      <c r="P66" s="21" t="s">
        <v>1498</v>
      </c>
      <c r="Q66" s="11" t="s">
        <v>1353</v>
      </c>
      <c r="R66" s="21" t="s">
        <v>899</v>
      </c>
      <c r="S66" s="7"/>
      <c r="T66" s="7"/>
    </row>
    <row r="67" spans="1:20" x14ac:dyDescent="0.2">
      <c r="A67" s="11">
        <v>66</v>
      </c>
      <c r="D67" s="11" t="s">
        <v>80</v>
      </c>
      <c r="G67" s="7"/>
      <c r="H67" s="11" t="s">
        <v>80</v>
      </c>
      <c r="I67" s="11" t="s">
        <v>80</v>
      </c>
      <c r="J67" s="11" t="s">
        <v>80</v>
      </c>
      <c r="O67" s="7"/>
      <c r="R67" s="21"/>
      <c r="S67" s="7"/>
      <c r="T67" s="7"/>
    </row>
    <row r="68" spans="1:20" ht="25.5" x14ac:dyDescent="0.2">
      <c r="A68" s="11">
        <v>67</v>
      </c>
      <c r="B68" s="11" t="s">
        <v>113</v>
      </c>
      <c r="C68" s="64" t="s">
        <v>1368</v>
      </c>
      <c r="D68" s="11" t="s">
        <v>84</v>
      </c>
      <c r="G68" s="7"/>
      <c r="H68" s="11" t="s">
        <v>84</v>
      </c>
      <c r="I68" s="11" t="s">
        <v>84</v>
      </c>
      <c r="J68" s="11" t="s">
        <v>84</v>
      </c>
      <c r="K68" s="11" t="s">
        <v>1369</v>
      </c>
      <c r="L68" s="21" t="s">
        <v>3903</v>
      </c>
      <c r="M68" s="7" t="s">
        <v>2852</v>
      </c>
      <c r="N68" s="21" t="s">
        <v>3329</v>
      </c>
      <c r="O68" s="7" t="s">
        <v>1371</v>
      </c>
      <c r="P68" s="21" t="s">
        <v>3439</v>
      </c>
      <c r="Q68" s="11" t="s">
        <v>1372</v>
      </c>
      <c r="R68" s="21" t="s">
        <v>1059</v>
      </c>
      <c r="S68" s="7"/>
      <c r="T68" s="7"/>
    </row>
    <row r="69" spans="1:20" x14ac:dyDescent="0.2">
      <c r="A69" s="11">
        <v>68</v>
      </c>
      <c r="D69" s="11" t="s">
        <v>80</v>
      </c>
      <c r="G69" s="7"/>
      <c r="H69" s="11" t="s">
        <v>80</v>
      </c>
      <c r="I69" s="11" t="s">
        <v>80</v>
      </c>
      <c r="J69" s="11" t="s">
        <v>80</v>
      </c>
      <c r="O69" s="7"/>
      <c r="R69" s="21"/>
      <c r="S69" s="7"/>
      <c r="T69" s="7"/>
    </row>
    <row r="70" spans="1:20" x14ac:dyDescent="0.2">
      <c r="A70" s="11">
        <v>69</v>
      </c>
      <c r="D70" s="11" t="s">
        <v>80</v>
      </c>
      <c r="G70" s="7"/>
      <c r="H70" s="11" t="s">
        <v>80</v>
      </c>
      <c r="I70" s="11" t="s">
        <v>80</v>
      </c>
      <c r="J70" s="11" t="s">
        <v>80</v>
      </c>
      <c r="O70" s="7"/>
      <c r="R70" s="21"/>
      <c r="S70" s="7"/>
      <c r="T70" s="7"/>
    </row>
    <row r="71" spans="1:20" ht="38.25" x14ac:dyDescent="0.2">
      <c r="A71" s="11">
        <v>70</v>
      </c>
      <c r="B71" s="11" t="s">
        <v>93</v>
      </c>
      <c r="D71" s="11" t="s">
        <v>84</v>
      </c>
      <c r="G71" s="7"/>
      <c r="H71" s="11" t="s">
        <v>82</v>
      </c>
      <c r="I71" s="11" t="s">
        <v>82</v>
      </c>
      <c r="J71" s="11" t="s">
        <v>84</v>
      </c>
      <c r="M71" s="7" t="s">
        <v>4072</v>
      </c>
      <c r="N71" s="21" t="s">
        <v>1057</v>
      </c>
      <c r="O71" s="7" t="s">
        <v>1380</v>
      </c>
      <c r="P71" s="21" t="s">
        <v>3447</v>
      </c>
      <c r="Q71" s="11" t="s">
        <v>4073</v>
      </c>
      <c r="R71" s="21" t="s">
        <v>1062</v>
      </c>
      <c r="S71" s="7"/>
      <c r="T71" s="7"/>
    </row>
    <row r="72" spans="1:20" ht="38.25" x14ac:dyDescent="0.2">
      <c r="A72" s="11">
        <v>71</v>
      </c>
      <c r="B72" s="11" t="s">
        <v>100</v>
      </c>
      <c r="C72" s="11" t="s">
        <v>1387</v>
      </c>
      <c r="D72" s="11" t="s">
        <v>82</v>
      </c>
      <c r="F72" s="11" t="s">
        <v>81</v>
      </c>
      <c r="G72" s="7"/>
      <c r="H72" s="11" t="s">
        <v>84</v>
      </c>
      <c r="I72" s="11" t="s">
        <v>84</v>
      </c>
      <c r="J72" s="11" t="s">
        <v>82</v>
      </c>
      <c r="M72" s="11" t="s">
        <v>1388</v>
      </c>
      <c r="N72" s="21" t="s">
        <v>3308</v>
      </c>
      <c r="O72" s="7" t="s">
        <v>1389</v>
      </c>
      <c r="P72" s="21" t="s">
        <v>3397</v>
      </c>
      <c r="Q72" s="11" t="s">
        <v>1390</v>
      </c>
      <c r="R72" s="21" t="s">
        <v>899</v>
      </c>
      <c r="S72" s="7"/>
      <c r="T72" s="7"/>
    </row>
    <row r="73" spans="1:20" ht="38.25" x14ac:dyDescent="0.2">
      <c r="A73" s="11">
        <v>72</v>
      </c>
      <c r="B73" s="11" t="s">
        <v>100</v>
      </c>
      <c r="C73" s="11" t="s">
        <v>3862</v>
      </c>
      <c r="D73" s="11" t="s">
        <v>82</v>
      </c>
      <c r="F73" s="11" t="s">
        <v>246</v>
      </c>
      <c r="G73" s="7"/>
      <c r="H73" s="11" t="s">
        <v>82</v>
      </c>
      <c r="I73" s="11" t="s">
        <v>84</v>
      </c>
      <c r="J73" s="11" t="s">
        <v>82</v>
      </c>
      <c r="O73" s="11" t="s">
        <v>1396</v>
      </c>
      <c r="P73" s="21" t="s">
        <v>1498</v>
      </c>
      <c r="Q73" s="11" t="s">
        <v>250</v>
      </c>
      <c r="R73" s="21" t="s">
        <v>899</v>
      </c>
      <c r="S73" s="7"/>
      <c r="T73" s="7"/>
    </row>
    <row r="74" spans="1:20" x14ac:dyDescent="0.2">
      <c r="A74" s="11">
        <v>73</v>
      </c>
      <c r="B74" s="33"/>
      <c r="C74" s="33"/>
      <c r="D74" s="33" t="s">
        <v>80</v>
      </c>
      <c r="E74" s="33"/>
      <c r="F74" s="33"/>
      <c r="G74" s="52"/>
      <c r="H74" s="33" t="s">
        <v>80</v>
      </c>
      <c r="I74" s="33" t="s">
        <v>80</v>
      </c>
      <c r="J74" s="33" t="s">
        <v>80</v>
      </c>
      <c r="K74" s="33"/>
      <c r="L74" s="45"/>
      <c r="M74" s="33"/>
      <c r="O74" s="33"/>
      <c r="Q74" s="33"/>
      <c r="R74" s="21"/>
      <c r="S74" s="7"/>
      <c r="T74" s="7"/>
    </row>
    <row r="75" spans="1:20" ht="25.5" x14ac:dyDescent="0.2">
      <c r="A75" s="11">
        <v>74</v>
      </c>
      <c r="B75" s="11" t="s">
        <v>93</v>
      </c>
      <c r="C75" s="11" t="s">
        <v>1405</v>
      </c>
      <c r="D75" s="11" t="s">
        <v>82</v>
      </c>
      <c r="F75" s="11" t="s">
        <v>246</v>
      </c>
      <c r="G75" s="7"/>
      <c r="H75" s="11" t="s">
        <v>82</v>
      </c>
      <c r="I75" s="11" t="s">
        <v>84</v>
      </c>
      <c r="J75" s="11" t="s">
        <v>84</v>
      </c>
      <c r="K75" s="11" t="s">
        <v>1406</v>
      </c>
      <c r="M75" s="11" t="s">
        <v>4041</v>
      </c>
      <c r="N75" s="21" t="s">
        <v>3350</v>
      </c>
      <c r="O75" s="11" t="s">
        <v>1408</v>
      </c>
      <c r="P75" s="21" t="s">
        <v>1498</v>
      </c>
      <c r="Q75" s="11" t="s">
        <v>1409</v>
      </c>
      <c r="R75" s="21" t="s">
        <v>899</v>
      </c>
      <c r="S75" s="7"/>
      <c r="T75" s="7"/>
    </row>
    <row r="76" spans="1:20" x14ac:dyDescent="0.2">
      <c r="A76" s="11">
        <v>75</v>
      </c>
      <c r="B76" s="33"/>
      <c r="C76" s="33"/>
      <c r="D76" s="33" t="s">
        <v>80</v>
      </c>
      <c r="E76" s="33"/>
      <c r="F76" s="33"/>
      <c r="G76" s="52"/>
      <c r="H76" s="33" t="s">
        <v>80</v>
      </c>
      <c r="I76" s="33" t="s">
        <v>80</v>
      </c>
      <c r="J76" s="33" t="s">
        <v>80</v>
      </c>
      <c r="K76" s="33"/>
      <c r="L76" s="45"/>
      <c r="M76" s="33"/>
      <c r="O76" s="33"/>
      <c r="Q76" s="33"/>
      <c r="R76" s="21"/>
      <c r="S76" s="7"/>
      <c r="T76" s="7"/>
    </row>
    <row r="77" spans="1:20" ht="38.25" x14ac:dyDescent="0.2">
      <c r="A77" s="11">
        <v>76</v>
      </c>
      <c r="B77" s="11" t="s">
        <v>113</v>
      </c>
      <c r="D77" s="11" t="s">
        <v>82</v>
      </c>
      <c r="F77" s="11" t="s">
        <v>246</v>
      </c>
      <c r="G77" s="7" t="s">
        <v>1417</v>
      </c>
      <c r="H77" s="11" t="s">
        <v>84</v>
      </c>
      <c r="I77" s="11" t="s">
        <v>82</v>
      </c>
      <c r="J77" s="11" t="s">
        <v>84</v>
      </c>
      <c r="K77" s="11" t="s">
        <v>1418</v>
      </c>
      <c r="L77" s="21" t="s">
        <v>2242</v>
      </c>
      <c r="M77" s="11" t="s">
        <v>1419</v>
      </c>
      <c r="N77" s="21" t="s">
        <v>1044</v>
      </c>
      <c r="O77" s="28" t="s">
        <v>1420</v>
      </c>
      <c r="P77" s="21" t="s">
        <v>4234</v>
      </c>
      <c r="Q77" s="11" t="s">
        <v>1421</v>
      </c>
      <c r="R77" s="21" t="s">
        <v>3255</v>
      </c>
      <c r="S77" s="7"/>
      <c r="T77" s="7"/>
    </row>
    <row r="78" spans="1:20" ht="76.5" x14ac:dyDescent="0.2">
      <c r="A78" s="11">
        <v>77</v>
      </c>
      <c r="B78" s="11" t="s">
        <v>100</v>
      </c>
      <c r="D78" s="11" t="s">
        <v>82</v>
      </c>
      <c r="F78" s="11" t="s">
        <v>81</v>
      </c>
      <c r="G78" s="19" t="s">
        <v>1426</v>
      </c>
      <c r="H78" s="11" t="s">
        <v>84</v>
      </c>
      <c r="I78" s="11" t="s">
        <v>82</v>
      </c>
      <c r="J78" s="11" t="s">
        <v>84</v>
      </c>
      <c r="K78" s="11" t="s">
        <v>1427</v>
      </c>
      <c r="L78" s="21" t="s">
        <v>2242</v>
      </c>
      <c r="Q78" s="11" t="s">
        <v>1428</v>
      </c>
      <c r="R78" s="21" t="s">
        <v>1055</v>
      </c>
      <c r="S78" s="7"/>
      <c r="T78" s="7"/>
    </row>
    <row r="79" spans="1:20" x14ac:dyDescent="0.2">
      <c r="A79" s="11">
        <v>78</v>
      </c>
      <c r="B79" s="11" t="s">
        <v>113</v>
      </c>
      <c r="D79" s="11" t="s">
        <v>82</v>
      </c>
      <c r="F79" s="11" t="s">
        <v>246</v>
      </c>
      <c r="G79" s="7"/>
      <c r="H79" s="11" t="s">
        <v>82</v>
      </c>
      <c r="I79" s="11" t="s">
        <v>82</v>
      </c>
      <c r="J79" s="11" t="s">
        <v>84</v>
      </c>
      <c r="R79" s="21"/>
      <c r="S79" s="7"/>
      <c r="T79" s="7"/>
    </row>
    <row r="80" spans="1:20" ht="51" x14ac:dyDescent="0.2">
      <c r="A80" s="11">
        <v>79</v>
      </c>
      <c r="B80" s="11" t="s">
        <v>113</v>
      </c>
      <c r="C80" s="11" t="s">
        <v>4074</v>
      </c>
      <c r="D80" s="11" t="s">
        <v>84</v>
      </c>
      <c r="E80" s="11" t="s">
        <v>1439</v>
      </c>
      <c r="G80" s="7"/>
      <c r="H80" s="11" t="s">
        <v>82</v>
      </c>
      <c r="I80" s="11" t="s">
        <v>84</v>
      </c>
      <c r="J80" s="11" t="s">
        <v>82</v>
      </c>
      <c r="M80" s="11" t="s">
        <v>1440</v>
      </c>
      <c r="N80" s="21" t="s">
        <v>1043</v>
      </c>
      <c r="O80" s="11" t="s">
        <v>1441</v>
      </c>
      <c r="P80" s="21" t="s">
        <v>1055</v>
      </c>
      <c r="Q80" s="11" t="s">
        <v>4075</v>
      </c>
      <c r="R80" s="21" t="s">
        <v>899</v>
      </c>
      <c r="S80" s="7"/>
      <c r="T80" s="7"/>
    </row>
    <row r="81" spans="1:20" ht="114.75" x14ac:dyDescent="0.2">
      <c r="A81" s="11">
        <v>80</v>
      </c>
      <c r="B81" s="11" t="s">
        <v>100</v>
      </c>
      <c r="C81" s="11" t="s">
        <v>4076</v>
      </c>
      <c r="D81" s="11" t="s">
        <v>82</v>
      </c>
      <c r="F81" s="11" t="s">
        <v>81</v>
      </c>
      <c r="G81" s="7"/>
      <c r="H81" s="11" t="s">
        <v>82</v>
      </c>
      <c r="I81" s="11" t="s">
        <v>82</v>
      </c>
      <c r="J81" s="11" t="s">
        <v>84</v>
      </c>
      <c r="K81" s="11" t="s">
        <v>1449</v>
      </c>
      <c r="L81" s="21" t="s">
        <v>3904</v>
      </c>
      <c r="M81" s="11" t="s">
        <v>1450</v>
      </c>
      <c r="N81" s="21" t="s">
        <v>3351</v>
      </c>
      <c r="O81" s="11" t="s">
        <v>1451</v>
      </c>
      <c r="P81" s="21" t="s">
        <v>3398</v>
      </c>
      <c r="Q81" s="11" t="s">
        <v>1452</v>
      </c>
      <c r="R81" s="21" t="s">
        <v>3257</v>
      </c>
      <c r="S81" s="7"/>
      <c r="T81" s="7"/>
    </row>
    <row r="82" spans="1:20" x14ac:dyDescent="0.2">
      <c r="A82" s="11">
        <v>81</v>
      </c>
      <c r="B82" s="11" t="s">
        <v>100</v>
      </c>
      <c r="D82" s="11" t="s">
        <v>82</v>
      </c>
      <c r="F82" s="11" t="s">
        <v>81</v>
      </c>
      <c r="G82" s="7"/>
      <c r="H82" s="11" t="s">
        <v>82</v>
      </c>
      <c r="I82" s="11" t="s">
        <v>82</v>
      </c>
      <c r="J82" s="11" t="s">
        <v>82</v>
      </c>
      <c r="R82" s="21"/>
      <c r="S82" s="7"/>
      <c r="T82" s="7"/>
    </row>
    <row r="83" spans="1:20" ht="25.5" x14ac:dyDescent="0.2">
      <c r="A83" s="11">
        <v>82</v>
      </c>
      <c r="B83" s="11" t="s">
        <v>113</v>
      </c>
      <c r="D83" s="11" t="s">
        <v>82</v>
      </c>
      <c r="F83" s="11" t="s">
        <v>246</v>
      </c>
      <c r="G83" s="7" t="s">
        <v>1468</v>
      </c>
      <c r="H83" s="11" t="s">
        <v>82</v>
      </c>
      <c r="I83" s="11" t="s">
        <v>82</v>
      </c>
      <c r="J83" s="11" t="s">
        <v>82</v>
      </c>
      <c r="M83" s="11" t="s">
        <v>1469</v>
      </c>
      <c r="N83" s="21" t="s">
        <v>3350</v>
      </c>
      <c r="O83" s="11" t="s">
        <v>1470</v>
      </c>
      <c r="P83" s="21" t="s">
        <v>3439</v>
      </c>
      <c r="Q83" s="11" t="s">
        <v>1471</v>
      </c>
      <c r="R83" s="21" t="s">
        <v>1059</v>
      </c>
      <c r="S83" s="7"/>
      <c r="T83" s="7"/>
    </row>
    <row r="84" spans="1:20" ht="51" x14ac:dyDescent="0.2">
      <c r="A84" s="11">
        <v>83</v>
      </c>
      <c r="B84" s="11" t="s">
        <v>93</v>
      </c>
      <c r="C84" s="19" t="s">
        <v>1479</v>
      </c>
      <c r="D84" s="11" t="s">
        <v>82</v>
      </c>
      <c r="F84" s="11" t="s">
        <v>81</v>
      </c>
      <c r="G84" s="7" t="s">
        <v>1480</v>
      </c>
      <c r="H84" s="11" t="s">
        <v>82</v>
      </c>
      <c r="I84" s="11" t="s">
        <v>82</v>
      </c>
      <c r="J84" s="11" t="s">
        <v>84</v>
      </c>
      <c r="K84" s="11" t="s">
        <v>1481</v>
      </c>
      <c r="L84" s="21" t="s">
        <v>3901</v>
      </c>
      <c r="M84" s="11" t="s">
        <v>4042</v>
      </c>
      <c r="N84" s="21" t="s">
        <v>3319</v>
      </c>
      <c r="O84" s="11" t="s">
        <v>4043</v>
      </c>
      <c r="P84" s="21" t="s">
        <v>3448</v>
      </c>
      <c r="Q84" s="11" t="s">
        <v>1484</v>
      </c>
      <c r="R84" s="21" t="s">
        <v>1059</v>
      </c>
      <c r="S84" s="7"/>
      <c r="T84" s="7"/>
    </row>
    <row r="85" spans="1:20" ht="25.5" x14ac:dyDescent="0.2">
      <c r="A85" s="11">
        <v>84</v>
      </c>
      <c r="B85" s="11" t="s">
        <v>113</v>
      </c>
      <c r="C85" s="11" t="s">
        <v>1494</v>
      </c>
      <c r="D85" s="11" t="s">
        <v>82</v>
      </c>
      <c r="F85" s="11" t="s">
        <v>246</v>
      </c>
      <c r="G85" s="7" t="s">
        <v>1495</v>
      </c>
      <c r="H85" s="11" t="s">
        <v>82</v>
      </c>
      <c r="I85" s="11" t="s">
        <v>84</v>
      </c>
      <c r="J85" s="11" t="s">
        <v>84</v>
      </c>
      <c r="K85" s="11" t="s">
        <v>1496</v>
      </c>
      <c r="L85" s="21" t="s">
        <v>3903</v>
      </c>
      <c r="M85" s="11" t="s">
        <v>1497</v>
      </c>
      <c r="N85" s="21" t="s">
        <v>3309</v>
      </c>
      <c r="O85" s="11" t="s">
        <v>1498</v>
      </c>
      <c r="P85" s="21" t="s">
        <v>1498</v>
      </c>
      <c r="Q85" s="11" t="s">
        <v>1499</v>
      </c>
      <c r="R85" s="21" t="s">
        <v>3255</v>
      </c>
      <c r="S85" s="7"/>
      <c r="T85" s="7"/>
    </row>
    <row r="86" spans="1:20" ht="76.5" x14ac:dyDescent="0.2">
      <c r="A86" s="11">
        <v>85</v>
      </c>
      <c r="B86" s="11" t="s">
        <v>93</v>
      </c>
      <c r="C86" s="11" t="s">
        <v>1511</v>
      </c>
      <c r="D86" s="11" t="s">
        <v>82</v>
      </c>
      <c r="F86" s="11" t="s">
        <v>246</v>
      </c>
      <c r="G86" s="7" t="s">
        <v>1512</v>
      </c>
      <c r="H86" s="11" t="s">
        <v>84</v>
      </c>
      <c r="I86" s="11" t="s">
        <v>84</v>
      </c>
      <c r="J86" s="11" t="s">
        <v>84</v>
      </c>
      <c r="K86" s="11" t="s">
        <v>1513</v>
      </c>
      <c r="L86" s="21" t="s">
        <v>3275</v>
      </c>
      <c r="M86" s="11" t="s">
        <v>1514</v>
      </c>
      <c r="N86" s="21" t="s">
        <v>3310</v>
      </c>
      <c r="O86" s="11" t="s">
        <v>1515</v>
      </c>
      <c r="Q86" s="11" t="s">
        <v>1516</v>
      </c>
      <c r="R86" s="21" t="s">
        <v>1059</v>
      </c>
      <c r="S86" s="7"/>
      <c r="T86" s="7"/>
    </row>
    <row r="87" spans="1:20" x14ac:dyDescent="0.2">
      <c r="A87" s="11">
        <v>86</v>
      </c>
      <c r="B87" s="33"/>
      <c r="C87" s="33"/>
      <c r="D87" s="33" t="s">
        <v>80</v>
      </c>
      <c r="E87" s="33"/>
      <c r="F87" s="33"/>
      <c r="G87" s="52"/>
      <c r="H87" s="33" t="s">
        <v>80</v>
      </c>
      <c r="I87" s="33" t="s">
        <v>80</v>
      </c>
      <c r="J87" s="33" t="s">
        <v>80</v>
      </c>
      <c r="K87" s="33"/>
      <c r="L87" s="45"/>
      <c r="M87" s="33"/>
      <c r="O87" s="33"/>
      <c r="Q87" s="33"/>
      <c r="R87" s="21"/>
      <c r="S87" s="7"/>
      <c r="T87" s="7"/>
    </row>
    <row r="88" spans="1:20" ht="114.75" x14ac:dyDescent="0.2">
      <c r="A88" s="11">
        <v>87</v>
      </c>
      <c r="B88" s="11" t="s">
        <v>100</v>
      </c>
      <c r="C88" s="11" t="s">
        <v>1525</v>
      </c>
      <c r="D88" s="11" t="s">
        <v>84</v>
      </c>
      <c r="G88" s="7"/>
      <c r="H88" s="11" t="s">
        <v>82</v>
      </c>
      <c r="I88" s="11" t="s">
        <v>82</v>
      </c>
      <c r="J88" s="11" t="s">
        <v>82</v>
      </c>
      <c r="M88" s="11" t="s">
        <v>1526</v>
      </c>
      <c r="N88" s="21" t="s">
        <v>899</v>
      </c>
      <c r="O88" s="64" t="s">
        <v>1527</v>
      </c>
      <c r="Q88" s="11" t="s">
        <v>1528</v>
      </c>
      <c r="R88" s="21" t="s">
        <v>3268</v>
      </c>
      <c r="S88" s="7"/>
      <c r="T88" s="7"/>
    </row>
    <row r="89" spans="1:20" ht="25.5" x14ac:dyDescent="0.2">
      <c r="A89" s="11">
        <v>88</v>
      </c>
      <c r="B89" s="11" t="s">
        <v>113</v>
      </c>
      <c r="D89" s="11" t="s">
        <v>82</v>
      </c>
      <c r="F89" s="11" t="s">
        <v>246</v>
      </c>
      <c r="G89" s="7"/>
      <c r="H89" s="11" t="s">
        <v>82</v>
      </c>
      <c r="I89" s="11" t="s">
        <v>82</v>
      </c>
      <c r="J89" s="11" t="s">
        <v>82</v>
      </c>
      <c r="M89" s="11" t="s">
        <v>1532</v>
      </c>
      <c r="N89" s="21" t="s">
        <v>3311</v>
      </c>
      <c r="O89" s="11" t="s">
        <v>1533</v>
      </c>
      <c r="P89" s="21" t="s">
        <v>3431</v>
      </c>
      <c r="R89" s="21"/>
      <c r="S89" s="7"/>
      <c r="T89" s="7"/>
    </row>
    <row r="90" spans="1:20" ht="89.25" x14ac:dyDescent="0.2">
      <c r="A90" s="11">
        <v>89</v>
      </c>
      <c r="B90" s="11" t="s">
        <v>93</v>
      </c>
      <c r="D90" s="11" t="s">
        <v>84</v>
      </c>
      <c r="G90" s="7"/>
      <c r="H90" s="11" t="s">
        <v>82</v>
      </c>
      <c r="I90" s="11" t="s">
        <v>82</v>
      </c>
      <c r="J90" s="11" t="s">
        <v>82</v>
      </c>
      <c r="M90" s="11" t="s">
        <v>1539</v>
      </c>
      <c r="N90" s="21" t="s">
        <v>3380</v>
      </c>
      <c r="O90" s="11" t="s">
        <v>1540</v>
      </c>
      <c r="P90" s="21" t="s">
        <v>3449</v>
      </c>
      <c r="Q90" s="11" t="s">
        <v>1541</v>
      </c>
      <c r="R90" s="21" t="s">
        <v>1062</v>
      </c>
      <c r="S90" s="7"/>
      <c r="T90" s="7"/>
    </row>
    <row r="91" spans="1:20" ht="38.25" x14ac:dyDescent="0.2">
      <c r="A91" s="11">
        <v>90</v>
      </c>
      <c r="B91" s="11" t="s">
        <v>100</v>
      </c>
      <c r="C91" s="11" t="s">
        <v>1548</v>
      </c>
      <c r="D91" s="11" t="s">
        <v>82</v>
      </c>
      <c r="F91" s="11" t="s">
        <v>246</v>
      </c>
      <c r="G91" s="7"/>
      <c r="H91" s="11" t="s">
        <v>84</v>
      </c>
      <c r="I91" s="11" t="s">
        <v>82</v>
      </c>
      <c r="J91" s="11" t="s">
        <v>82</v>
      </c>
      <c r="M91" s="11" t="s">
        <v>1549</v>
      </c>
      <c r="N91" s="21" t="s">
        <v>1043</v>
      </c>
      <c r="O91" s="11" t="s">
        <v>1550</v>
      </c>
      <c r="P91" s="21" t="s">
        <v>3399</v>
      </c>
      <c r="Q91" s="11" t="s">
        <v>1551</v>
      </c>
      <c r="R91" s="21" t="s">
        <v>1064</v>
      </c>
      <c r="S91" s="7"/>
      <c r="T91" s="7"/>
    </row>
    <row r="92" spans="1:20" x14ac:dyDescent="0.2">
      <c r="A92" s="11">
        <v>91</v>
      </c>
      <c r="B92" s="33"/>
      <c r="C92" s="33"/>
      <c r="D92" s="33" t="s">
        <v>80</v>
      </c>
      <c r="E92" s="33"/>
      <c r="F92" s="33"/>
      <c r="G92" s="52"/>
      <c r="H92" s="33" t="s">
        <v>80</v>
      </c>
      <c r="I92" s="33" t="s">
        <v>80</v>
      </c>
      <c r="J92" s="33" t="s">
        <v>80</v>
      </c>
      <c r="K92" s="33"/>
      <c r="L92" s="45"/>
      <c r="M92" s="33"/>
      <c r="O92" s="33"/>
      <c r="Q92" s="33"/>
      <c r="R92" s="21"/>
      <c r="S92" s="7"/>
      <c r="T92" s="7"/>
    </row>
    <row r="93" spans="1:20" x14ac:dyDescent="0.2">
      <c r="A93" s="11">
        <v>92</v>
      </c>
      <c r="B93" s="11" t="s">
        <v>113</v>
      </c>
      <c r="D93" s="11" t="s">
        <v>82</v>
      </c>
      <c r="F93" s="11" t="s">
        <v>81</v>
      </c>
      <c r="G93" s="7"/>
      <c r="H93" s="11" t="s">
        <v>84</v>
      </c>
      <c r="I93" s="11" t="s">
        <v>82</v>
      </c>
      <c r="J93" s="11" t="s">
        <v>84</v>
      </c>
      <c r="R93" s="21"/>
      <c r="S93" s="7"/>
      <c r="T93" s="7"/>
    </row>
    <row r="94" spans="1:20" x14ac:dyDescent="0.2">
      <c r="A94" s="11">
        <v>93</v>
      </c>
      <c r="B94" s="11" t="s">
        <v>100</v>
      </c>
      <c r="D94" s="11" t="s">
        <v>82</v>
      </c>
      <c r="F94" s="11" t="s">
        <v>246</v>
      </c>
      <c r="G94" s="7"/>
      <c r="H94" s="11" t="s">
        <v>84</v>
      </c>
      <c r="I94" s="11" t="s">
        <v>84</v>
      </c>
      <c r="J94" s="11" t="s">
        <v>82</v>
      </c>
      <c r="R94" s="21"/>
      <c r="S94" s="7"/>
      <c r="T94" s="7"/>
    </row>
    <row r="95" spans="1:20" ht="140.25" x14ac:dyDescent="0.2">
      <c r="A95" s="11">
        <v>94</v>
      </c>
      <c r="B95" s="11" t="s">
        <v>113</v>
      </c>
      <c r="C95" s="11" t="s">
        <v>1562</v>
      </c>
      <c r="D95" s="11" t="s">
        <v>82</v>
      </c>
      <c r="F95" s="11" t="s">
        <v>246</v>
      </c>
      <c r="G95" s="7" t="s">
        <v>3883</v>
      </c>
      <c r="H95" s="11" t="s">
        <v>84</v>
      </c>
      <c r="I95" s="11" t="s">
        <v>84</v>
      </c>
      <c r="J95" s="11" t="s">
        <v>84</v>
      </c>
      <c r="K95" s="11" t="s">
        <v>1564</v>
      </c>
      <c r="L95" s="21" t="s">
        <v>3908</v>
      </c>
      <c r="M95" s="11" t="s">
        <v>4044</v>
      </c>
      <c r="N95" s="21" t="s">
        <v>3387</v>
      </c>
      <c r="O95" s="11" t="s">
        <v>1566</v>
      </c>
      <c r="P95" s="21" t="s">
        <v>1039</v>
      </c>
      <c r="Q95" s="11" t="s">
        <v>1567</v>
      </c>
      <c r="R95" s="21" t="s">
        <v>1064</v>
      </c>
      <c r="S95" s="7"/>
      <c r="T95" s="7"/>
    </row>
    <row r="96" spans="1:20" ht="178.5" x14ac:dyDescent="0.2">
      <c r="A96" s="11">
        <v>95</v>
      </c>
      <c r="B96" s="11" t="s">
        <v>100</v>
      </c>
      <c r="C96" s="11" t="s">
        <v>3863</v>
      </c>
      <c r="D96" s="11" t="s">
        <v>82</v>
      </c>
      <c r="F96" s="11" t="s">
        <v>81</v>
      </c>
      <c r="G96" s="7" t="s">
        <v>3884</v>
      </c>
      <c r="H96" s="11" t="s">
        <v>82</v>
      </c>
      <c r="I96" s="11" t="s">
        <v>82</v>
      </c>
      <c r="J96" s="11" t="s">
        <v>82</v>
      </c>
      <c r="M96" s="11" t="s">
        <v>1581</v>
      </c>
      <c r="N96" s="21" t="s">
        <v>3312</v>
      </c>
      <c r="O96" s="11" t="s">
        <v>1582</v>
      </c>
      <c r="P96" s="21" t="s">
        <v>3428</v>
      </c>
      <c r="Q96" s="19" t="s">
        <v>1583</v>
      </c>
      <c r="R96" s="21" t="s">
        <v>3255</v>
      </c>
      <c r="S96" s="7"/>
      <c r="T96" s="7"/>
    </row>
    <row r="97" spans="1:20" ht="63.75" x14ac:dyDescent="0.2">
      <c r="A97" s="11">
        <v>96</v>
      </c>
      <c r="B97" s="11" t="s">
        <v>113</v>
      </c>
      <c r="D97" s="11" t="s">
        <v>82</v>
      </c>
      <c r="F97" s="11" t="s">
        <v>81</v>
      </c>
      <c r="G97" s="7"/>
      <c r="H97" s="11" t="s">
        <v>82</v>
      </c>
      <c r="I97" s="11" t="s">
        <v>84</v>
      </c>
      <c r="J97" s="11" t="s">
        <v>84</v>
      </c>
      <c r="K97" s="11" t="s">
        <v>1591</v>
      </c>
      <c r="L97" s="21" t="s">
        <v>3901</v>
      </c>
      <c r="M97" s="11" t="s">
        <v>1592</v>
      </c>
      <c r="N97" s="21" t="s">
        <v>899</v>
      </c>
      <c r="O97" s="11" t="s">
        <v>4045</v>
      </c>
      <c r="P97" s="21" t="s">
        <v>3400</v>
      </c>
      <c r="R97" s="21"/>
      <c r="S97" s="7"/>
      <c r="T97" s="7"/>
    </row>
    <row r="98" spans="1:20" ht="89.25" x14ac:dyDescent="0.2">
      <c r="A98" s="11">
        <v>97</v>
      </c>
      <c r="B98" s="11" t="s">
        <v>100</v>
      </c>
      <c r="D98" s="11" t="s">
        <v>82</v>
      </c>
      <c r="F98" s="11" t="s">
        <v>81</v>
      </c>
      <c r="G98" s="7" t="s">
        <v>1605</v>
      </c>
      <c r="H98" s="11" t="s">
        <v>82</v>
      </c>
      <c r="I98" s="11" t="s">
        <v>84</v>
      </c>
      <c r="J98" s="11" t="s">
        <v>84</v>
      </c>
      <c r="K98" s="11" t="s">
        <v>1606</v>
      </c>
      <c r="L98" s="21" t="s">
        <v>2242</v>
      </c>
      <c r="M98" s="11" t="s">
        <v>1607</v>
      </c>
      <c r="N98" s="21" t="s">
        <v>3340</v>
      </c>
      <c r="O98" s="11" t="s">
        <v>1608</v>
      </c>
      <c r="P98" s="21" t="s">
        <v>1057</v>
      </c>
      <c r="Q98" s="11" t="s">
        <v>1057</v>
      </c>
      <c r="R98" s="21" t="s">
        <v>1057</v>
      </c>
      <c r="S98" s="7"/>
      <c r="T98" s="7"/>
    </row>
    <row r="99" spans="1:20" ht="25.5" x14ac:dyDescent="0.2">
      <c r="A99" s="11">
        <v>98</v>
      </c>
      <c r="B99" s="11" t="s">
        <v>113</v>
      </c>
      <c r="D99" s="11" t="s">
        <v>84</v>
      </c>
      <c r="G99" s="7"/>
      <c r="H99" s="11" t="s">
        <v>82</v>
      </c>
      <c r="I99" s="11" t="s">
        <v>82</v>
      </c>
      <c r="J99" s="11" t="s">
        <v>84</v>
      </c>
      <c r="K99" s="11" t="s">
        <v>1614</v>
      </c>
      <c r="L99" s="21" t="s">
        <v>2242</v>
      </c>
      <c r="O99" s="11" t="s">
        <v>3889</v>
      </c>
      <c r="P99" s="21" t="s">
        <v>3420</v>
      </c>
      <c r="Q99" s="11" t="s">
        <v>1616</v>
      </c>
      <c r="R99" s="21" t="s">
        <v>1059</v>
      </c>
      <c r="S99" s="7"/>
      <c r="T99" s="7"/>
    </row>
    <row r="100" spans="1:20" ht="51" x14ac:dyDescent="0.2">
      <c r="A100" s="11">
        <v>99</v>
      </c>
      <c r="B100" s="11" t="s">
        <v>113</v>
      </c>
      <c r="C100" s="11" t="s">
        <v>1624</v>
      </c>
      <c r="D100" s="11" t="s">
        <v>82</v>
      </c>
      <c r="F100" s="11" t="s">
        <v>81</v>
      </c>
      <c r="G100" s="7" t="s">
        <v>1625</v>
      </c>
      <c r="H100" s="11" t="s">
        <v>84</v>
      </c>
      <c r="I100" s="11" t="s">
        <v>84</v>
      </c>
      <c r="J100" s="11" t="s">
        <v>82</v>
      </c>
      <c r="M100" s="11" t="s">
        <v>1626</v>
      </c>
      <c r="N100" s="21" t="s">
        <v>1061</v>
      </c>
      <c r="O100" s="11" t="s">
        <v>1627</v>
      </c>
      <c r="P100" s="21" t="s">
        <v>3415</v>
      </c>
      <c r="Q100" s="11" t="s">
        <v>1628</v>
      </c>
      <c r="R100" s="21" t="s">
        <v>1055</v>
      </c>
      <c r="S100" s="7"/>
      <c r="T100" s="7"/>
    </row>
    <row r="101" spans="1:20" ht="25.5" x14ac:dyDescent="0.2">
      <c r="A101" s="11">
        <v>100</v>
      </c>
      <c r="B101" s="11" t="s">
        <v>113</v>
      </c>
      <c r="D101" s="11" t="s">
        <v>82</v>
      </c>
      <c r="F101" s="11" t="s">
        <v>246</v>
      </c>
      <c r="G101" s="19" t="s">
        <v>1636</v>
      </c>
      <c r="H101" s="11" t="s">
        <v>82</v>
      </c>
      <c r="I101" s="11" t="s">
        <v>84</v>
      </c>
      <c r="J101" s="11" t="s">
        <v>82</v>
      </c>
      <c r="R101" s="21"/>
      <c r="S101" s="7"/>
      <c r="T101" s="7"/>
    </row>
    <row r="102" spans="1:20" ht="63.75" x14ac:dyDescent="0.2">
      <c r="A102" s="11">
        <v>101</v>
      </c>
      <c r="B102" s="11" t="s">
        <v>113</v>
      </c>
      <c r="D102" s="11" t="s">
        <v>82</v>
      </c>
      <c r="F102" s="11" t="s">
        <v>81</v>
      </c>
      <c r="G102" s="7" t="s">
        <v>1647</v>
      </c>
      <c r="H102" s="11" t="s">
        <v>82</v>
      </c>
      <c r="I102" s="11" t="s">
        <v>84</v>
      </c>
      <c r="J102" s="11" t="s">
        <v>84</v>
      </c>
      <c r="K102" s="28" t="s">
        <v>1648</v>
      </c>
      <c r="L102" s="21" t="s">
        <v>2242</v>
      </c>
      <c r="M102" s="11" t="s">
        <v>1649</v>
      </c>
      <c r="N102" s="21" t="s">
        <v>3313</v>
      </c>
      <c r="O102" s="11" t="s">
        <v>1650</v>
      </c>
      <c r="P102" s="21" t="s">
        <v>1498</v>
      </c>
      <c r="R102" s="21"/>
      <c r="S102" s="7"/>
      <c r="T102" s="7"/>
    </row>
    <row r="103" spans="1:20" x14ac:dyDescent="0.2">
      <c r="A103" s="11">
        <v>102</v>
      </c>
      <c r="B103" s="11" t="s">
        <v>100</v>
      </c>
      <c r="D103" s="11" t="s">
        <v>84</v>
      </c>
      <c r="G103" s="7"/>
      <c r="H103" s="11" t="s">
        <v>82</v>
      </c>
      <c r="I103" s="11" t="s">
        <v>82</v>
      </c>
      <c r="J103" s="11" t="s">
        <v>82</v>
      </c>
      <c r="R103" s="21"/>
      <c r="S103" s="7"/>
      <c r="T103" s="7"/>
    </row>
    <row r="104" spans="1:20" x14ac:dyDescent="0.2">
      <c r="A104" s="11">
        <v>103</v>
      </c>
      <c r="B104" s="11" t="s">
        <v>93</v>
      </c>
      <c r="D104" s="11" t="s">
        <v>82</v>
      </c>
      <c r="F104" s="11" t="s">
        <v>246</v>
      </c>
      <c r="G104" s="7"/>
      <c r="H104" s="11" t="s">
        <v>84</v>
      </c>
      <c r="I104" s="11" t="s">
        <v>82</v>
      </c>
      <c r="J104" s="11" t="s">
        <v>82</v>
      </c>
      <c r="R104" s="21"/>
      <c r="S104" s="7"/>
      <c r="T104" s="7"/>
    </row>
    <row r="105" spans="1:20" ht="25.5" x14ac:dyDescent="0.2">
      <c r="A105" s="11">
        <v>104</v>
      </c>
      <c r="B105" s="11" t="s">
        <v>100</v>
      </c>
      <c r="D105" s="11" t="s">
        <v>84</v>
      </c>
      <c r="G105" s="7"/>
      <c r="H105" s="11" t="s">
        <v>82</v>
      </c>
      <c r="I105" s="11" t="s">
        <v>84</v>
      </c>
      <c r="J105" s="11" t="s">
        <v>82</v>
      </c>
      <c r="O105" s="11" t="s">
        <v>1662</v>
      </c>
      <c r="P105" s="21" t="s">
        <v>1498</v>
      </c>
      <c r="Q105" s="11" t="s">
        <v>1663</v>
      </c>
      <c r="R105" s="21" t="s">
        <v>899</v>
      </c>
      <c r="S105" s="7"/>
      <c r="T105" s="7"/>
    </row>
    <row r="106" spans="1:20" ht="165.75" x14ac:dyDescent="0.2">
      <c r="A106" s="11">
        <v>105</v>
      </c>
      <c r="B106" s="11" t="s">
        <v>113</v>
      </c>
      <c r="C106" s="11" t="s">
        <v>3864</v>
      </c>
      <c r="D106" s="11" t="s">
        <v>84</v>
      </c>
      <c r="G106" s="7"/>
      <c r="H106" s="11" t="s">
        <v>82</v>
      </c>
      <c r="I106" s="11" t="s">
        <v>82</v>
      </c>
      <c r="J106" s="11" t="s">
        <v>82</v>
      </c>
      <c r="M106" s="11" t="s">
        <v>1671</v>
      </c>
      <c r="N106" s="21" t="s">
        <v>1043</v>
      </c>
      <c r="O106" s="11" t="s">
        <v>1672</v>
      </c>
      <c r="P106" s="21" t="s">
        <v>1055</v>
      </c>
      <c r="Q106" s="11" t="s">
        <v>1673</v>
      </c>
      <c r="R106" s="21" t="s">
        <v>1064</v>
      </c>
      <c r="S106" s="7"/>
      <c r="T106" s="7"/>
    </row>
    <row r="107" spans="1:20" x14ac:dyDescent="0.2">
      <c r="A107" s="11">
        <v>106</v>
      </c>
      <c r="B107" s="11" t="s">
        <v>113</v>
      </c>
      <c r="D107" s="11" t="s">
        <v>82</v>
      </c>
      <c r="F107" s="11" t="s">
        <v>81</v>
      </c>
      <c r="G107" s="7"/>
      <c r="H107" s="11" t="s">
        <v>84</v>
      </c>
      <c r="I107" s="11" t="s">
        <v>84</v>
      </c>
      <c r="J107" s="11" t="s">
        <v>84</v>
      </c>
      <c r="R107" s="21"/>
      <c r="S107" s="7"/>
      <c r="T107" s="7"/>
    </row>
    <row r="108" spans="1:20" x14ac:dyDescent="0.2">
      <c r="A108" s="11">
        <v>107</v>
      </c>
      <c r="B108" s="11" t="s">
        <v>100</v>
      </c>
      <c r="D108" s="11" t="s">
        <v>82</v>
      </c>
      <c r="F108" s="11" t="s">
        <v>81</v>
      </c>
      <c r="G108" s="7"/>
      <c r="H108" s="11" t="s">
        <v>82</v>
      </c>
      <c r="I108" s="11" t="s">
        <v>82</v>
      </c>
      <c r="J108" s="11" t="s">
        <v>82</v>
      </c>
      <c r="M108" s="11" t="s">
        <v>1498</v>
      </c>
      <c r="N108" s="21" t="s">
        <v>899</v>
      </c>
      <c r="O108" s="11" t="s">
        <v>1676</v>
      </c>
      <c r="P108" s="21" t="s">
        <v>3432</v>
      </c>
      <c r="Q108" s="11" t="s">
        <v>1677</v>
      </c>
      <c r="R108" s="21" t="s">
        <v>1057</v>
      </c>
      <c r="S108" s="7"/>
      <c r="T108" s="7"/>
    </row>
    <row r="109" spans="1:20" ht="25.5" x14ac:dyDescent="0.2">
      <c r="A109" s="11">
        <v>108</v>
      </c>
      <c r="B109" s="11" t="s">
        <v>113</v>
      </c>
      <c r="C109" s="11" t="s">
        <v>1688</v>
      </c>
      <c r="D109" s="11" t="s">
        <v>84</v>
      </c>
      <c r="E109" s="11" t="s">
        <v>1689</v>
      </c>
      <c r="G109" s="7"/>
      <c r="H109" s="11" t="s">
        <v>84</v>
      </c>
      <c r="I109" s="11" t="s">
        <v>84</v>
      </c>
      <c r="J109" s="11" t="s">
        <v>82</v>
      </c>
      <c r="O109" s="11" t="s">
        <v>1690</v>
      </c>
      <c r="P109" s="21" t="s">
        <v>2707</v>
      </c>
      <c r="Q109" s="11" t="s">
        <v>1691</v>
      </c>
      <c r="R109" s="21" t="s">
        <v>3263</v>
      </c>
      <c r="S109" s="7"/>
      <c r="T109" s="7"/>
    </row>
    <row r="110" spans="1:20" ht="63.75" x14ac:dyDescent="0.2">
      <c r="A110" s="11">
        <v>109</v>
      </c>
      <c r="B110" s="11" t="s">
        <v>113</v>
      </c>
      <c r="C110" s="11" t="s">
        <v>3865</v>
      </c>
      <c r="D110" s="11" t="s">
        <v>82</v>
      </c>
      <c r="F110" s="11" t="s">
        <v>81</v>
      </c>
      <c r="G110" s="7"/>
      <c r="H110" s="11" t="s">
        <v>82</v>
      </c>
      <c r="I110" s="11" t="s">
        <v>82</v>
      </c>
      <c r="J110" s="11" t="s">
        <v>84</v>
      </c>
      <c r="K110" s="11" t="s">
        <v>1698</v>
      </c>
      <c r="L110" s="21" t="s">
        <v>3909</v>
      </c>
      <c r="O110" s="11" t="s">
        <v>1699</v>
      </c>
      <c r="P110" s="21" t="s">
        <v>3263</v>
      </c>
      <c r="Q110" s="11" t="s">
        <v>1700</v>
      </c>
      <c r="R110" s="21" t="s">
        <v>3255</v>
      </c>
      <c r="S110" s="7"/>
      <c r="T110" s="7"/>
    </row>
    <row r="111" spans="1:20" x14ac:dyDescent="0.2">
      <c r="A111" s="11">
        <v>110</v>
      </c>
      <c r="B111" s="11" t="s">
        <v>93</v>
      </c>
      <c r="D111" s="11" t="s">
        <v>84</v>
      </c>
      <c r="G111" s="7"/>
      <c r="H111" s="11" t="s">
        <v>82</v>
      </c>
      <c r="I111" s="11" t="s">
        <v>82</v>
      </c>
      <c r="J111" s="11" t="s">
        <v>84</v>
      </c>
      <c r="R111" s="21"/>
      <c r="S111" s="7"/>
      <c r="T111" s="7"/>
    </row>
    <row r="112" spans="1:20" ht="51" x14ac:dyDescent="0.2">
      <c r="A112" s="11">
        <v>111</v>
      </c>
      <c r="B112" s="11" t="s">
        <v>113</v>
      </c>
      <c r="C112" s="11" t="s">
        <v>1711</v>
      </c>
      <c r="D112" s="11" t="s">
        <v>82</v>
      </c>
      <c r="F112" s="11" t="s">
        <v>81</v>
      </c>
      <c r="G112" s="7" t="s">
        <v>1712</v>
      </c>
      <c r="H112" s="11" t="s">
        <v>82</v>
      </c>
      <c r="I112" s="11" t="s">
        <v>82</v>
      </c>
      <c r="J112" s="11" t="s">
        <v>84</v>
      </c>
      <c r="K112" s="28" t="s">
        <v>1713</v>
      </c>
      <c r="L112" s="21" t="s">
        <v>2242</v>
      </c>
      <c r="M112" s="11" t="s">
        <v>1714</v>
      </c>
      <c r="N112" s="21" t="s">
        <v>1053</v>
      </c>
      <c r="O112" s="11" t="s">
        <v>1715</v>
      </c>
      <c r="P112" s="21" t="s">
        <v>3335</v>
      </c>
      <c r="Q112" s="11" t="s">
        <v>1716</v>
      </c>
      <c r="R112" s="21" t="s">
        <v>3260</v>
      </c>
      <c r="S112" s="7"/>
      <c r="T112" s="7"/>
    </row>
    <row r="113" spans="1:20" ht="25.5" x14ac:dyDescent="0.2">
      <c r="A113" s="11">
        <v>112</v>
      </c>
      <c r="B113" s="11" t="s">
        <v>113</v>
      </c>
      <c r="D113" s="11" t="s">
        <v>82</v>
      </c>
      <c r="F113" s="11" t="s">
        <v>81</v>
      </c>
      <c r="G113" s="7"/>
      <c r="H113" s="11" t="s">
        <v>82</v>
      </c>
      <c r="I113" s="11" t="s">
        <v>82</v>
      </c>
      <c r="J113" s="11" t="s">
        <v>82</v>
      </c>
      <c r="O113" s="11" t="s">
        <v>1720</v>
      </c>
      <c r="P113" s="21" t="s">
        <v>3263</v>
      </c>
      <c r="R113" s="21"/>
      <c r="S113" s="7"/>
      <c r="T113" s="7"/>
    </row>
    <row r="114" spans="1:20" x14ac:dyDescent="0.2">
      <c r="A114" s="11">
        <v>113</v>
      </c>
      <c r="B114" s="33"/>
      <c r="C114" s="33"/>
      <c r="D114" s="33" t="s">
        <v>80</v>
      </c>
      <c r="E114" s="33"/>
      <c r="F114" s="33"/>
      <c r="G114" s="52"/>
      <c r="H114" s="33" t="s">
        <v>80</v>
      </c>
      <c r="I114" s="33" t="s">
        <v>80</v>
      </c>
      <c r="J114" s="33" t="s">
        <v>80</v>
      </c>
      <c r="K114" s="33"/>
      <c r="L114" s="45"/>
      <c r="M114" s="33"/>
      <c r="O114" s="33"/>
      <c r="Q114" s="33"/>
      <c r="R114" s="21"/>
      <c r="S114" s="7"/>
      <c r="T114" s="7"/>
    </row>
    <row r="115" spans="1:20" ht="25.5" x14ac:dyDescent="0.2">
      <c r="A115" s="11">
        <v>114</v>
      </c>
      <c r="B115" s="11" t="s">
        <v>100</v>
      </c>
      <c r="D115" s="11" t="s">
        <v>82</v>
      </c>
      <c r="F115" s="11" t="s">
        <v>81</v>
      </c>
      <c r="G115" s="7"/>
      <c r="H115" s="11" t="s">
        <v>82</v>
      </c>
      <c r="I115" s="11" t="s">
        <v>82</v>
      </c>
      <c r="J115" s="11" t="s">
        <v>82</v>
      </c>
      <c r="M115" s="11" t="s">
        <v>1727</v>
      </c>
      <c r="N115" s="21" t="s">
        <v>899</v>
      </c>
      <c r="O115" s="11" t="s">
        <v>1728</v>
      </c>
      <c r="P115" s="21" t="s">
        <v>1059</v>
      </c>
      <c r="Q115" s="11" t="s">
        <v>4077</v>
      </c>
      <c r="R115" s="21" t="s">
        <v>1067</v>
      </c>
      <c r="S115" s="7"/>
      <c r="T115" s="7"/>
    </row>
    <row r="116" spans="1:20" ht="140.25" x14ac:dyDescent="0.2">
      <c r="A116" s="11">
        <v>115</v>
      </c>
      <c r="B116" s="11" t="s">
        <v>113</v>
      </c>
      <c r="C116" s="11" t="s">
        <v>4078</v>
      </c>
      <c r="D116" s="11" t="s">
        <v>82</v>
      </c>
      <c r="F116" s="11" t="s">
        <v>81</v>
      </c>
      <c r="G116" s="7" t="s">
        <v>3885</v>
      </c>
      <c r="H116" s="11" t="s">
        <v>84</v>
      </c>
      <c r="I116" s="11" t="s">
        <v>84</v>
      </c>
      <c r="J116" s="11" t="s">
        <v>84</v>
      </c>
      <c r="K116" s="11" t="s">
        <v>4079</v>
      </c>
      <c r="L116" s="21" t="s">
        <v>2242</v>
      </c>
      <c r="M116" s="11" t="s">
        <v>4046</v>
      </c>
      <c r="N116" s="21" t="s">
        <v>3314</v>
      </c>
      <c r="O116" s="11" t="s">
        <v>4047</v>
      </c>
      <c r="P116" s="21" t="s">
        <v>1431</v>
      </c>
      <c r="Q116" s="11" t="s">
        <v>1741</v>
      </c>
      <c r="R116" s="21" t="s">
        <v>3261</v>
      </c>
      <c r="S116" s="7"/>
      <c r="T116" s="7"/>
    </row>
    <row r="117" spans="1:20" ht="63.75" x14ac:dyDescent="0.2">
      <c r="A117" s="11">
        <v>116</v>
      </c>
      <c r="B117" s="11" t="s">
        <v>113</v>
      </c>
      <c r="C117" s="11" t="s">
        <v>1745</v>
      </c>
      <c r="D117" s="11" t="s">
        <v>84</v>
      </c>
      <c r="G117" s="7"/>
      <c r="H117" s="11" t="s">
        <v>82</v>
      </c>
      <c r="I117" s="11" t="s">
        <v>84</v>
      </c>
      <c r="J117" s="11" t="s">
        <v>82</v>
      </c>
      <c r="M117" s="11" t="s">
        <v>1746</v>
      </c>
      <c r="N117" s="21" t="s">
        <v>3273</v>
      </c>
      <c r="O117" s="11" t="s">
        <v>1746</v>
      </c>
      <c r="P117" s="21" t="s">
        <v>1498</v>
      </c>
      <c r="Q117" s="64" t="s">
        <v>4080</v>
      </c>
      <c r="R117" s="21" t="s">
        <v>1064</v>
      </c>
      <c r="S117" s="7"/>
      <c r="T117" s="7"/>
    </row>
    <row r="118" spans="1:20" ht="25.5" x14ac:dyDescent="0.2">
      <c r="A118" s="11">
        <v>117</v>
      </c>
      <c r="B118" s="11" t="s">
        <v>113</v>
      </c>
      <c r="C118" s="11" t="s">
        <v>1756</v>
      </c>
      <c r="D118" s="11" t="s">
        <v>84</v>
      </c>
      <c r="G118" s="7"/>
      <c r="H118" s="11" t="s">
        <v>84</v>
      </c>
      <c r="I118" s="11" t="s">
        <v>84</v>
      </c>
      <c r="J118" s="11" t="s">
        <v>82</v>
      </c>
      <c r="M118" s="11" t="s">
        <v>1757</v>
      </c>
      <c r="N118" s="21" t="s">
        <v>1044</v>
      </c>
      <c r="O118" s="11" t="s">
        <v>1758</v>
      </c>
      <c r="P118" s="21" t="s">
        <v>3403</v>
      </c>
      <c r="Q118" s="11" t="s">
        <v>1759</v>
      </c>
      <c r="R118" s="21" t="s">
        <v>1064</v>
      </c>
      <c r="S118" s="7"/>
      <c r="T118" s="7"/>
    </row>
    <row r="119" spans="1:20" ht="76.5" x14ac:dyDescent="0.2">
      <c r="A119" s="11">
        <v>118</v>
      </c>
      <c r="B119" s="11" t="s">
        <v>113</v>
      </c>
      <c r="D119" s="11" t="s">
        <v>84</v>
      </c>
      <c r="G119" s="7"/>
      <c r="H119" s="11" t="s">
        <v>84</v>
      </c>
      <c r="I119" s="11" t="s">
        <v>84</v>
      </c>
      <c r="J119" s="11" t="s">
        <v>84</v>
      </c>
      <c r="K119" s="11" t="s">
        <v>1114</v>
      </c>
      <c r="L119" s="21" t="s">
        <v>2242</v>
      </c>
      <c r="M119" s="11" t="s">
        <v>3315</v>
      </c>
      <c r="N119" s="21" t="s">
        <v>3316</v>
      </c>
      <c r="O119" s="11" t="s">
        <v>1764</v>
      </c>
      <c r="P119" s="21" t="s">
        <v>1059</v>
      </c>
      <c r="Q119" s="11" t="s">
        <v>1765</v>
      </c>
      <c r="R119" s="21" t="s">
        <v>1057</v>
      </c>
      <c r="S119" s="7"/>
      <c r="T119" s="7"/>
    </row>
    <row r="120" spans="1:20" ht="127.5" x14ac:dyDescent="0.2">
      <c r="A120" s="11">
        <v>119</v>
      </c>
      <c r="B120" s="11" t="s">
        <v>113</v>
      </c>
      <c r="C120" s="11" t="s">
        <v>4081</v>
      </c>
      <c r="D120" s="11" t="s">
        <v>82</v>
      </c>
      <c r="F120" s="11" t="s">
        <v>81</v>
      </c>
      <c r="G120" s="7"/>
      <c r="H120" s="11" t="s">
        <v>82</v>
      </c>
      <c r="I120" s="11" t="s">
        <v>84</v>
      </c>
      <c r="J120" s="11" t="s">
        <v>84</v>
      </c>
      <c r="K120" s="11" t="s">
        <v>1775</v>
      </c>
      <c r="L120" s="21" t="s">
        <v>3275</v>
      </c>
      <c r="M120" s="11" t="s">
        <v>1776</v>
      </c>
      <c r="N120" s="21" t="s">
        <v>3317</v>
      </c>
      <c r="O120" s="11" t="s">
        <v>1777</v>
      </c>
      <c r="P120" s="21" t="s">
        <v>1498</v>
      </c>
      <c r="R120" s="21"/>
      <c r="S120" s="7"/>
      <c r="T120" s="7"/>
    </row>
    <row r="121" spans="1:20" ht="25.5" x14ac:dyDescent="0.2">
      <c r="A121" s="11">
        <v>120</v>
      </c>
      <c r="B121" s="11" t="s">
        <v>100</v>
      </c>
      <c r="C121" s="11" t="s">
        <v>1784</v>
      </c>
      <c r="D121" s="11" t="s">
        <v>84</v>
      </c>
      <c r="G121" s="7"/>
      <c r="H121" s="11" t="s">
        <v>84</v>
      </c>
      <c r="I121" s="11" t="s">
        <v>84</v>
      </c>
      <c r="J121" s="11" t="s">
        <v>82</v>
      </c>
      <c r="M121" s="11" t="s">
        <v>1785</v>
      </c>
      <c r="R121" s="21"/>
      <c r="S121" s="7"/>
      <c r="T121" s="7"/>
    </row>
    <row r="122" spans="1:20" ht="76.5" x14ac:dyDescent="0.2">
      <c r="A122" s="11">
        <v>121</v>
      </c>
      <c r="B122" s="11" t="s">
        <v>113</v>
      </c>
      <c r="C122" s="11" t="s">
        <v>3866</v>
      </c>
      <c r="D122" s="11" t="s">
        <v>82</v>
      </c>
      <c r="F122" s="11" t="s">
        <v>246</v>
      </c>
      <c r="G122" s="7" t="s">
        <v>3886</v>
      </c>
      <c r="H122" s="11" t="s">
        <v>84</v>
      </c>
      <c r="I122" s="11" t="s">
        <v>84</v>
      </c>
      <c r="J122" s="11" t="s">
        <v>82</v>
      </c>
      <c r="M122" s="11" t="s">
        <v>1798</v>
      </c>
      <c r="N122" s="21" t="s">
        <v>3381</v>
      </c>
      <c r="O122" s="11" t="s">
        <v>4048</v>
      </c>
      <c r="P122" s="21" t="s">
        <v>1055</v>
      </c>
      <c r="Q122" s="11" t="s">
        <v>1800</v>
      </c>
      <c r="R122" s="21" t="s">
        <v>3262</v>
      </c>
      <c r="S122" s="7"/>
      <c r="T122" s="7"/>
    </row>
    <row r="123" spans="1:20" x14ac:dyDescent="0.2">
      <c r="A123" s="11">
        <v>122</v>
      </c>
      <c r="B123" s="11" t="s">
        <v>113</v>
      </c>
      <c r="D123" s="11" t="s">
        <v>82</v>
      </c>
      <c r="F123" s="11" t="s">
        <v>81</v>
      </c>
      <c r="G123" s="7"/>
      <c r="H123" s="11" t="s">
        <v>82</v>
      </c>
      <c r="I123" s="11" t="s">
        <v>82</v>
      </c>
      <c r="J123" s="11" t="s">
        <v>82</v>
      </c>
      <c r="R123" s="21"/>
      <c r="S123" s="7"/>
      <c r="T123" s="7"/>
    </row>
    <row r="124" spans="1:20" ht="76.5" x14ac:dyDescent="0.2">
      <c r="A124" s="11">
        <v>123</v>
      </c>
      <c r="B124" s="11" t="s">
        <v>113</v>
      </c>
      <c r="C124" s="11" t="s">
        <v>1813</v>
      </c>
      <c r="D124" s="11" t="s">
        <v>82</v>
      </c>
      <c r="F124" s="11" t="s">
        <v>81</v>
      </c>
      <c r="G124" s="7" t="s">
        <v>1814</v>
      </c>
      <c r="H124" s="11" t="s">
        <v>82</v>
      </c>
      <c r="I124" s="11" t="s">
        <v>82</v>
      </c>
      <c r="J124" s="11" t="s">
        <v>82</v>
      </c>
      <c r="M124" s="11" t="s">
        <v>1815</v>
      </c>
      <c r="N124" s="21" t="s">
        <v>3318</v>
      </c>
      <c r="O124" s="11" t="s">
        <v>1816</v>
      </c>
      <c r="P124" s="21" t="s">
        <v>3404</v>
      </c>
      <c r="R124" s="21"/>
      <c r="S124" s="7"/>
      <c r="T124" s="7"/>
    </row>
    <row r="125" spans="1:20" ht="51" x14ac:dyDescent="0.2">
      <c r="A125" s="11">
        <v>124</v>
      </c>
      <c r="B125" s="11" t="s">
        <v>113</v>
      </c>
      <c r="C125" s="11" t="s">
        <v>1825</v>
      </c>
      <c r="D125" s="11" t="s">
        <v>82</v>
      </c>
      <c r="F125" s="11" t="s">
        <v>81</v>
      </c>
      <c r="G125" s="7"/>
      <c r="H125" s="11" t="s">
        <v>82</v>
      </c>
      <c r="I125" s="11" t="s">
        <v>82</v>
      </c>
      <c r="J125" s="11" t="s">
        <v>84</v>
      </c>
      <c r="K125" s="11" t="s">
        <v>1826</v>
      </c>
      <c r="L125" s="21" t="s">
        <v>3910</v>
      </c>
      <c r="M125" s="11" t="s">
        <v>1827</v>
      </c>
      <c r="N125" s="21" t="s">
        <v>3319</v>
      </c>
      <c r="O125" s="11" t="s">
        <v>1828</v>
      </c>
      <c r="P125" s="21" t="s">
        <v>3433</v>
      </c>
      <c r="Q125" s="11" t="s">
        <v>1829</v>
      </c>
      <c r="R125" s="21" t="s">
        <v>3259</v>
      </c>
      <c r="S125" s="7"/>
      <c r="T125" s="7"/>
    </row>
    <row r="126" spans="1:20" x14ac:dyDescent="0.2">
      <c r="A126" s="11">
        <v>125</v>
      </c>
      <c r="B126" s="11" t="s">
        <v>93</v>
      </c>
      <c r="D126" s="11" t="s">
        <v>84</v>
      </c>
      <c r="G126" s="7"/>
      <c r="H126" s="11" t="s">
        <v>84</v>
      </c>
      <c r="I126" s="11" t="s">
        <v>84</v>
      </c>
      <c r="J126" s="11" t="s">
        <v>84</v>
      </c>
      <c r="Q126" s="11" t="s">
        <v>1831</v>
      </c>
      <c r="R126" s="21" t="s">
        <v>3255</v>
      </c>
      <c r="S126" s="7"/>
      <c r="T126" s="7"/>
    </row>
    <row r="127" spans="1:20" ht="102" x14ac:dyDescent="0.2">
      <c r="A127" s="11">
        <v>126</v>
      </c>
      <c r="B127" s="11" t="s">
        <v>100</v>
      </c>
      <c r="C127" s="11" t="s">
        <v>1842</v>
      </c>
      <c r="D127" s="11" t="s">
        <v>82</v>
      </c>
      <c r="F127" s="11" t="s">
        <v>246</v>
      </c>
      <c r="G127" s="7"/>
      <c r="H127" s="11" t="s">
        <v>84</v>
      </c>
      <c r="I127" s="11" t="s">
        <v>84</v>
      </c>
      <c r="J127" s="11" t="s">
        <v>82</v>
      </c>
      <c r="O127" s="11" t="s">
        <v>4082</v>
      </c>
      <c r="Q127" s="11" t="s">
        <v>1844</v>
      </c>
      <c r="R127" s="21" t="s">
        <v>1064</v>
      </c>
      <c r="S127" s="7"/>
      <c r="T127" s="7"/>
    </row>
    <row r="128" spans="1:20" ht="25.5" x14ac:dyDescent="0.2">
      <c r="A128" s="11">
        <v>127</v>
      </c>
      <c r="B128" s="11" t="s">
        <v>113</v>
      </c>
      <c r="C128" s="64" t="s">
        <v>1848</v>
      </c>
      <c r="D128" s="11" t="s">
        <v>82</v>
      </c>
      <c r="F128" s="11" t="s">
        <v>81</v>
      </c>
      <c r="G128" s="7"/>
      <c r="H128" s="11" t="s">
        <v>82</v>
      </c>
      <c r="I128" s="11" t="s">
        <v>82</v>
      </c>
      <c r="J128" s="11" t="s">
        <v>82</v>
      </c>
      <c r="M128" s="11" t="s">
        <v>1849</v>
      </c>
      <c r="N128" s="21" t="s">
        <v>3275</v>
      </c>
      <c r="O128" s="11" t="s">
        <v>1850</v>
      </c>
      <c r="P128" s="21" t="s">
        <v>3425</v>
      </c>
      <c r="Q128" s="11" t="s">
        <v>1059</v>
      </c>
      <c r="R128" s="21" t="s">
        <v>1059</v>
      </c>
      <c r="S128" s="7"/>
      <c r="T128" s="7"/>
    </row>
    <row r="129" spans="1:20" ht="127.5" x14ac:dyDescent="0.2">
      <c r="A129" s="11">
        <v>128</v>
      </c>
      <c r="B129" s="11" t="s">
        <v>113</v>
      </c>
      <c r="C129" s="11" t="s">
        <v>1859</v>
      </c>
      <c r="D129" s="11" t="s">
        <v>82</v>
      </c>
      <c r="F129" s="11" t="s">
        <v>81</v>
      </c>
      <c r="G129" s="7" t="s">
        <v>3887</v>
      </c>
      <c r="H129" s="11" t="s">
        <v>84</v>
      </c>
      <c r="I129" s="11" t="s">
        <v>82</v>
      </c>
      <c r="J129" s="11" t="s">
        <v>84</v>
      </c>
      <c r="K129" s="11" t="s">
        <v>1861</v>
      </c>
      <c r="L129" s="21" t="s">
        <v>2242</v>
      </c>
      <c r="M129" s="11" t="s">
        <v>1862</v>
      </c>
      <c r="N129" s="21" t="s">
        <v>3321</v>
      </c>
      <c r="O129" s="11" t="s">
        <v>1863</v>
      </c>
      <c r="P129" s="21" t="s">
        <v>1055</v>
      </c>
      <c r="Q129" s="11" t="s">
        <v>1864</v>
      </c>
      <c r="R129" s="21" t="s">
        <v>1059</v>
      </c>
    </row>
    <row r="130" spans="1:20" ht="38.25" x14ac:dyDescent="0.2">
      <c r="A130" s="11">
        <v>129</v>
      </c>
      <c r="B130" s="11" t="s">
        <v>100</v>
      </c>
      <c r="D130" s="11" t="s">
        <v>82</v>
      </c>
      <c r="F130" s="11" t="s">
        <v>81</v>
      </c>
      <c r="G130" s="7" t="s">
        <v>1873</v>
      </c>
      <c r="H130" s="11" t="s">
        <v>82</v>
      </c>
      <c r="I130" s="11" t="s">
        <v>84</v>
      </c>
      <c r="J130" s="11" t="s">
        <v>82</v>
      </c>
      <c r="M130" s="11" t="s">
        <v>1874</v>
      </c>
      <c r="N130" s="21" t="s">
        <v>3314</v>
      </c>
      <c r="O130" s="11" t="s">
        <v>1875</v>
      </c>
      <c r="Q130" s="11" t="s">
        <v>1876</v>
      </c>
      <c r="R130" s="21" t="s">
        <v>1052</v>
      </c>
      <c r="S130" s="7"/>
      <c r="T130" s="7"/>
    </row>
    <row r="131" spans="1:20" ht="63.75" x14ac:dyDescent="0.2">
      <c r="A131" s="11">
        <v>130</v>
      </c>
      <c r="B131" s="11" t="s">
        <v>113</v>
      </c>
      <c r="C131" s="19" t="s">
        <v>1885</v>
      </c>
      <c r="D131" s="11" t="s">
        <v>82</v>
      </c>
      <c r="F131" s="11" t="s">
        <v>81</v>
      </c>
      <c r="G131" s="7" t="s">
        <v>1886</v>
      </c>
      <c r="H131" s="11" t="s">
        <v>84</v>
      </c>
      <c r="I131" s="11" t="s">
        <v>82</v>
      </c>
      <c r="J131" s="11" t="s">
        <v>82</v>
      </c>
      <c r="M131" s="11" t="s">
        <v>3323</v>
      </c>
      <c r="N131" s="21" t="s">
        <v>3322</v>
      </c>
      <c r="O131" s="11" t="s">
        <v>1888</v>
      </c>
      <c r="P131" s="21" t="s">
        <v>1055</v>
      </c>
      <c r="Q131" s="11" t="s">
        <v>1889</v>
      </c>
      <c r="R131" s="21" t="s">
        <v>1071</v>
      </c>
    </row>
    <row r="132" spans="1:20" x14ac:dyDescent="0.2">
      <c r="A132" s="11">
        <v>131</v>
      </c>
      <c r="B132" s="11" t="s">
        <v>100</v>
      </c>
      <c r="D132" s="11" t="s">
        <v>82</v>
      </c>
      <c r="F132" s="11" t="s">
        <v>246</v>
      </c>
      <c r="G132" s="7"/>
      <c r="H132" s="11" t="s">
        <v>82</v>
      </c>
      <c r="I132" s="11" t="s">
        <v>84</v>
      </c>
      <c r="J132" s="11" t="s">
        <v>82</v>
      </c>
      <c r="R132" s="21"/>
    </row>
    <row r="133" spans="1:20" x14ac:dyDescent="0.2">
      <c r="A133" s="11">
        <v>132</v>
      </c>
      <c r="B133" s="11" t="s">
        <v>100</v>
      </c>
      <c r="D133" s="11" t="s">
        <v>84</v>
      </c>
      <c r="G133" s="7"/>
      <c r="H133" s="11" t="s">
        <v>84</v>
      </c>
      <c r="I133" s="11" t="s">
        <v>82</v>
      </c>
      <c r="J133" s="11" t="s">
        <v>82</v>
      </c>
      <c r="M133" s="11" t="s">
        <v>1901</v>
      </c>
      <c r="N133" s="21" t="s">
        <v>366</v>
      </c>
      <c r="O133" s="11" t="s">
        <v>1902</v>
      </c>
      <c r="P133" s="21" t="s">
        <v>1431</v>
      </c>
      <c r="Q133" s="11" t="s">
        <v>1903</v>
      </c>
      <c r="R133" s="21" t="s">
        <v>1052</v>
      </c>
    </row>
    <row r="134" spans="1:20" x14ac:dyDescent="0.2">
      <c r="A134" s="11">
        <v>133</v>
      </c>
      <c r="B134" s="11" t="s">
        <v>113</v>
      </c>
      <c r="D134" s="11" t="s">
        <v>84</v>
      </c>
      <c r="G134" s="7"/>
      <c r="H134" s="11" t="s">
        <v>84</v>
      </c>
      <c r="I134" s="11" t="s">
        <v>84</v>
      </c>
      <c r="J134" s="11" t="s">
        <v>84</v>
      </c>
      <c r="K134" s="11" t="s">
        <v>1114</v>
      </c>
      <c r="L134" s="21" t="s">
        <v>2242</v>
      </c>
      <c r="R134" s="21"/>
    </row>
    <row r="135" spans="1:20" ht="25.5" x14ac:dyDescent="0.2">
      <c r="A135" s="11">
        <v>134</v>
      </c>
      <c r="B135" s="11" t="s">
        <v>93</v>
      </c>
      <c r="D135" s="11" t="s">
        <v>82</v>
      </c>
      <c r="F135" s="11" t="s">
        <v>81</v>
      </c>
      <c r="G135" s="7"/>
      <c r="H135" s="11" t="s">
        <v>84</v>
      </c>
      <c r="I135" s="11" t="s">
        <v>84</v>
      </c>
      <c r="J135" s="11" t="s">
        <v>82</v>
      </c>
      <c r="M135" s="11" t="s">
        <v>4050</v>
      </c>
      <c r="N135" s="21" t="s">
        <v>1043</v>
      </c>
      <c r="O135" s="11" t="s">
        <v>1910</v>
      </c>
      <c r="P135" s="21" t="s">
        <v>3263</v>
      </c>
      <c r="Q135" s="11" t="s">
        <v>4083</v>
      </c>
      <c r="R135" s="21" t="s">
        <v>3263</v>
      </c>
    </row>
    <row r="136" spans="1:20" ht="51" x14ac:dyDescent="0.2">
      <c r="A136" s="11">
        <v>135</v>
      </c>
      <c r="B136" s="11" t="s">
        <v>113</v>
      </c>
      <c r="D136" s="11" t="s">
        <v>84</v>
      </c>
      <c r="G136" s="7"/>
      <c r="H136" s="11" t="s">
        <v>82</v>
      </c>
      <c r="I136" s="11" t="s">
        <v>84</v>
      </c>
      <c r="J136" s="11" t="s">
        <v>84</v>
      </c>
      <c r="K136" s="11" t="s">
        <v>2278</v>
      </c>
      <c r="L136" s="21" t="s">
        <v>2242</v>
      </c>
      <c r="M136" s="11" t="s">
        <v>2279</v>
      </c>
      <c r="N136" s="21" t="s">
        <v>3324</v>
      </c>
      <c r="O136" s="11" t="s">
        <v>2280</v>
      </c>
      <c r="P136" s="21" t="s">
        <v>1039</v>
      </c>
      <c r="Q136" s="11" t="s">
        <v>2281</v>
      </c>
      <c r="R136" s="21" t="s">
        <v>1065</v>
      </c>
    </row>
    <row r="137" spans="1:20" ht="114.75" x14ac:dyDescent="0.2">
      <c r="A137" s="11">
        <v>136</v>
      </c>
      <c r="B137" s="11" t="s">
        <v>113</v>
      </c>
      <c r="D137" s="11" t="s">
        <v>84</v>
      </c>
      <c r="G137" s="7"/>
      <c r="H137" s="11" t="s">
        <v>82</v>
      </c>
      <c r="I137" s="11" t="s">
        <v>84</v>
      </c>
      <c r="J137" s="11" t="s">
        <v>84</v>
      </c>
      <c r="K137" s="11" t="s">
        <v>2283</v>
      </c>
      <c r="L137" s="21" t="s">
        <v>3911</v>
      </c>
      <c r="O137" s="11" t="s">
        <v>2284</v>
      </c>
      <c r="P137" s="21" t="s">
        <v>1498</v>
      </c>
      <c r="Q137" s="11" t="s">
        <v>2285</v>
      </c>
      <c r="R137" s="21" t="s">
        <v>1059</v>
      </c>
    </row>
    <row r="138" spans="1:20" x14ac:dyDescent="0.2">
      <c r="A138" s="11">
        <v>137</v>
      </c>
      <c r="B138" s="11" t="s">
        <v>100</v>
      </c>
      <c r="D138" s="11" t="s">
        <v>84</v>
      </c>
      <c r="G138" s="7"/>
      <c r="H138" s="11" t="s">
        <v>82</v>
      </c>
      <c r="I138" s="11" t="s">
        <v>84</v>
      </c>
      <c r="J138" s="11" t="s">
        <v>82</v>
      </c>
      <c r="R138" s="21"/>
    </row>
    <row r="139" spans="1:20" x14ac:dyDescent="0.2">
      <c r="A139" s="11">
        <v>138</v>
      </c>
      <c r="B139" s="33"/>
      <c r="C139" s="33"/>
      <c r="D139" s="33" t="s">
        <v>80</v>
      </c>
      <c r="E139" s="33"/>
      <c r="F139" s="33"/>
      <c r="G139" s="52"/>
      <c r="H139" s="33" t="s">
        <v>80</v>
      </c>
      <c r="I139" s="33" t="s">
        <v>80</v>
      </c>
      <c r="J139" s="33" t="s">
        <v>80</v>
      </c>
      <c r="K139" s="33"/>
      <c r="L139" s="45"/>
      <c r="M139" s="33"/>
      <c r="O139" s="33"/>
      <c r="Q139" s="33"/>
      <c r="R139" s="21"/>
    </row>
    <row r="140" spans="1:20" ht="89.25" x14ac:dyDescent="0.2">
      <c r="A140" s="11">
        <v>139</v>
      </c>
      <c r="B140" s="11" t="s">
        <v>100</v>
      </c>
      <c r="C140" s="11" t="s">
        <v>3867</v>
      </c>
      <c r="D140" s="11" t="s">
        <v>82</v>
      </c>
      <c r="F140" s="11" t="s">
        <v>246</v>
      </c>
      <c r="G140" s="7" t="s">
        <v>3888</v>
      </c>
      <c r="H140" s="11" t="s">
        <v>82</v>
      </c>
      <c r="I140" s="11" t="s">
        <v>84</v>
      </c>
      <c r="J140" s="11" t="s">
        <v>84</v>
      </c>
      <c r="K140" s="11" t="s">
        <v>2289</v>
      </c>
      <c r="L140" s="21" t="s">
        <v>2242</v>
      </c>
      <c r="M140" s="11" t="s">
        <v>2290</v>
      </c>
      <c r="N140" s="21" t="s">
        <v>3321</v>
      </c>
      <c r="O140" s="11" t="s">
        <v>2291</v>
      </c>
      <c r="P140" s="21" t="s">
        <v>3275</v>
      </c>
      <c r="Q140" s="11" t="s">
        <v>2292</v>
      </c>
      <c r="R140" s="21" t="s">
        <v>1052</v>
      </c>
    </row>
    <row r="141" spans="1:20" x14ac:dyDescent="0.2">
      <c r="A141" s="11">
        <v>140</v>
      </c>
      <c r="B141" s="11" t="s">
        <v>113</v>
      </c>
      <c r="D141" s="11" t="s">
        <v>82</v>
      </c>
      <c r="F141" s="11" t="s">
        <v>246</v>
      </c>
      <c r="G141" s="7"/>
      <c r="H141" s="11" t="s">
        <v>84</v>
      </c>
      <c r="I141" s="11" t="s">
        <v>82</v>
      </c>
      <c r="J141" s="11" t="s">
        <v>84</v>
      </c>
      <c r="R141" s="21"/>
    </row>
    <row r="142" spans="1:20" ht="38.25" x14ac:dyDescent="0.2">
      <c r="A142" s="11">
        <v>141</v>
      </c>
      <c r="B142" s="11" t="s">
        <v>113</v>
      </c>
      <c r="C142" s="11" t="s">
        <v>2295</v>
      </c>
      <c r="D142" s="11" t="s">
        <v>82</v>
      </c>
      <c r="F142" s="11" t="s">
        <v>81</v>
      </c>
      <c r="G142" s="7"/>
      <c r="H142" s="11" t="s">
        <v>82</v>
      </c>
      <c r="I142" s="11" t="s">
        <v>82</v>
      </c>
      <c r="J142" s="11" t="s">
        <v>82</v>
      </c>
      <c r="M142" s="11" t="s">
        <v>2296</v>
      </c>
      <c r="N142" s="21" t="s">
        <v>899</v>
      </c>
      <c r="O142" s="11" t="s">
        <v>4051</v>
      </c>
      <c r="P142" s="21" t="s">
        <v>3397</v>
      </c>
      <c r="Q142" s="11" t="s">
        <v>1903</v>
      </c>
      <c r="R142" s="21" t="s">
        <v>1052</v>
      </c>
    </row>
    <row r="143" spans="1:20" x14ac:dyDescent="0.2">
      <c r="A143" s="11">
        <v>142</v>
      </c>
      <c r="B143" s="33"/>
      <c r="C143" s="33"/>
      <c r="D143" s="33" t="s">
        <v>80</v>
      </c>
      <c r="E143" s="33"/>
      <c r="F143" s="33"/>
      <c r="G143" s="52"/>
      <c r="H143" s="33" t="s">
        <v>80</v>
      </c>
      <c r="I143" s="33" t="s">
        <v>80</v>
      </c>
      <c r="J143" s="33" t="s">
        <v>80</v>
      </c>
      <c r="K143" s="33"/>
      <c r="L143" s="45"/>
      <c r="M143" s="33"/>
      <c r="O143" s="33"/>
      <c r="Q143" s="33"/>
      <c r="R143" s="21"/>
    </row>
    <row r="144" spans="1:20" x14ac:dyDescent="0.2">
      <c r="A144" s="11">
        <v>143</v>
      </c>
      <c r="B144" s="11" t="s">
        <v>100</v>
      </c>
      <c r="D144" s="11" t="s">
        <v>82</v>
      </c>
      <c r="F144" s="11" t="s">
        <v>81</v>
      </c>
      <c r="G144" s="7"/>
      <c r="H144" s="11" t="s">
        <v>84</v>
      </c>
      <c r="I144" s="11" t="s">
        <v>82</v>
      </c>
      <c r="J144" s="11" t="s">
        <v>82</v>
      </c>
      <c r="R144" s="21"/>
    </row>
    <row r="145" spans="1:18" ht="51" x14ac:dyDescent="0.2">
      <c r="A145" s="11">
        <v>144</v>
      </c>
      <c r="B145" s="11" t="s">
        <v>100</v>
      </c>
      <c r="C145" s="11" t="s">
        <v>2300</v>
      </c>
      <c r="D145" s="11" t="s">
        <v>82</v>
      </c>
      <c r="F145" s="11" t="s">
        <v>81</v>
      </c>
      <c r="G145" s="7"/>
      <c r="H145" s="11" t="s">
        <v>84</v>
      </c>
      <c r="I145" s="11" t="s">
        <v>82</v>
      </c>
      <c r="J145" s="11" t="s">
        <v>84</v>
      </c>
      <c r="K145" s="11" t="s">
        <v>2301</v>
      </c>
      <c r="L145" s="21" t="s">
        <v>3901</v>
      </c>
      <c r="M145" s="11" t="s">
        <v>2302</v>
      </c>
      <c r="N145" s="21" t="s">
        <v>3388</v>
      </c>
      <c r="O145" s="11" t="s">
        <v>2303</v>
      </c>
      <c r="P145" s="21" t="s">
        <v>1039</v>
      </c>
      <c r="Q145" s="11" t="s">
        <v>2304</v>
      </c>
      <c r="R145" s="21" t="s">
        <v>1064</v>
      </c>
    </row>
    <row r="146" spans="1:18" ht="76.5" x14ac:dyDescent="0.2">
      <c r="A146" s="11">
        <v>145</v>
      </c>
      <c r="B146" s="11" t="s">
        <v>93</v>
      </c>
      <c r="D146" s="11" t="s">
        <v>82</v>
      </c>
      <c r="F146" s="11" t="s">
        <v>81</v>
      </c>
      <c r="G146" s="7" t="s">
        <v>2307</v>
      </c>
      <c r="H146" s="11" t="s">
        <v>82</v>
      </c>
      <c r="I146" s="11" t="s">
        <v>82</v>
      </c>
      <c r="J146" s="11" t="s">
        <v>82</v>
      </c>
      <c r="O146" s="11" t="s">
        <v>2308</v>
      </c>
      <c r="P146" s="21" t="s">
        <v>1057</v>
      </c>
      <c r="Q146" s="11" t="s">
        <v>3264</v>
      </c>
      <c r="R146" s="21" t="s">
        <v>3267</v>
      </c>
    </row>
    <row r="147" spans="1:18" x14ac:dyDescent="0.2">
      <c r="A147" s="11">
        <v>146</v>
      </c>
      <c r="B147" s="11" t="s">
        <v>100</v>
      </c>
      <c r="D147" s="11" t="s">
        <v>82</v>
      </c>
      <c r="F147" s="11" t="s">
        <v>81</v>
      </c>
      <c r="G147" s="7"/>
      <c r="H147" s="11" t="s">
        <v>82</v>
      </c>
      <c r="I147" s="11" t="s">
        <v>82</v>
      </c>
      <c r="J147" s="11" t="s">
        <v>84</v>
      </c>
      <c r="R147" s="21"/>
    </row>
    <row r="148" spans="1:18" ht="25.5" x14ac:dyDescent="0.2">
      <c r="A148" s="11">
        <v>147</v>
      </c>
      <c r="B148" s="11" t="s">
        <v>113</v>
      </c>
      <c r="C148" s="19" t="s">
        <v>2311</v>
      </c>
      <c r="D148" s="11" t="s">
        <v>84</v>
      </c>
      <c r="G148" s="7"/>
      <c r="H148" s="11" t="s">
        <v>84</v>
      </c>
      <c r="I148" s="11" t="s">
        <v>84</v>
      </c>
      <c r="J148" s="11" t="s">
        <v>82</v>
      </c>
      <c r="R148" s="21"/>
    </row>
    <row r="149" spans="1:18" ht="25.5" x14ac:dyDescent="0.2">
      <c r="A149" s="11">
        <v>148</v>
      </c>
      <c r="B149" s="11" t="s">
        <v>93</v>
      </c>
      <c r="D149" s="11" t="s">
        <v>82</v>
      </c>
      <c r="F149" s="11" t="s">
        <v>246</v>
      </c>
      <c r="G149" s="7" t="s">
        <v>2313</v>
      </c>
      <c r="H149" s="11" t="s">
        <v>84</v>
      </c>
      <c r="I149" s="11" t="s">
        <v>82</v>
      </c>
      <c r="J149" s="11" t="s">
        <v>82</v>
      </c>
      <c r="M149" s="11" t="s">
        <v>2314</v>
      </c>
      <c r="N149" s="21" t="s">
        <v>899</v>
      </c>
      <c r="O149" s="11" t="s">
        <v>2315</v>
      </c>
      <c r="P149" s="21" t="s">
        <v>148</v>
      </c>
      <c r="Q149" s="11" t="s">
        <v>2316</v>
      </c>
      <c r="R149" s="21" t="s">
        <v>1071</v>
      </c>
    </row>
    <row r="150" spans="1:18" ht="89.25" x14ac:dyDescent="0.2">
      <c r="A150" s="11">
        <v>149</v>
      </c>
      <c r="B150" s="11" t="s">
        <v>93</v>
      </c>
      <c r="C150" s="11" t="s">
        <v>2318</v>
      </c>
      <c r="D150" s="11" t="s">
        <v>82</v>
      </c>
      <c r="F150" s="11" t="s">
        <v>246</v>
      </c>
      <c r="G150" s="7"/>
      <c r="H150" s="11" t="s">
        <v>84</v>
      </c>
      <c r="I150" s="11" t="s">
        <v>84</v>
      </c>
      <c r="J150" s="11" t="s">
        <v>82</v>
      </c>
      <c r="M150" s="11" t="s">
        <v>2319</v>
      </c>
      <c r="O150" s="11" t="s">
        <v>2320</v>
      </c>
      <c r="P150" s="21" t="s">
        <v>651</v>
      </c>
      <c r="Q150" s="11" t="s">
        <v>2321</v>
      </c>
      <c r="R150" s="21" t="s">
        <v>3265</v>
      </c>
    </row>
    <row r="151" spans="1:18" ht="25.5" x14ac:dyDescent="0.2">
      <c r="A151" s="11">
        <v>150</v>
      </c>
      <c r="B151" s="11" t="s">
        <v>93</v>
      </c>
      <c r="C151" s="19" t="s">
        <v>4084</v>
      </c>
      <c r="D151" s="11" t="s">
        <v>82</v>
      </c>
      <c r="F151" s="11" t="s">
        <v>81</v>
      </c>
      <c r="G151" s="7"/>
      <c r="H151" s="11" t="s">
        <v>82</v>
      </c>
      <c r="I151" s="11" t="s">
        <v>82</v>
      </c>
      <c r="J151" s="11" t="s">
        <v>82</v>
      </c>
      <c r="M151" s="11" t="s">
        <v>2323</v>
      </c>
      <c r="N151" s="21" t="s">
        <v>1055</v>
      </c>
      <c r="O151" s="11" t="s">
        <v>899</v>
      </c>
      <c r="P151" s="21" t="s">
        <v>1498</v>
      </c>
      <c r="Q151" s="11" t="s">
        <v>2324</v>
      </c>
      <c r="R151" s="21" t="s">
        <v>3290</v>
      </c>
    </row>
    <row r="152" spans="1:18" x14ac:dyDescent="0.2">
      <c r="A152" s="11">
        <v>151</v>
      </c>
      <c r="B152" s="33"/>
      <c r="C152" s="33"/>
      <c r="D152" s="33" t="s">
        <v>80</v>
      </c>
      <c r="E152" s="33"/>
      <c r="F152" s="33"/>
      <c r="G152" s="52"/>
      <c r="H152" s="33" t="s">
        <v>80</v>
      </c>
      <c r="I152" s="33" t="s">
        <v>80</v>
      </c>
      <c r="J152" s="33" t="s">
        <v>80</v>
      </c>
      <c r="K152" s="33"/>
      <c r="L152" s="45"/>
      <c r="M152" s="33"/>
      <c r="O152" s="33"/>
      <c r="Q152" s="33"/>
      <c r="R152" s="21"/>
    </row>
    <row r="153" spans="1:18" ht="25.5" x14ac:dyDescent="0.2">
      <c r="A153" s="11">
        <v>152</v>
      </c>
      <c r="B153" s="11" t="s">
        <v>113</v>
      </c>
      <c r="C153" s="19" t="s">
        <v>2326</v>
      </c>
      <c r="D153" s="11" t="s">
        <v>82</v>
      </c>
      <c r="F153" s="11" t="s">
        <v>246</v>
      </c>
      <c r="G153" s="19" t="s">
        <v>2327</v>
      </c>
      <c r="H153" s="11" t="s">
        <v>84</v>
      </c>
      <c r="I153" s="11" t="s">
        <v>84</v>
      </c>
      <c r="J153" s="11" t="s">
        <v>82</v>
      </c>
      <c r="M153" s="11" t="s">
        <v>2328</v>
      </c>
      <c r="N153" s="21" t="s">
        <v>3325</v>
      </c>
      <c r="O153" s="11" t="s">
        <v>2329</v>
      </c>
      <c r="P153" s="21" t="s">
        <v>3403</v>
      </c>
      <c r="Q153" s="11" t="s">
        <v>2330</v>
      </c>
      <c r="R153" s="21" t="s">
        <v>1064</v>
      </c>
    </row>
    <row r="154" spans="1:18" x14ac:dyDescent="0.2">
      <c r="A154" s="11">
        <v>153</v>
      </c>
      <c r="B154" s="11" t="s">
        <v>113</v>
      </c>
      <c r="D154" s="11" t="s">
        <v>84</v>
      </c>
      <c r="G154" s="7"/>
      <c r="H154" s="11" t="s">
        <v>84</v>
      </c>
      <c r="I154" s="11" t="s">
        <v>84</v>
      </c>
      <c r="J154" s="11" t="s">
        <v>82</v>
      </c>
      <c r="Q154" s="11" t="s">
        <v>4085</v>
      </c>
      <c r="R154" s="21" t="s">
        <v>1059</v>
      </c>
    </row>
    <row r="155" spans="1:18" x14ac:dyDescent="0.2">
      <c r="A155" s="11">
        <v>154</v>
      </c>
      <c r="B155" s="11" t="s">
        <v>113</v>
      </c>
      <c r="D155" s="11" t="s">
        <v>82</v>
      </c>
      <c r="F155" s="11" t="s">
        <v>81</v>
      </c>
      <c r="G155" s="7"/>
      <c r="H155" s="11" t="s">
        <v>82</v>
      </c>
      <c r="I155" s="11" t="s">
        <v>84</v>
      </c>
      <c r="J155" s="11" t="s">
        <v>84</v>
      </c>
      <c r="K155" s="28" t="s">
        <v>2332</v>
      </c>
      <c r="L155" s="21" t="s">
        <v>4236</v>
      </c>
      <c r="R155" s="21"/>
    </row>
    <row r="156" spans="1:18" x14ac:dyDescent="0.2">
      <c r="A156" s="11">
        <v>155</v>
      </c>
      <c r="B156" s="11" t="s">
        <v>113</v>
      </c>
      <c r="D156" s="11" t="s">
        <v>82</v>
      </c>
      <c r="F156" s="11" t="s">
        <v>81</v>
      </c>
      <c r="G156" s="7"/>
      <c r="H156" s="11" t="s">
        <v>82</v>
      </c>
      <c r="I156" s="11" t="s">
        <v>82</v>
      </c>
      <c r="J156" s="11" t="s">
        <v>82</v>
      </c>
      <c r="R156" s="21"/>
    </row>
    <row r="157" spans="1:18" ht="51" x14ac:dyDescent="0.2">
      <c r="A157" s="11">
        <v>156</v>
      </c>
      <c r="B157" s="11" t="s">
        <v>113</v>
      </c>
      <c r="C157" s="7" t="s">
        <v>3868</v>
      </c>
      <c r="D157" s="11" t="s">
        <v>82</v>
      </c>
      <c r="F157" s="11" t="s">
        <v>246</v>
      </c>
      <c r="G157" s="7" t="s">
        <v>2335</v>
      </c>
      <c r="H157" s="11" t="s">
        <v>82</v>
      </c>
      <c r="I157" s="11" t="s">
        <v>84</v>
      </c>
      <c r="J157" s="11" t="s">
        <v>82</v>
      </c>
      <c r="M157" s="11" t="s">
        <v>2336</v>
      </c>
      <c r="N157" s="21" t="s">
        <v>3326</v>
      </c>
      <c r="Q157" s="11" t="s">
        <v>2337</v>
      </c>
      <c r="R157" s="21" t="s">
        <v>1057</v>
      </c>
    </row>
    <row r="158" spans="1:18" ht="51" x14ac:dyDescent="0.2">
      <c r="A158" s="11">
        <v>157</v>
      </c>
      <c r="B158" s="11" t="s">
        <v>100</v>
      </c>
      <c r="C158" s="11" t="s">
        <v>2339</v>
      </c>
      <c r="D158" s="11" t="s">
        <v>84</v>
      </c>
      <c r="G158" s="7"/>
      <c r="H158" s="11" t="s">
        <v>84</v>
      </c>
      <c r="I158" s="11" t="s">
        <v>82</v>
      </c>
      <c r="J158" s="11" t="s">
        <v>82</v>
      </c>
      <c r="O158" s="11" t="s">
        <v>2340</v>
      </c>
      <c r="P158" s="21" t="s">
        <v>3405</v>
      </c>
      <c r="Q158" s="64" t="s">
        <v>2341</v>
      </c>
      <c r="R158" s="21" t="s">
        <v>1064</v>
      </c>
    </row>
    <row r="159" spans="1:18" ht="25.5" x14ac:dyDescent="0.2">
      <c r="A159" s="11">
        <v>158</v>
      </c>
      <c r="B159" s="11" t="s">
        <v>113</v>
      </c>
      <c r="D159" s="11" t="s">
        <v>82</v>
      </c>
      <c r="F159" s="11" t="s">
        <v>81</v>
      </c>
      <c r="G159" s="7" t="s">
        <v>2343</v>
      </c>
      <c r="H159" s="11" t="s">
        <v>84</v>
      </c>
      <c r="I159" s="11" t="s">
        <v>84</v>
      </c>
      <c r="J159" s="11" t="s">
        <v>82</v>
      </c>
      <c r="M159" s="11" t="s">
        <v>2344</v>
      </c>
      <c r="N159" s="21" t="s">
        <v>3327</v>
      </c>
      <c r="R159" s="21"/>
    </row>
    <row r="160" spans="1:18" ht="25.5" x14ac:dyDescent="0.2">
      <c r="A160" s="11">
        <v>159</v>
      </c>
      <c r="B160" s="11" t="s">
        <v>113</v>
      </c>
      <c r="D160" s="11" t="s">
        <v>82</v>
      </c>
      <c r="F160" s="11" t="s">
        <v>81</v>
      </c>
      <c r="G160" s="7"/>
      <c r="H160" s="11" t="s">
        <v>84</v>
      </c>
      <c r="I160" s="11" t="s">
        <v>82</v>
      </c>
      <c r="J160" s="11" t="s">
        <v>82</v>
      </c>
      <c r="M160" s="11" t="s">
        <v>2345</v>
      </c>
      <c r="N160" s="21" t="s">
        <v>1055</v>
      </c>
      <c r="O160" s="11" t="s">
        <v>2346</v>
      </c>
      <c r="P160" s="21" t="s">
        <v>1431</v>
      </c>
      <c r="R160" s="21"/>
    </row>
    <row r="161" spans="1:18" ht="165.75" x14ac:dyDescent="0.2">
      <c r="A161" s="11">
        <v>160</v>
      </c>
      <c r="B161" s="11" t="s">
        <v>100</v>
      </c>
      <c r="D161" s="11" t="s">
        <v>82</v>
      </c>
      <c r="F161" s="11" t="s">
        <v>81</v>
      </c>
      <c r="G161" s="7" t="s">
        <v>3890</v>
      </c>
      <c r="H161" s="11" t="s">
        <v>82</v>
      </c>
      <c r="I161" s="11" t="s">
        <v>82</v>
      </c>
      <c r="J161" s="11" t="s">
        <v>82</v>
      </c>
      <c r="M161" s="11" t="s">
        <v>4052</v>
      </c>
      <c r="N161" s="21" t="s">
        <v>3328</v>
      </c>
      <c r="O161" s="11" t="s">
        <v>2350</v>
      </c>
      <c r="P161" s="21" t="s">
        <v>3263</v>
      </c>
      <c r="Q161" s="11" t="s">
        <v>4086</v>
      </c>
      <c r="R161" s="21" t="s">
        <v>1058</v>
      </c>
    </row>
    <row r="162" spans="1:18" ht="51" x14ac:dyDescent="0.2">
      <c r="A162" s="11">
        <v>161</v>
      </c>
      <c r="B162" s="11" t="s">
        <v>113</v>
      </c>
      <c r="D162" s="11" t="s">
        <v>82</v>
      </c>
      <c r="F162" s="11" t="s">
        <v>246</v>
      </c>
      <c r="G162" s="7" t="s">
        <v>4087</v>
      </c>
      <c r="H162" s="11" t="s">
        <v>82</v>
      </c>
      <c r="I162" s="11" t="s">
        <v>84</v>
      </c>
      <c r="J162" s="11" t="s">
        <v>84</v>
      </c>
      <c r="K162" s="11" t="s">
        <v>2354</v>
      </c>
      <c r="L162" s="21" t="s">
        <v>3912</v>
      </c>
      <c r="M162" s="11" t="s">
        <v>2355</v>
      </c>
      <c r="N162" s="21" t="s">
        <v>3330</v>
      </c>
      <c r="O162" s="11" t="s">
        <v>2356</v>
      </c>
      <c r="P162" s="21" t="s">
        <v>1498</v>
      </c>
      <c r="Q162" s="11" t="s">
        <v>2357</v>
      </c>
      <c r="R162" s="21" t="s">
        <v>899</v>
      </c>
    </row>
    <row r="163" spans="1:18" ht="38.25" x14ac:dyDescent="0.2">
      <c r="A163" s="11">
        <v>162</v>
      </c>
      <c r="B163" s="11" t="s">
        <v>113</v>
      </c>
      <c r="D163" s="11" t="s">
        <v>82</v>
      </c>
      <c r="F163" s="11" t="s">
        <v>81</v>
      </c>
      <c r="G163" s="7" t="s">
        <v>2360</v>
      </c>
      <c r="H163" s="11" t="s">
        <v>82</v>
      </c>
      <c r="I163" s="11" t="s">
        <v>82</v>
      </c>
      <c r="J163" s="11" t="s">
        <v>84</v>
      </c>
      <c r="K163" s="11" t="s">
        <v>2361</v>
      </c>
      <c r="L163" s="21" t="s">
        <v>3910</v>
      </c>
      <c r="M163" s="11" t="s">
        <v>2362</v>
      </c>
      <c r="N163" s="21" t="s">
        <v>3342</v>
      </c>
      <c r="O163" s="11" t="s">
        <v>2363</v>
      </c>
      <c r="P163" s="21" t="s">
        <v>3406</v>
      </c>
      <c r="Q163" s="11" t="s">
        <v>4088</v>
      </c>
      <c r="R163" s="21" t="s">
        <v>3291</v>
      </c>
    </row>
    <row r="164" spans="1:18" ht="89.25" x14ac:dyDescent="0.2">
      <c r="A164" s="11">
        <v>163</v>
      </c>
      <c r="B164" s="11" t="s">
        <v>113</v>
      </c>
      <c r="C164" s="11" t="s">
        <v>3869</v>
      </c>
      <c r="D164" s="11" t="s">
        <v>84</v>
      </c>
      <c r="G164" s="7"/>
      <c r="H164" s="11" t="s">
        <v>82</v>
      </c>
      <c r="I164" s="11" t="s">
        <v>82</v>
      </c>
      <c r="J164" s="11" t="s">
        <v>82</v>
      </c>
      <c r="M164" s="11" t="s">
        <v>2367</v>
      </c>
      <c r="N164" s="21" t="s">
        <v>3275</v>
      </c>
      <c r="O164" s="11" t="s">
        <v>2368</v>
      </c>
      <c r="Q164" s="11" t="s">
        <v>2369</v>
      </c>
      <c r="R164" s="21" t="s">
        <v>3255</v>
      </c>
    </row>
    <row r="165" spans="1:18" ht="25.5" x14ac:dyDescent="0.2">
      <c r="A165" s="11">
        <v>164</v>
      </c>
      <c r="B165" s="11" t="s">
        <v>113</v>
      </c>
      <c r="D165" s="11" t="s">
        <v>84</v>
      </c>
      <c r="G165" s="7"/>
      <c r="H165" s="11" t="s">
        <v>84</v>
      </c>
      <c r="I165" s="11" t="s">
        <v>84</v>
      </c>
      <c r="J165" s="11" t="s">
        <v>82</v>
      </c>
      <c r="O165" s="11" t="s">
        <v>2370</v>
      </c>
      <c r="P165" s="21" t="s">
        <v>3406</v>
      </c>
      <c r="Q165" s="11" t="s">
        <v>2370</v>
      </c>
      <c r="R165" s="21" t="s">
        <v>3266</v>
      </c>
    </row>
    <row r="166" spans="1:18" ht="63.75" x14ac:dyDescent="0.2">
      <c r="A166" s="11">
        <v>165</v>
      </c>
      <c r="B166" s="11" t="s">
        <v>113</v>
      </c>
      <c r="C166" s="11" t="s">
        <v>2372</v>
      </c>
      <c r="D166" s="11" t="s">
        <v>82</v>
      </c>
      <c r="F166" s="11" t="s">
        <v>81</v>
      </c>
      <c r="G166" s="7" t="s">
        <v>2373</v>
      </c>
      <c r="H166" s="11" t="s">
        <v>82</v>
      </c>
      <c r="I166" s="11" t="s">
        <v>82</v>
      </c>
      <c r="J166" s="11" t="s">
        <v>84</v>
      </c>
      <c r="K166" s="11" t="s">
        <v>3966</v>
      </c>
      <c r="L166" s="21" t="s">
        <v>3899</v>
      </c>
      <c r="M166" s="11" t="s">
        <v>2375</v>
      </c>
      <c r="N166" s="21" t="s">
        <v>709</v>
      </c>
      <c r="O166" s="11" t="s">
        <v>2376</v>
      </c>
      <c r="P166" s="21" t="s">
        <v>1498</v>
      </c>
      <c r="Q166" s="11" t="s">
        <v>2377</v>
      </c>
      <c r="R166" s="21" t="s">
        <v>3290</v>
      </c>
    </row>
    <row r="167" spans="1:18" ht="38.25" x14ac:dyDescent="0.2">
      <c r="A167" s="11">
        <v>166</v>
      </c>
      <c r="B167" s="11" t="s">
        <v>93</v>
      </c>
      <c r="C167" s="11" t="s">
        <v>2379</v>
      </c>
      <c r="D167" s="11" t="s">
        <v>82</v>
      </c>
      <c r="F167" s="11" t="s">
        <v>246</v>
      </c>
      <c r="G167" s="7"/>
      <c r="H167" s="11" t="s">
        <v>84</v>
      </c>
      <c r="I167" s="11" t="s">
        <v>84</v>
      </c>
      <c r="J167" s="11" t="s">
        <v>84</v>
      </c>
      <c r="K167" s="11" t="s">
        <v>2380</v>
      </c>
      <c r="L167" s="21" t="s">
        <v>2242</v>
      </c>
      <c r="M167" s="11" t="s">
        <v>2381</v>
      </c>
      <c r="N167" s="21" t="s">
        <v>3389</v>
      </c>
      <c r="O167" s="11" t="s">
        <v>2382</v>
      </c>
      <c r="P167" s="21" t="s">
        <v>3397</v>
      </c>
      <c r="Q167" s="11" t="s">
        <v>2383</v>
      </c>
      <c r="R167" s="21" t="s">
        <v>1052</v>
      </c>
    </row>
    <row r="168" spans="1:18" x14ac:dyDescent="0.2">
      <c r="A168" s="11">
        <v>167</v>
      </c>
      <c r="B168" s="11" t="s">
        <v>113</v>
      </c>
      <c r="D168" s="11" t="s">
        <v>82</v>
      </c>
      <c r="F168" s="11" t="s">
        <v>246</v>
      </c>
      <c r="G168" s="7"/>
      <c r="H168" s="11" t="s">
        <v>84</v>
      </c>
      <c r="I168" s="11" t="s">
        <v>82</v>
      </c>
      <c r="J168" s="11" t="s">
        <v>82</v>
      </c>
      <c r="R168" s="21"/>
    </row>
    <row r="169" spans="1:18" x14ac:dyDescent="0.2">
      <c r="A169" s="11">
        <v>168</v>
      </c>
      <c r="B169" s="11" t="s">
        <v>93</v>
      </c>
      <c r="D169" s="11" t="s">
        <v>84</v>
      </c>
      <c r="G169" s="7"/>
      <c r="H169" s="11" t="s">
        <v>84</v>
      </c>
      <c r="I169" s="11" t="s">
        <v>84</v>
      </c>
      <c r="J169" s="11" t="s">
        <v>84</v>
      </c>
      <c r="R169" s="21"/>
    </row>
    <row r="170" spans="1:18" ht="102" x14ac:dyDescent="0.2">
      <c r="A170" s="11">
        <v>169</v>
      </c>
      <c r="B170" s="11" t="s">
        <v>113</v>
      </c>
      <c r="C170" s="11" t="s">
        <v>3870</v>
      </c>
      <c r="D170" s="11" t="s">
        <v>82</v>
      </c>
      <c r="F170" s="11" t="s">
        <v>81</v>
      </c>
      <c r="G170" s="7" t="s">
        <v>3898</v>
      </c>
      <c r="H170" s="11" t="s">
        <v>82</v>
      </c>
      <c r="I170" s="11" t="s">
        <v>82</v>
      </c>
      <c r="J170" s="11" t="s">
        <v>82</v>
      </c>
      <c r="M170" s="11" t="s">
        <v>2387</v>
      </c>
      <c r="N170" s="21" t="s">
        <v>1049</v>
      </c>
      <c r="O170" s="11" t="s">
        <v>2388</v>
      </c>
      <c r="P170" s="21" t="s">
        <v>3407</v>
      </c>
      <c r="Q170" s="11" t="s">
        <v>2389</v>
      </c>
      <c r="R170" s="21" t="s">
        <v>1059</v>
      </c>
    </row>
    <row r="171" spans="1:18" ht="25.5" x14ac:dyDescent="0.2">
      <c r="A171" s="11">
        <v>170</v>
      </c>
      <c r="B171" s="11" t="s">
        <v>100</v>
      </c>
      <c r="C171" s="11" t="s">
        <v>2391</v>
      </c>
      <c r="D171" s="11" t="s">
        <v>82</v>
      </c>
      <c r="F171" s="11" t="s">
        <v>246</v>
      </c>
      <c r="G171" s="7" t="s">
        <v>2392</v>
      </c>
      <c r="H171" s="11" t="s">
        <v>82</v>
      </c>
      <c r="I171" s="11" t="s">
        <v>82</v>
      </c>
      <c r="J171" s="11" t="s">
        <v>82</v>
      </c>
      <c r="M171" s="11" t="s">
        <v>2393</v>
      </c>
      <c r="N171" s="21" t="s">
        <v>3309</v>
      </c>
      <c r="O171" s="11" t="s">
        <v>2394</v>
      </c>
      <c r="P171" s="21" t="s">
        <v>1498</v>
      </c>
      <c r="Q171" s="11" t="s">
        <v>2395</v>
      </c>
      <c r="R171" s="21" t="s">
        <v>1059</v>
      </c>
    </row>
    <row r="172" spans="1:18" ht="89.25" x14ac:dyDescent="0.2">
      <c r="A172" s="11">
        <v>171</v>
      </c>
      <c r="B172" s="11" t="s">
        <v>100</v>
      </c>
      <c r="D172" s="11" t="s">
        <v>84</v>
      </c>
      <c r="G172" s="7"/>
      <c r="H172" s="11" t="s">
        <v>82</v>
      </c>
      <c r="I172" s="11" t="s">
        <v>82</v>
      </c>
      <c r="J172" s="11" t="s">
        <v>82</v>
      </c>
      <c r="M172" s="11" t="s">
        <v>3333</v>
      </c>
      <c r="N172" s="21" t="s">
        <v>3332</v>
      </c>
      <c r="O172" s="11" t="s">
        <v>2398</v>
      </c>
      <c r="P172" s="21" t="s">
        <v>3434</v>
      </c>
      <c r="Q172" s="11" t="s">
        <v>2399</v>
      </c>
      <c r="R172" s="21"/>
    </row>
    <row r="173" spans="1:18" ht="89.25" x14ac:dyDescent="0.2">
      <c r="A173" s="11">
        <v>172</v>
      </c>
      <c r="B173" s="11" t="s">
        <v>113</v>
      </c>
      <c r="C173" s="11" t="s">
        <v>3871</v>
      </c>
      <c r="D173" s="11" t="s">
        <v>82</v>
      </c>
      <c r="F173" s="11" t="s">
        <v>81</v>
      </c>
      <c r="G173" s="7"/>
      <c r="H173" s="11" t="s">
        <v>82</v>
      </c>
      <c r="I173" s="11" t="s">
        <v>84</v>
      </c>
      <c r="J173" s="11" t="s">
        <v>82</v>
      </c>
      <c r="M173" s="19" t="s">
        <v>2402</v>
      </c>
      <c r="N173" s="21" t="s">
        <v>3334</v>
      </c>
      <c r="O173" s="11" t="s">
        <v>4089</v>
      </c>
      <c r="P173" s="21" t="s">
        <v>3417</v>
      </c>
      <c r="Q173" s="11" t="s">
        <v>2404</v>
      </c>
      <c r="R173" s="21" t="s">
        <v>3290</v>
      </c>
    </row>
    <row r="174" spans="1:18" ht="102" x14ac:dyDescent="0.2">
      <c r="A174" s="11">
        <v>173</v>
      </c>
      <c r="B174" s="11" t="s">
        <v>113</v>
      </c>
      <c r="C174" s="11" t="s">
        <v>3872</v>
      </c>
      <c r="D174" s="11" t="s">
        <v>82</v>
      </c>
      <c r="F174" s="11" t="s">
        <v>81</v>
      </c>
      <c r="G174" s="7" t="s">
        <v>2407</v>
      </c>
      <c r="H174" s="11" t="s">
        <v>84</v>
      </c>
      <c r="I174" s="11" t="s">
        <v>84</v>
      </c>
      <c r="J174" s="11" t="s">
        <v>82</v>
      </c>
      <c r="M174" s="11" t="s">
        <v>2408</v>
      </c>
      <c r="N174" s="21" t="s">
        <v>899</v>
      </c>
      <c r="O174" s="11" t="s">
        <v>2409</v>
      </c>
      <c r="P174" s="21" t="s">
        <v>1498</v>
      </c>
      <c r="Q174" s="11" t="s">
        <v>2410</v>
      </c>
      <c r="R174" s="21" t="s">
        <v>1067</v>
      </c>
    </row>
    <row r="175" spans="1:18" ht="38.25" x14ac:dyDescent="0.2">
      <c r="A175" s="11">
        <v>174</v>
      </c>
      <c r="B175" s="11" t="s">
        <v>100</v>
      </c>
      <c r="D175" s="11" t="s">
        <v>82</v>
      </c>
      <c r="F175" s="11" t="s">
        <v>81</v>
      </c>
      <c r="G175" s="7"/>
      <c r="H175" s="11" t="s">
        <v>84</v>
      </c>
      <c r="I175" s="11" t="s">
        <v>84</v>
      </c>
      <c r="J175" s="11" t="s">
        <v>84</v>
      </c>
      <c r="K175" s="11" t="s">
        <v>2411</v>
      </c>
      <c r="L175" s="21" t="s">
        <v>3903</v>
      </c>
      <c r="M175" s="64" t="s">
        <v>2412</v>
      </c>
      <c r="N175" s="21" t="s">
        <v>3335</v>
      </c>
      <c r="O175" s="11" t="s">
        <v>2413</v>
      </c>
      <c r="P175" s="21" t="s">
        <v>1039</v>
      </c>
      <c r="Q175" s="11" t="s">
        <v>2414</v>
      </c>
      <c r="R175" s="21" t="s">
        <v>1064</v>
      </c>
    </row>
    <row r="176" spans="1:18" ht="89.25" x14ac:dyDescent="0.2">
      <c r="A176" s="11">
        <v>175</v>
      </c>
      <c r="B176" s="11" t="s">
        <v>113</v>
      </c>
      <c r="C176" s="11" t="s">
        <v>2417</v>
      </c>
      <c r="D176" s="11" t="s">
        <v>82</v>
      </c>
      <c r="F176" s="11" t="s">
        <v>246</v>
      </c>
      <c r="G176" s="7" t="s">
        <v>2418</v>
      </c>
      <c r="H176" s="11" t="s">
        <v>82</v>
      </c>
      <c r="I176" s="11" t="s">
        <v>84</v>
      </c>
      <c r="J176" s="11" t="s">
        <v>84</v>
      </c>
      <c r="K176" s="11" t="s">
        <v>2419</v>
      </c>
      <c r="L176" s="21" t="s">
        <v>2242</v>
      </c>
      <c r="M176" s="11" t="s">
        <v>4053</v>
      </c>
      <c r="N176" s="21" t="s">
        <v>899</v>
      </c>
      <c r="O176" s="11" t="s">
        <v>2421</v>
      </c>
      <c r="P176" s="21" t="s">
        <v>1498</v>
      </c>
      <c r="Q176" s="11" t="s">
        <v>4090</v>
      </c>
      <c r="R176" s="21" t="s">
        <v>1067</v>
      </c>
    </row>
    <row r="177" spans="1:18" x14ac:dyDescent="0.2">
      <c r="A177" s="11">
        <v>176</v>
      </c>
      <c r="B177" s="11" t="s">
        <v>113</v>
      </c>
      <c r="D177" s="11" t="s">
        <v>82</v>
      </c>
      <c r="F177" s="11" t="s">
        <v>81</v>
      </c>
      <c r="G177" s="7"/>
      <c r="H177" s="11" t="s">
        <v>82</v>
      </c>
      <c r="I177" s="11" t="s">
        <v>82</v>
      </c>
      <c r="J177" s="11" t="s">
        <v>82</v>
      </c>
      <c r="R177" s="21"/>
    </row>
    <row r="178" spans="1:18" ht="38.25" x14ac:dyDescent="0.2">
      <c r="A178" s="11">
        <v>177</v>
      </c>
      <c r="B178" s="11" t="s">
        <v>113</v>
      </c>
      <c r="C178" s="11" t="s">
        <v>2424</v>
      </c>
      <c r="D178" s="11" t="s">
        <v>82</v>
      </c>
      <c r="F178" s="11" t="s">
        <v>246</v>
      </c>
      <c r="G178" s="7" t="s">
        <v>2425</v>
      </c>
      <c r="H178" s="11" t="s">
        <v>82</v>
      </c>
      <c r="I178" s="11" t="s">
        <v>82</v>
      </c>
      <c r="J178" s="11" t="s">
        <v>82</v>
      </c>
      <c r="M178" s="11" t="s">
        <v>2426</v>
      </c>
      <c r="N178" s="21" t="s">
        <v>1040</v>
      </c>
      <c r="O178" s="11" t="s">
        <v>2427</v>
      </c>
      <c r="P178" s="21" t="s">
        <v>3428</v>
      </c>
      <c r="Q178" s="11" t="s">
        <v>2428</v>
      </c>
      <c r="R178" s="21" t="s">
        <v>1062</v>
      </c>
    </row>
    <row r="179" spans="1:18" ht="63.75" x14ac:dyDescent="0.2">
      <c r="A179" s="11">
        <v>178</v>
      </c>
      <c r="B179" s="11" t="s">
        <v>113</v>
      </c>
      <c r="C179" s="11" t="s">
        <v>2429</v>
      </c>
      <c r="D179" s="11" t="s">
        <v>82</v>
      </c>
      <c r="F179" s="11" t="s">
        <v>81</v>
      </c>
      <c r="G179" s="7"/>
      <c r="H179" s="11" t="s">
        <v>84</v>
      </c>
      <c r="I179" s="11" t="s">
        <v>82</v>
      </c>
      <c r="J179" s="11" t="s">
        <v>82</v>
      </c>
      <c r="M179" s="11" t="s">
        <v>2430</v>
      </c>
      <c r="N179" s="21" t="s">
        <v>3382</v>
      </c>
      <c r="O179" s="11" t="s">
        <v>2431</v>
      </c>
      <c r="P179" s="21" t="s">
        <v>3425</v>
      </c>
      <c r="Q179" s="11" t="s">
        <v>2432</v>
      </c>
      <c r="R179" s="21" t="s">
        <v>1059</v>
      </c>
    </row>
    <row r="180" spans="1:18" ht="38.25" x14ac:dyDescent="0.2">
      <c r="A180" s="11">
        <v>179</v>
      </c>
      <c r="B180" s="11" t="s">
        <v>100</v>
      </c>
      <c r="C180" s="11" t="s">
        <v>2434</v>
      </c>
      <c r="D180" s="11" t="s">
        <v>82</v>
      </c>
      <c r="F180" s="11" t="s">
        <v>81</v>
      </c>
      <c r="G180" s="7" t="s">
        <v>2435</v>
      </c>
      <c r="H180" s="11" t="s">
        <v>82</v>
      </c>
      <c r="I180" s="11" t="s">
        <v>84</v>
      </c>
      <c r="J180" s="11" t="s">
        <v>82</v>
      </c>
      <c r="M180" s="11" t="s">
        <v>2436</v>
      </c>
      <c r="N180" s="21" t="s">
        <v>3352</v>
      </c>
      <c r="O180" s="11" t="s">
        <v>2437</v>
      </c>
      <c r="P180" s="21" t="s">
        <v>1498</v>
      </c>
      <c r="Q180" s="11" t="s">
        <v>2438</v>
      </c>
      <c r="R180" s="21" t="s">
        <v>1063</v>
      </c>
    </row>
    <row r="181" spans="1:18" ht="25.5" x14ac:dyDescent="0.2">
      <c r="A181" s="11">
        <v>180</v>
      </c>
      <c r="B181" s="11" t="s">
        <v>113</v>
      </c>
      <c r="C181" s="11" t="s">
        <v>2440</v>
      </c>
      <c r="D181" s="11" t="s">
        <v>82</v>
      </c>
      <c r="F181" s="11" t="s">
        <v>246</v>
      </c>
      <c r="G181" s="7" t="s">
        <v>2441</v>
      </c>
      <c r="H181" s="11" t="s">
        <v>84</v>
      </c>
      <c r="I181" s="11" t="s">
        <v>82</v>
      </c>
      <c r="J181" s="11" t="s">
        <v>82</v>
      </c>
      <c r="M181" s="11" t="s">
        <v>2442</v>
      </c>
      <c r="N181" s="21" t="s">
        <v>1055</v>
      </c>
      <c r="O181" s="11" t="s">
        <v>2443</v>
      </c>
      <c r="P181" s="21" t="s">
        <v>1055</v>
      </c>
      <c r="Q181" s="11" t="s">
        <v>2444</v>
      </c>
      <c r="R181" s="21" t="s">
        <v>1071</v>
      </c>
    </row>
    <row r="182" spans="1:18" ht="25.5" x14ac:dyDescent="0.2">
      <c r="A182" s="11">
        <v>181</v>
      </c>
      <c r="B182" s="11" t="s">
        <v>100</v>
      </c>
      <c r="D182" s="11" t="s">
        <v>82</v>
      </c>
      <c r="F182" s="11" t="s">
        <v>246</v>
      </c>
      <c r="G182" s="7"/>
      <c r="H182" s="11" t="s">
        <v>84</v>
      </c>
      <c r="I182" s="11" t="s">
        <v>84</v>
      </c>
      <c r="J182" s="11" t="s">
        <v>84</v>
      </c>
      <c r="K182" s="11" t="s">
        <v>2446</v>
      </c>
      <c r="L182" s="21" t="s">
        <v>3913</v>
      </c>
      <c r="R182" s="21"/>
    </row>
    <row r="183" spans="1:18" ht="51" x14ac:dyDescent="0.2">
      <c r="A183" s="11">
        <v>182</v>
      </c>
      <c r="B183" s="11" t="s">
        <v>100</v>
      </c>
      <c r="C183" s="11" t="s">
        <v>2447</v>
      </c>
      <c r="D183" s="11" t="s">
        <v>82</v>
      </c>
      <c r="F183" s="11" t="s">
        <v>81</v>
      </c>
      <c r="G183" s="7"/>
      <c r="H183" s="11" t="s">
        <v>82</v>
      </c>
      <c r="I183" s="11" t="s">
        <v>82</v>
      </c>
      <c r="J183" s="11" t="s">
        <v>82</v>
      </c>
      <c r="M183" s="11" t="s">
        <v>2448</v>
      </c>
      <c r="N183" s="21" t="s">
        <v>651</v>
      </c>
      <c r="O183" s="11" t="s">
        <v>2449</v>
      </c>
      <c r="P183" s="21" t="s">
        <v>1431</v>
      </c>
      <c r="Q183" s="11" t="s">
        <v>4091</v>
      </c>
      <c r="R183" s="21" t="s">
        <v>1057</v>
      </c>
    </row>
    <row r="184" spans="1:18" ht="63.75" x14ac:dyDescent="0.2">
      <c r="A184" s="11">
        <v>183</v>
      </c>
      <c r="B184" s="11" t="s">
        <v>113</v>
      </c>
      <c r="C184" s="11" t="s">
        <v>2452</v>
      </c>
      <c r="D184" s="11" t="s">
        <v>82</v>
      </c>
      <c r="F184" s="11" t="s">
        <v>81</v>
      </c>
      <c r="G184" s="7" t="s">
        <v>2453</v>
      </c>
      <c r="H184" s="11" t="s">
        <v>82</v>
      </c>
      <c r="I184" s="11" t="s">
        <v>84</v>
      </c>
      <c r="J184" s="11" t="s">
        <v>82</v>
      </c>
      <c r="M184" s="11" t="s">
        <v>2454</v>
      </c>
      <c r="N184" s="21" t="s">
        <v>899</v>
      </c>
      <c r="O184" s="11" t="s">
        <v>4092</v>
      </c>
      <c r="P184" s="21" t="s">
        <v>1498</v>
      </c>
      <c r="Q184" s="11" t="s">
        <v>2456</v>
      </c>
      <c r="R184" s="21" t="s">
        <v>3289</v>
      </c>
    </row>
    <row r="185" spans="1:18" x14ac:dyDescent="0.2">
      <c r="A185" s="11">
        <v>184</v>
      </c>
      <c r="B185" s="11" t="s">
        <v>113</v>
      </c>
      <c r="C185" s="11" t="s">
        <v>2458</v>
      </c>
      <c r="D185" s="11" t="s">
        <v>82</v>
      </c>
      <c r="F185" s="11" t="s">
        <v>246</v>
      </c>
      <c r="G185" s="7"/>
      <c r="H185" s="11" t="s">
        <v>84</v>
      </c>
      <c r="I185" s="11" t="s">
        <v>84</v>
      </c>
      <c r="J185" s="11" t="s">
        <v>82</v>
      </c>
      <c r="O185" s="11" t="s">
        <v>2459</v>
      </c>
      <c r="P185" s="21" t="s">
        <v>1055</v>
      </c>
      <c r="R185" s="21"/>
    </row>
    <row r="186" spans="1:18" x14ac:dyDescent="0.2">
      <c r="A186" s="11">
        <v>185</v>
      </c>
      <c r="B186" s="11" t="s">
        <v>113</v>
      </c>
      <c r="D186" s="11" t="s">
        <v>84</v>
      </c>
      <c r="G186" s="7"/>
      <c r="H186" s="11" t="s">
        <v>84</v>
      </c>
      <c r="I186" s="11" t="s">
        <v>84</v>
      </c>
      <c r="J186" s="11" t="s">
        <v>82</v>
      </c>
      <c r="R186" s="21"/>
    </row>
    <row r="187" spans="1:18" ht="51" x14ac:dyDescent="0.2">
      <c r="A187" s="11">
        <v>186</v>
      </c>
      <c r="B187" s="11" t="s">
        <v>113</v>
      </c>
      <c r="D187" s="11" t="s">
        <v>82</v>
      </c>
      <c r="F187" s="11" t="s">
        <v>81</v>
      </c>
      <c r="G187" s="7"/>
      <c r="H187" s="11" t="s">
        <v>84</v>
      </c>
      <c r="I187" s="11" t="s">
        <v>84</v>
      </c>
      <c r="J187" s="11" t="s">
        <v>82</v>
      </c>
      <c r="M187" s="11" t="s">
        <v>2462</v>
      </c>
      <c r="N187" s="21" t="s">
        <v>3339</v>
      </c>
      <c r="O187" s="11" t="s">
        <v>2463</v>
      </c>
      <c r="Q187" s="11" t="s">
        <v>4093</v>
      </c>
      <c r="R187" s="21" t="s">
        <v>3262</v>
      </c>
    </row>
    <row r="188" spans="1:18" x14ac:dyDescent="0.2">
      <c r="A188" s="11">
        <v>187</v>
      </c>
      <c r="B188" s="11" t="s">
        <v>113</v>
      </c>
      <c r="D188" s="11" t="s">
        <v>82</v>
      </c>
      <c r="F188" s="11" t="s">
        <v>246</v>
      </c>
      <c r="G188" s="7"/>
      <c r="H188" s="11" t="s">
        <v>84</v>
      </c>
      <c r="I188" s="11" t="s">
        <v>82</v>
      </c>
      <c r="J188" s="11" t="s">
        <v>82</v>
      </c>
      <c r="R188" s="21"/>
    </row>
    <row r="189" spans="1:18" ht="102" x14ac:dyDescent="0.2">
      <c r="A189" s="11">
        <v>188</v>
      </c>
      <c r="B189" s="11" t="s">
        <v>100</v>
      </c>
      <c r="D189" s="11" t="s">
        <v>82</v>
      </c>
      <c r="F189" s="11" t="s">
        <v>81</v>
      </c>
      <c r="G189" s="7" t="s">
        <v>2466</v>
      </c>
      <c r="H189" s="11" t="s">
        <v>84</v>
      </c>
      <c r="I189" s="11" t="s">
        <v>82</v>
      </c>
      <c r="J189" s="11" t="s">
        <v>82</v>
      </c>
      <c r="R189" s="21"/>
    </row>
    <row r="190" spans="1:18" ht="25.5" x14ac:dyDescent="0.2">
      <c r="A190" s="11">
        <v>189</v>
      </c>
      <c r="B190" s="11" t="s">
        <v>100</v>
      </c>
      <c r="D190" s="11" t="s">
        <v>82</v>
      </c>
      <c r="F190" s="11" t="s">
        <v>246</v>
      </c>
      <c r="G190" s="7"/>
      <c r="H190" s="11" t="s">
        <v>82</v>
      </c>
      <c r="I190" s="11" t="s">
        <v>84</v>
      </c>
      <c r="J190" s="11" t="s">
        <v>82</v>
      </c>
      <c r="M190" s="11" t="s">
        <v>2467</v>
      </c>
      <c r="N190" s="21" t="s">
        <v>651</v>
      </c>
      <c r="R190" s="21"/>
    </row>
    <row r="191" spans="1:18" ht="25.5" x14ac:dyDescent="0.2">
      <c r="A191" s="11">
        <v>190</v>
      </c>
      <c r="B191" s="11" t="s">
        <v>113</v>
      </c>
      <c r="D191" s="11" t="s">
        <v>82</v>
      </c>
      <c r="F191" s="11" t="s">
        <v>81</v>
      </c>
      <c r="G191" s="7"/>
      <c r="H191" s="11" t="s">
        <v>84</v>
      </c>
      <c r="I191" s="11" t="s">
        <v>84</v>
      </c>
      <c r="J191" s="11" t="s">
        <v>82</v>
      </c>
      <c r="M191" s="11" t="s">
        <v>2469</v>
      </c>
      <c r="N191" s="21" t="s">
        <v>3327</v>
      </c>
      <c r="O191" s="11" t="s">
        <v>2470</v>
      </c>
      <c r="P191" s="21" t="s">
        <v>3408</v>
      </c>
      <c r="Q191" s="11" t="s">
        <v>2471</v>
      </c>
      <c r="R191" s="21" t="s">
        <v>1064</v>
      </c>
    </row>
    <row r="192" spans="1:18" ht="89.25" x14ac:dyDescent="0.2">
      <c r="A192" s="11">
        <v>191</v>
      </c>
      <c r="B192" s="11" t="s">
        <v>93</v>
      </c>
      <c r="D192" s="11" t="s">
        <v>82</v>
      </c>
      <c r="F192" s="11" t="s">
        <v>81</v>
      </c>
      <c r="G192" s="7"/>
      <c r="H192" s="11" t="s">
        <v>84</v>
      </c>
      <c r="I192" s="11" t="s">
        <v>84</v>
      </c>
      <c r="J192" s="11" t="s">
        <v>82</v>
      </c>
      <c r="O192" s="11" t="s">
        <v>2472</v>
      </c>
      <c r="P192" s="21" t="s">
        <v>3417</v>
      </c>
      <c r="R192" s="21"/>
    </row>
    <row r="193" spans="1:18" x14ac:dyDescent="0.2">
      <c r="A193" s="11">
        <v>192</v>
      </c>
      <c r="B193" s="11" t="s">
        <v>93</v>
      </c>
      <c r="D193" s="11" t="s">
        <v>82</v>
      </c>
      <c r="F193" s="11" t="s">
        <v>81</v>
      </c>
      <c r="G193" s="7"/>
      <c r="H193" s="11" t="s">
        <v>84</v>
      </c>
      <c r="I193" s="11" t="s">
        <v>82</v>
      </c>
      <c r="J193" s="11" t="s">
        <v>84</v>
      </c>
      <c r="R193" s="21"/>
    </row>
    <row r="194" spans="1:18" ht="38.25" x14ac:dyDescent="0.2">
      <c r="A194" s="11">
        <v>193</v>
      </c>
      <c r="B194" s="11" t="s">
        <v>113</v>
      </c>
      <c r="D194" s="11" t="s">
        <v>84</v>
      </c>
      <c r="G194" s="7"/>
      <c r="H194" s="11" t="s">
        <v>84</v>
      </c>
      <c r="I194" s="11" t="s">
        <v>82</v>
      </c>
      <c r="J194" s="11" t="s">
        <v>84</v>
      </c>
      <c r="K194" s="11" t="s">
        <v>2473</v>
      </c>
      <c r="L194" s="21" t="s">
        <v>1043</v>
      </c>
      <c r="M194" s="11" t="s">
        <v>4054</v>
      </c>
      <c r="N194" s="21" t="s">
        <v>3370</v>
      </c>
      <c r="O194" s="11" t="s">
        <v>2475</v>
      </c>
      <c r="P194" s="21" t="s">
        <v>3406</v>
      </c>
      <c r="R194" s="21"/>
    </row>
    <row r="195" spans="1:18" ht="25.5" x14ac:dyDescent="0.2">
      <c r="A195" s="11">
        <v>194</v>
      </c>
      <c r="B195" s="11" t="s">
        <v>113</v>
      </c>
      <c r="D195" s="11" t="s">
        <v>82</v>
      </c>
      <c r="F195" s="11" t="s">
        <v>81</v>
      </c>
      <c r="G195" s="7"/>
      <c r="H195" s="11" t="s">
        <v>82</v>
      </c>
      <c r="I195" s="11" t="s">
        <v>82</v>
      </c>
      <c r="J195" s="11" t="s">
        <v>82</v>
      </c>
      <c r="M195" s="11" t="s">
        <v>4055</v>
      </c>
      <c r="N195" s="21" t="s">
        <v>3383</v>
      </c>
      <c r="O195" s="11" t="s">
        <v>2477</v>
      </c>
      <c r="P195" s="21" t="s">
        <v>1059</v>
      </c>
      <c r="Q195" s="11" t="s">
        <v>2478</v>
      </c>
      <c r="R195" s="21" t="s">
        <v>1057</v>
      </c>
    </row>
    <row r="196" spans="1:18" ht="38.25" x14ac:dyDescent="0.2">
      <c r="A196" s="11">
        <v>195</v>
      </c>
      <c r="B196" s="11" t="s">
        <v>113</v>
      </c>
      <c r="D196" s="11" t="s">
        <v>84</v>
      </c>
      <c r="G196" s="7"/>
      <c r="H196" s="11" t="s">
        <v>82</v>
      </c>
      <c r="I196" s="11" t="s">
        <v>82</v>
      </c>
      <c r="J196" s="11" t="s">
        <v>82</v>
      </c>
      <c r="M196" s="11" t="s">
        <v>2500</v>
      </c>
      <c r="N196" s="21" t="s">
        <v>3340</v>
      </c>
      <c r="O196" s="11" t="s">
        <v>2501</v>
      </c>
      <c r="P196" s="21" t="s">
        <v>1431</v>
      </c>
      <c r="Q196" s="11" t="s">
        <v>2502</v>
      </c>
      <c r="R196" s="21" t="s">
        <v>3290</v>
      </c>
    </row>
    <row r="197" spans="1:18" ht="38.25" x14ac:dyDescent="0.2">
      <c r="A197" s="11">
        <v>196</v>
      </c>
      <c r="B197" s="11" t="s">
        <v>93</v>
      </c>
      <c r="C197" s="11" t="s">
        <v>2511</v>
      </c>
      <c r="D197" s="11" t="s">
        <v>84</v>
      </c>
      <c r="G197" s="7"/>
      <c r="H197" s="11" t="s">
        <v>82</v>
      </c>
      <c r="I197" s="11" t="s">
        <v>84</v>
      </c>
      <c r="J197" s="11" t="s">
        <v>84</v>
      </c>
      <c r="K197" s="11" t="s">
        <v>2512</v>
      </c>
      <c r="L197" s="21" t="s">
        <v>2242</v>
      </c>
      <c r="M197" s="11" t="s">
        <v>2513</v>
      </c>
      <c r="N197" s="21" t="s">
        <v>3384</v>
      </c>
      <c r="O197" s="11" t="s">
        <v>2514</v>
      </c>
      <c r="Q197" s="11" t="s">
        <v>4094</v>
      </c>
      <c r="R197" s="21"/>
    </row>
    <row r="198" spans="1:18" x14ac:dyDescent="0.2">
      <c r="A198" s="11">
        <v>197</v>
      </c>
      <c r="B198" s="33"/>
      <c r="C198" s="33"/>
      <c r="D198" s="33" t="s">
        <v>80</v>
      </c>
      <c r="E198" s="33"/>
      <c r="F198" s="33"/>
      <c r="G198" s="52"/>
      <c r="H198" s="33" t="s">
        <v>80</v>
      </c>
      <c r="I198" s="33" t="s">
        <v>80</v>
      </c>
      <c r="J198" s="33" t="s">
        <v>80</v>
      </c>
      <c r="K198" s="33"/>
      <c r="L198" s="45"/>
      <c r="M198" s="33"/>
      <c r="O198" s="33"/>
      <c r="Q198" s="33"/>
      <c r="R198" s="21"/>
    </row>
    <row r="199" spans="1:18" x14ac:dyDescent="0.2">
      <c r="A199" s="11">
        <v>198</v>
      </c>
      <c r="B199" s="33"/>
      <c r="C199" s="33"/>
      <c r="D199" s="33" t="s">
        <v>80</v>
      </c>
      <c r="E199" s="33"/>
      <c r="F199" s="33"/>
      <c r="G199" s="52"/>
      <c r="H199" s="33" t="s">
        <v>80</v>
      </c>
      <c r="I199" s="33" t="s">
        <v>80</v>
      </c>
      <c r="J199" s="33" t="s">
        <v>80</v>
      </c>
      <c r="K199" s="33"/>
      <c r="L199" s="45"/>
      <c r="M199" s="33"/>
      <c r="O199" s="33"/>
      <c r="Q199" s="33"/>
      <c r="R199" s="21"/>
    </row>
    <row r="200" spans="1:18" ht="38.25" x14ac:dyDescent="0.2">
      <c r="A200" s="11">
        <v>199</v>
      </c>
      <c r="B200" s="11" t="s">
        <v>113</v>
      </c>
      <c r="C200" s="11" t="s">
        <v>2524</v>
      </c>
      <c r="D200" s="11" t="s">
        <v>82</v>
      </c>
      <c r="F200" s="11" t="s">
        <v>246</v>
      </c>
      <c r="G200" s="7"/>
      <c r="H200" s="11" t="s">
        <v>82</v>
      </c>
      <c r="I200" s="11" t="s">
        <v>82</v>
      </c>
      <c r="J200" s="11" t="s">
        <v>82</v>
      </c>
      <c r="R200" s="21"/>
    </row>
    <row r="201" spans="1:18" ht="191.25" x14ac:dyDescent="0.2">
      <c r="A201" s="11">
        <v>200</v>
      </c>
      <c r="B201" s="11" t="s">
        <v>113</v>
      </c>
      <c r="C201" s="11" t="s">
        <v>4095</v>
      </c>
      <c r="D201" s="11" t="s">
        <v>82</v>
      </c>
      <c r="F201" s="11" t="s">
        <v>81</v>
      </c>
      <c r="G201" s="7" t="s">
        <v>2536</v>
      </c>
      <c r="H201" s="11" t="s">
        <v>82</v>
      </c>
      <c r="I201" s="11" t="s">
        <v>84</v>
      </c>
      <c r="J201" s="11" t="s">
        <v>82</v>
      </c>
      <c r="M201" s="11" t="s">
        <v>4056</v>
      </c>
      <c r="N201" s="21" t="s">
        <v>3341</v>
      </c>
      <c r="O201" s="11" t="s">
        <v>2538</v>
      </c>
      <c r="P201" s="21" t="s">
        <v>3450</v>
      </c>
      <c r="Q201" s="11" t="s">
        <v>4096</v>
      </c>
      <c r="R201" s="21" t="s">
        <v>3292</v>
      </c>
    </row>
    <row r="202" spans="1:18" ht="38.25" x14ac:dyDescent="0.2">
      <c r="A202" s="11">
        <v>201</v>
      </c>
      <c r="B202" s="11" t="s">
        <v>113</v>
      </c>
      <c r="C202" s="11" t="s">
        <v>3873</v>
      </c>
      <c r="D202" s="11" t="s">
        <v>82</v>
      </c>
      <c r="F202" s="11" t="s">
        <v>81</v>
      </c>
      <c r="G202" s="7"/>
      <c r="H202" s="11" t="s">
        <v>84</v>
      </c>
      <c r="I202" s="11" t="s">
        <v>82</v>
      </c>
      <c r="J202" s="11" t="s">
        <v>82</v>
      </c>
      <c r="M202" s="11" t="s">
        <v>2543</v>
      </c>
      <c r="N202" s="21" t="s">
        <v>3342</v>
      </c>
      <c r="O202" s="11" t="s">
        <v>2544</v>
      </c>
      <c r="P202" s="21" t="s">
        <v>1055</v>
      </c>
      <c r="Q202" s="11" t="s">
        <v>2545</v>
      </c>
      <c r="R202" s="21" t="s">
        <v>3269</v>
      </c>
    </row>
    <row r="203" spans="1:18" ht="89.25" x14ac:dyDescent="0.2">
      <c r="A203" s="11">
        <v>202</v>
      </c>
      <c r="B203" s="11" t="s">
        <v>113</v>
      </c>
      <c r="D203" s="11" t="s">
        <v>82</v>
      </c>
      <c r="F203" s="11" t="s">
        <v>81</v>
      </c>
      <c r="G203" s="7"/>
      <c r="H203" s="11" t="s">
        <v>82</v>
      </c>
      <c r="I203" s="11" t="s">
        <v>82</v>
      </c>
      <c r="J203" s="11" t="s">
        <v>82</v>
      </c>
      <c r="M203" s="11" t="s">
        <v>4097</v>
      </c>
      <c r="N203" s="21" t="s">
        <v>3343</v>
      </c>
      <c r="O203" s="11" t="s">
        <v>2555</v>
      </c>
      <c r="P203" s="21" t="s">
        <v>1498</v>
      </c>
      <c r="Q203" s="11" t="s">
        <v>4098</v>
      </c>
      <c r="R203" s="21" t="s">
        <v>1058</v>
      </c>
    </row>
    <row r="204" spans="1:18" x14ac:dyDescent="0.2">
      <c r="A204" s="11">
        <v>203</v>
      </c>
      <c r="B204" s="11" t="s">
        <v>100</v>
      </c>
      <c r="D204" s="11" t="s">
        <v>82</v>
      </c>
      <c r="F204" s="11" t="s">
        <v>81</v>
      </c>
      <c r="G204" s="7"/>
      <c r="H204" s="11" t="s">
        <v>82</v>
      </c>
      <c r="I204" s="11" t="s">
        <v>84</v>
      </c>
      <c r="J204" s="11" t="s">
        <v>82</v>
      </c>
      <c r="R204" s="21"/>
    </row>
    <row r="205" spans="1:18" x14ac:dyDescent="0.2">
      <c r="A205" s="11">
        <v>204</v>
      </c>
      <c r="B205" s="11" t="s">
        <v>93</v>
      </c>
      <c r="D205" s="11" t="s">
        <v>82</v>
      </c>
      <c r="F205" s="11" t="s">
        <v>246</v>
      </c>
      <c r="G205" s="7"/>
      <c r="H205" s="11" t="s">
        <v>84</v>
      </c>
      <c r="I205" s="11" t="s">
        <v>84</v>
      </c>
      <c r="J205" s="11" t="s">
        <v>82</v>
      </c>
      <c r="R205" s="21"/>
    </row>
    <row r="206" spans="1:18" x14ac:dyDescent="0.2">
      <c r="A206" s="11">
        <v>205</v>
      </c>
      <c r="B206" s="11" t="s">
        <v>113</v>
      </c>
      <c r="D206" s="11" t="s">
        <v>82</v>
      </c>
      <c r="F206" s="11" t="s">
        <v>246</v>
      </c>
      <c r="G206" s="7"/>
      <c r="H206" s="11" t="s">
        <v>84</v>
      </c>
      <c r="I206" s="11" t="s">
        <v>84</v>
      </c>
      <c r="J206" s="11" t="s">
        <v>82</v>
      </c>
      <c r="R206" s="21"/>
    </row>
    <row r="207" spans="1:18" x14ac:dyDescent="0.2">
      <c r="A207" s="11">
        <v>206</v>
      </c>
      <c r="B207" s="33"/>
      <c r="C207" s="33"/>
      <c r="D207" s="33" t="s">
        <v>80</v>
      </c>
      <c r="E207" s="33"/>
      <c r="F207" s="33"/>
      <c r="G207" s="52"/>
      <c r="H207" s="33" t="s">
        <v>80</v>
      </c>
      <c r="I207" s="33" t="s">
        <v>80</v>
      </c>
      <c r="J207" s="33" t="s">
        <v>80</v>
      </c>
      <c r="K207" s="33"/>
      <c r="L207" s="45"/>
      <c r="M207" s="33"/>
      <c r="O207" s="33"/>
      <c r="Q207" s="33"/>
      <c r="R207" s="21"/>
    </row>
    <row r="208" spans="1:18" x14ac:dyDescent="0.2">
      <c r="A208" s="11">
        <v>207</v>
      </c>
      <c r="B208" s="11" t="s">
        <v>113</v>
      </c>
      <c r="D208" s="11" t="s">
        <v>82</v>
      </c>
      <c r="F208" s="11" t="s">
        <v>81</v>
      </c>
      <c r="G208" s="7"/>
      <c r="H208" s="11" t="s">
        <v>84</v>
      </c>
      <c r="I208" s="11" t="s">
        <v>84</v>
      </c>
      <c r="J208" s="11" t="s">
        <v>84</v>
      </c>
      <c r="R208" s="21"/>
    </row>
    <row r="209" spans="1:18" ht="25.5" x14ac:dyDescent="0.2">
      <c r="A209" s="11">
        <v>208</v>
      </c>
      <c r="B209" s="11" t="s">
        <v>113</v>
      </c>
      <c r="D209" s="11" t="s">
        <v>82</v>
      </c>
      <c r="F209" s="11" t="s">
        <v>246</v>
      </c>
      <c r="G209" s="7"/>
      <c r="H209" s="11" t="s">
        <v>82</v>
      </c>
      <c r="I209" s="11" t="s">
        <v>84</v>
      </c>
      <c r="J209" s="11" t="s">
        <v>84</v>
      </c>
      <c r="K209" s="11" t="s">
        <v>2569</v>
      </c>
      <c r="L209" s="21" t="s">
        <v>3901</v>
      </c>
      <c r="M209" s="11" t="s">
        <v>2570</v>
      </c>
      <c r="N209" s="21" t="s">
        <v>651</v>
      </c>
      <c r="O209" s="11" t="s">
        <v>2571</v>
      </c>
      <c r="P209" s="21" t="s">
        <v>1498</v>
      </c>
      <c r="Q209" s="11" t="s">
        <v>2572</v>
      </c>
      <c r="R209" s="21" t="s">
        <v>1062</v>
      </c>
    </row>
    <row r="210" spans="1:18" ht="51" x14ac:dyDescent="0.2">
      <c r="A210" s="11">
        <v>209</v>
      </c>
      <c r="B210" s="11" t="s">
        <v>113</v>
      </c>
      <c r="D210" s="11" t="s">
        <v>82</v>
      </c>
      <c r="F210" s="11" t="s">
        <v>81</v>
      </c>
      <c r="G210" s="7" t="s">
        <v>2581</v>
      </c>
      <c r="H210" s="11" t="s">
        <v>82</v>
      </c>
      <c r="I210" s="11" t="s">
        <v>82</v>
      </c>
      <c r="J210" s="11" t="s">
        <v>82</v>
      </c>
      <c r="M210" s="11" t="s">
        <v>2582</v>
      </c>
      <c r="N210" s="21" t="s">
        <v>3385</v>
      </c>
      <c r="O210" s="11" t="s">
        <v>2583</v>
      </c>
      <c r="P210" s="21" t="s">
        <v>3428</v>
      </c>
      <c r="Q210" s="11" t="s">
        <v>1059</v>
      </c>
      <c r="R210" s="21" t="s">
        <v>1059</v>
      </c>
    </row>
    <row r="211" spans="1:18" ht="51" x14ac:dyDescent="0.2">
      <c r="A211" s="11">
        <v>210</v>
      </c>
      <c r="B211" s="11" t="s">
        <v>100</v>
      </c>
      <c r="C211" s="11" t="s">
        <v>2590</v>
      </c>
      <c r="D211" s="11" t="s">
        <v>82</v>
      </c>
      <c r="F211" s="11" t="s">
        <v>81</v>
      </c>
      <c r="G211" s="7"/>
      <c r="H211" s="11" t="s">
        <v>82</v>
      </c>
      <c r="I211" s="11" t="s">
        <v>84</v>
      </c>
      <c r="J211" s="11" t="s">
        <v>82</v>
      </c>
      <c r="M211" s="11" t="s">
        <v>4058</v>
      </c>
      <c r="N211" s="21" t="s">
        <v>1049</v>
      </c>
      <c r="O211" s="11" t="s">
        <v>2592</v>
      </c>
      <c r="Q211" s="11" t="s">
        <v>2593</v>
      </c>
      <c r="R211" s="21" t="s">
        <v>3255</v>
      </c>
    </row>
    <row r="212" spans="1:18" ht="63.75" x14ac:dyDescent="0.2">
      <c r="A212" s="11">
        <v>211</v>
      </c>
      <c r="B212" s="11" t="s">
        <v>113</v>
      </c>
      <c r="C212" s="11" t="s">
        <v>2609</v>
      </c>
      <c r="D212" s="11" t="s">
        <v>84</v>
      </c>
      <c r="G212" s="7"/>
      <c r="H212" s="11" t="s">
        <v>82</v>
      </c>
      <c r="I212" s="11" t="s">
        <v>84</v>
      </c>
      <c r="J212" s="11" t="s">
        <v>84</v>
      </c>
      <c r="K212" s="11" t="s">
        <v>2610</v>
      </c>
      <c r="L212" s="21" t="s">
        <v>3901</v>
      </c>
      <c r="M212" s="11" t="s">
        <v>2611</v>
      </c>
      <c r="N212" s="21" t="s">
        <v>3344</v>
      </c>
      <c r="O212" s="11" t="s">
        <v>2612</v>
      </c>
      <c r="P212" s="21" t="s">
        <v>3409</v>
      </c>
      <c r="Q212" s="11" t="s">
        <v>2613</v>
      </c>
      <c r="R212" s="21" t="s">
        <v>3270</v>
      </c>
    </row>
    <row r="213" spans="1:18" ht="114.75" x14ac:dyDescent="0.2">
      <c r="A213" s="11">
        <v>212</v>
      </c>
      <c r="B213" s="11" t="s">
        <v>100</v>
      </c>
      <c r="C213" s="11" t="s">
        <v>4099</v>
      </c>
      <c r="D213" s="11" t="s">
        <v>84</v>
      </c>
      <c r="E213" s="11" t="s">
        <v>2626</v>
      </c>
      <c r="G213" s="7"/>
      <c r="H213" s="11" t="s">
        <v>82</v>
      </c>
      <c r="I213" s="11" t="s">
        <v>82</v>
      </c>
      <c r="J213" s="11" t="s">
        <v>82</v>
      </c>
      <c r="M213" s="11" t="s">
        <v>2627</v>
      </c>
      <c r="N213" s="21" t="s">
        <v>3345</v>
      </c>
      <c r="O213" s="11" t="s">
        <v>2628</v>
      </c>
      <c r="P213" s="21" t="s">
        <v>3428</v>
      </c>
      <c r="Q213" s="11" t="s">
        <v>2629</v>
      </c>
      <c r="R213" s="21" t="s">
        <v>1058</v>
      </c>
    </row>
    <row r="214" spans="1:18" x14ac:dyDescent="0.2">
      <c r="A214" s="11">
        <v>213</v>
      </c>
      <c r="B214" s="11" t="s">
        <v>93</v>
      </c>
      <c r="C214" s="11" t="s">
        <v>2458</v>
      </c>
      <c r="D214" s="11" t="s">
        <v>82</v>
      </c>
      <c r="F214" s="11" t="s">
        <v>246</v>
      </c>
      <c r="G214" s="7"/>
      <c r="H214" s="11" t="s">
        <v>84</v>
      </c>
      <c r="I214" s="11" t="s">
        <v>84</v>
      </c>
      <c r="J214" s="11" t="s">
        <v>82</v>
      </c>
      <c r="O214" s="11" t="s">
        <v>2634</v>
      </c>
      <c r="P214" s="21" t="s">
        <v>1055</v>
      </c>
      <c r="Q214" s="11" t="s">
        <v>2635</v>
      </c>
      <c r="R214" s="21"/>
    </row>
    <row r="215" spans="1:18" ht="38.25" x14ac:dyDescent="0.2">
      <c r="A215" s="11">
        <v>214</v>
      </c>
      <c r="B215" s="11" t="s">
        <v>113</v>
      </c>
      <c r="C215" s="11" t="s">
        <v>2638</v>
      </c>
      <c r="D215" s="11" t="s">
        <v>82</v>
      </c>
      <c r="F215" s="11" t="s">
        <v>246</v>
      </c>
      <c r="G215" s="7"/>
      <c r="H215" s="11" t="s">
        <v>82</v>
      </c>
      <c r="I215" s="11" t="s">
        <v>82</v>
      </c>
      <c r="J215" s="11" t="s">
        <v>82</v>
      </c>
      <c r="M215" s="11" t="s">
        <v>2639</v>
      </c>
      <c r="N215" s="21" t="s">
        <v>3346</v>
      </c>
      <c r="O215" s="11" t="s">
        <v>164</v>
      </c>
      <c r="P215" s="21" t="s">
        <v>1431</v>
      </c>
      <c r="R215" s="21"/>
    </row>
    <row r="216" spans="1:18" x14ac:dyDescent="0.2">
      <c r="A216" s="11">
        <v>215</v>
      </c>
      <c r="B216" s="33"/>
      <c r="C216" s="33"/>
      <c r="D216" s="33" t="s">
        <v>80</v>
      </c>
      <c r="E216" s="33"/>
      <c r="F216" s="33"/>
      <c r="G216" s="52"/>
      <c r="H216" s="33" t="s">
        <v>80</v>
      </c>
      <c r="I216" s="33" t="s">
        <v>80</v>
      </c>
      <c r="J216" s="33" t="s">
        <v>80</v>
      </c>
      <c r="K216" s="33"/>
      <c r="L216" s="45"/>
      <c r="M216" s="33"/>
      <c r="O216" s="33"/>
      <c r="Q216" s="33"/>
      <c r="R216" s="21"/>
    </row>
    <row r="217" spans="1:18" ht="38.25" x14ac:dyDescent="0.2">
      <c r="A217" s="11">
        <v>216</v>
      </c>
      <c r="B217" s="11" t="s">
        <v>100</v>
      </c>
      <c r="D217" s="11" t="s">
        <v>82</v>
      </c>
      <c r="F217" s="11" t="s">
        <v>246</v>
      </c>
      <c r="G217" s="7"/>
      <c r="H217" s="11" t="s">
        <v>84</v>
      </c>
      <c r="I217" s="11" t="s">
        <v>84</v>
      </c>
      <c r="J217" s="11" t="s">
        <v>82</v>
      </c>
      <c r="M217" s="11" t="s">
        <v>2650</v>
      </c>
      <c r="N217" s="21" t="s">
        <v>1043</v>
      </c>
      <c r="O217" s="11" t="s">
        <v>2651</v>
      </c>
      <c r="P217" s="21" t="s">
        <v>3418</v>
      </c>
      <c r="Q217" s="11" t="s">
        <v>2652</v>
      </c>
      <c r="R217" s="21" t="s">
        <v>3290</v>
      </c>
    </row>
    <row r="218" spans="1:18" x14ac:dyDescent="0.2">
      <c r="A218" s="11">
        <v>217</v>
      </c>
      <c r="B218" s="11" t="s">
        <v>113</v>
      </c>
      <c r="D218" s="11" t="s">
        <v>84</v>
      </c>
      <c r="G218" s="7"/>
      <c r="H218" s="11" t="s">
        <v>84</v>
      </c>
      <c r="I218" s="11" t="s">
        <v>82</v>
      </c>
      <c r="J218" s="11" t="s">
        <v>84</v>
      </c>
      <c r="R218" s="21"/>
    </row>
    <row r="219" spans="1:18" ht="38.25" x14ac:dyDescent="0.2">
      <c r="A219" s="11">
        <v>218</v>
      </c>
      <c r="B219" s="11" t="s">
        <v>93</v>
      </c>
      <c r="C219" s="64" t="s">
        <v>2662</v>
      </c>
      <c r="D219" s="11" t="s">
        <v>82</v>
      </c>
      <c r="F219" s="11" t="s">
        <v>81</v>
      </c>
      <c r="G219" s="19" t="s">
        <v>2663</v>
      </c>
      <c r="H219" s="11" t="s">
        <v>82</v>
      </c>
      <c r="I219" s="11" t="s">
        <v>82</v>
      </c>
      <c r="J219" s="11" t="s">
        <v>82</v>
      </c>
      <c r="M219" s="11" t="s">
        <v>2664</v>
      </c>
      <c r="N219" s="21" t="s">
        <v>3347</v>
      </c>
      <c r="O219" s="11" t="s">
        <v>2665</v>
      </c>
      <c r="P219" s="21" t="s">
        <v>1498</v>
      </c>
      <c r="Q219" s="11" t="s">
        <v>2666</v>
      </c>
      <c r="R219" s="21" t="s">
        <v>3271</v>
      </c>
    </row>
    <row r="220" spans="1:18" x14ac:dyDescent="0.2">
      <c r="A220" s="11">
        <v>219</v>
      </c>
      <c r="B220" s="11" t="s">
        <v>93</v>
      </c>
      <c r="D220" s="11" t="s">
        <v>82</v>
      </c>
      <c r="F220" s="11" t="s">
        <v>81</v>
      </c>
      <c r="H220" s="11" t="s">
        <v>84</v>
      </c>
      <c r="I220" s="11" t="s">
        <v>84</v>
      </c>
      <c r="J220" s="11" t="s">
        <v>82</v>
      </c>
      <c r="R220" s="21"/>
    </row>
    <row r="221" spans="1:18" ht="38.25" x14ac:dyDescent="0.2">
      <c r="A221" s="11">
        <v>220</v>
      </c>
      <c r="B221" s="11" t="s">
        <v>93</v>
      </c>
      <c r="C221" s="11" t="s">
        <v>2672</v>
      </c>
      <c r="D221" s="11" t="s">
        <v>82</v>
      </c>
      <c r="F221" s="11" t="s">
        <v>81</v>
      </c>
      <c r="H221" s="11" t="s">
        <v>82</v>
      </c>
      <c r="I221" s="11" t="s">
        <v>82</v>
      </c>
      <c r="J221" s="11" t="s">
        <v>82</v>
      </c>
      <c r="M221" s="11" t="s">
        <v>2673</v>
      </c>
      <c r="N221" s="21" t="s">
        <v>1040</v>
      </c>
      <c r="O221" s="11" t="s">
        <v>4059</v>
      </c>
      <c r="P221" s="21" t="s">
        <v>3424</v>
      </c>
      <c r="Q221" s="11" t="s">
        <v>2675</v>
      </c>
      <c r="R221" s="21" t="s">
        <v>3272</v>
      </c>
    </row>
    <row r="222" spans="1:18" ht="38.25" x14ac:dyDescent="0.2">
      <c r="A222" s="11">
        <v>221</v>
      </c>
      <c r="B222" s="11" t="s">
        <v>100</v>
      </c>
      <c r="C222" s="11" t="s">
        <v>2678</v>
      </c>
      <c r="D222" s="11" t="s">
        <v>82</v>
      </c>
      <c r="F222" s="11" t="s">
        <v>246</v>
      </c>
      <c r="H222" s="11" t="s">
        <v>82</v>
      </c>
      <c r="I222" s="11" t="s">
        <v>82</v>
      </c>
      <c r="J222" s="11" t="s">
        <v>82</v>
      </c>
      <c r="M222" s="11" t="s">
        <v>2679</v>
      </c>
      <c r="N222" s="21" t="s">
        <v>3348</v>
      </c>
      <c r="O222" s="11" t="s">
        <v>2680</v>
      </c>
      <c r="P222" s="21" t="s">
        <v>1498</v>
      </c>
      <c r="Q222" s="11" t="s">
        <v>2681</v>
      </c>
      <c r="R222" s="21" t="s">
        <v>899</v>
      </c>
    </row>
    <row r="223" spans="1:18" ht="25.5" x14ac:dyDescent="0.2">
      <c r="A223" s="11">
        <v>222</v>
      </c>
      <c r="B223" s="11" t="s">
        <v>113</v>
      </c>
      <c r="C223" s="11" t="s">
        <v>2689</v>
      </c>
      <c r="D223" s="11" t="s">
        <v>82</v>
      </c>
      <c r="F223" s="11" t="s">
        <v>81</v>
      </c>
      <c r="H223" s="11" t="s">
        <v>82</v>
      </c>
      <c r="I223" s="11" t="s">
        <v>82</v>
      </c>
      <c r="J223" s="11" t="s">
        <v>82</v>
      </c>
      <c r="O223" s="11" t="s">
        <v>2690</v>
      </c>
      <c r="P223" s="21" t="s">
        <v>3263</v>
      </c>
      <c r="Q223" s="11" t="s">
        <v>2691</v>
      </c>
      <c r="R223" s="21" t="s">
        <v>1057</v>
      </c>
    </row>
    <row r="224" spans="1:18" x14ac:dyDescent="0.2">
      <c r="A224" s="11">
        <v>223</v>
      </c>
      <c r="B224" s="33"/>
      <c r="C224" s="33"/>
      <c r="D224" s="33" t="s">
        <v>80</v>
      </c>
      <c r="E224" s="33"/>
      <c r="F224" s="33"/>
      <c r="G224" s="33"/>
      <c r="H224" s="33" t="s">
        <v>80</v>
      </c>
      <c r="I224" s="33" t="s">
        <v>80</v>
      </c>
      <c r="J224" s="33" t="s">
        <v>80</v>
      </c>
      <c r="K224" s="33"/>
      <c r="L224" s="45"/>
      <c r="M224" s="33"/>
      <c r="O224" s="33"/>
      <c r="Q224" s="33"/>
      <c r="R224" s="21"/>
    </row>
    <row r="225" spans="1:18" ht="102" x14ac:dyDescent="0.2">
      <c r="A225" s="11">
        <v>224</v>
      </c>
      <c r="B225" s="11" t="s">
        <v>113</v>
      </c>
      <c r="C225" s="11" t="s">
        <v>2702</v>
      </c>
      <c r="D225" s="11" t="s">
        <v>82</v>
      </c>
      <c r="F225" s="11" t="s">
        <v>246</v>
      </c>
      <c r="H225" s="11" t="s">
        <v>82</v>
      </c>
      <c r="I225" s="11" t="s">
        <v>82</v>
      </c>
      <c r="J225" s="11" t="s">
        <v>82</v>
      </c>
      <c r="M225" s="11" t="s">
        <v>2703</v>
      </c>
      <c r="N225" s="21" t="s">
        <v>3353</v>
      </c>
      <c r="O225" s="11" t="s">
        <v>2704</v>
      </c>
      <c r="Q225" s="11" t="s">
        <v>2705</v>
      </c>
      <c r="R225" s="21" t="s">
        <v>3262</v>
      </c>
    </row>
    <row r="226" spans="1:18" ht="38.25" x14ac:dyDescent="0.2">
      <c r="A226" s="11">
        <v>225</v>
      </c>
      <c r="B226" s="11" t="s">
        <v>113</v>
      </c>
      <c r="D226" s="11" t="s">
        <v>84</v>
      </c>
      <c r="H226" s="11" t="s">
        <v>82</v>
      </c>
      <c r="I226" s="11" t="s">
        <v>82</v>
      </c>
      <c r="J226" s="11" t="s">
        <v>84</v>
      </c>
      <c r="O226" s="11" t="s">
        <v>2716</v>
      </c>
      <c r="P226" s="21" t="s">
        <v>3428</v>
      </c>
      <c r="Q226" s="11" t="s">
        <v>2717</v>
      </c>
      <c r="R226" s="21" t="s">
        <v>3293</v>
      </c>
    </row>
    <row r="227" spans="1:18" ht="25.5" x14ac:dyDescent="0.2">
      <c r="A227" s="11">
        <v>226</v>
      </c>
      <c r="B227" s="11" t="s">
        <v>113</v>
      </c>
      <c r="C227" s="11" t="s">
        <v>2725</v>
      </c>
      <c r="D227" s="11" t="s">
        <v>82</v>
      </c>
      <c r="F227" s="11" t="s">
        <v>246</v>
      </c>
      <c r="G227" s="11" t="s">
        <v>2726</v>
      </c>
      <c r="H227" s="11" t="s">
        <v>84</v>
      </c>
      <c r="I227" s="11" t="s">
        <v>84</v>
      </c>
      <c r="J227" s="11" t="s">
        <v>82</v>
      </c>
      <c r="M227" s="11" t="s">
        <v>2727</v>
      </c>
      <c r="N227" s="21" t="s">
        <v>3327</v>
      </c>
      <c r="O227" s="11" t="s">
        <v>2728</v>
      </c>
      <c r="P227" s="21" t="s">
        <v>3435</v>
      </c>
      <c r="Q227" s="11" t="s">
        <v>2728</v>
      </c>
      <c r="R227" s="21" t="s">
        <v>899</v>
      </c>
    </row>
    <row r="228" spans="1:18" ht="76.5" x14ac:dyDescent="0.2">
      <c r="A228" s="11">
        <v>227</v>
      </c>
      <c r="B228" s="11" t="s">
        <v>113</v>
      </c>
      <c r="C228" s="11" t="s">
        <v>2734</v>
      </c>
      <c r="D228" s="11" t="s">
        <v>84</v>
      </c>
      <c r="H228" s="11" t="s">
        <v>82</v>
      </c>
      <c r="I228" s="11" t="s">
        <v>82</v>
      </c>
      <c r="J228" s="11" t="s">
        <v>82</v>
      </c>
      <c r="M228" s="11" t="s">
        <v>2735</v>
      </c>
      <c r="N228" s="21" t="s">
        <v>3354</v>
      </c>
      <c r="O228" s="11" t="s">
        <v>2736</v>
      </c>
      <c r="P228" s="21" t="s">
        <v>3428</v>
      </c>
      <c r="Q228" s="11" t="s">
        <v>2737</v>
      </c>
      <c r="R228" s="21" t="s">
        <v>1059</v>
      </c>
    </row>
    <row r="229" spans="1:18" x14ac:dyDescent="0.2">
      <c r="A229" s="11">
        <v>228</v>
      </c>
      <c r="B229" s="11" t="s">
        <v>93</v>
      </c>
      <c r="D229" s="11" t="s">
        <v>84</v>
      </c>
      <c r="H229" s="11" t="s">
        <v>82</v>
      </c>
      <c r="I229" s="11" t="s">
        <v>84</v>
      </c>
      <c r="J229" s="11" t="s">
        <v>84</v>
      </c>
      <c r="R229" s="21"/>
    </row>
    <row r="230" spans="1:18" ht="25.5" x14ac:dyDescent="0.2">
      <c r="A230" s="11">
        <v>229</v>
      </c>
      <c r="B230" s="11" t="s">
        <v>113</v>
      </c>
      <c r="C230" s="11" t="s">
        <v>2742</v>
      </c>
      <c r="D230" s="11" t="s">
        <v>84</v>
      </c>
      <c r="H230" s="11" t="s">
        <v>82</v>
      </c>
      <c r="I230" s="11" t="s">
        <v>82</v>
      </c>
      <c r="J230" s="11" t="s">
        <v>82</v>
      </c>
      <c r="O230" s="11" t="s">
        <v>4060</v>
      </c>
      <c r="P230" s="21" t="s">
        <v>3404</v>
      </c>
      <c r="Q230" s="11" t="s">
        <v>2707</v>
      </c>
      <c r="R230" s="21" t="s">
        <v>3294</v>
      </c>
    </row>
    <row r="231" spans="1:18" x14ac:dyDescent="0.2">
      <c r="A231" s="11">
        <v>230</v>
      </c>
      <c r="B231" s="11" t="s">
        <v>93</v>
      </c>
      <c r="D231" s="11" t="s">
        <v>84</v>
      </c>
      <c r="H231" s="11" t="s">
        <v>82</v>
      </c>
      <c r="I231" s="11" t="s">
        <v>82</v>
      </c>
      <c r="J231" s="11" t="s">
        <v>84</v>
      </c>
      <c r="K231" s="11" t="s">
        <v>2745</v>
      </c>
      <c r="L231" s="21" t="s">
        <v>3902</v>
      </c>
      <c r="R231" s="21"/>
    </row>
    <row r="232" spans="1:18" ht="165.75" x14ac:dyDescent="0.2">
      <c r="A232" s="11">
        <v>231</v>
      </c>
      <c r="B232" s="11" t="s">
        <v>113</v>
      </c>
      <c r="C232" s="19" t="s">
        <v>2761</v>
      </c>
      <c r="D232" s="11" t="s">
        <v>84</v>
      </c>
      <c r="E232" s="11" t="s">
        <v>2762</v>
      </c>
      <c r="H232" s="11" t="s">
        <v>82</v>
      </c>
      <c r="I232" s="11" t="s">
        <v>84</v>
      </c>
      <c r="J232" s="11" t="s">
        <v>84</v>
      </c>
      <c r="K232" s="11" t="s">
        <v>2763</v>
      </c>
      <c r="L232" s="21" t="s">
        <v>3914</v>
      </c>
      <c r="M232" s="11" t="s">
        <v>2764</v>
      </c>
      <c r="N232" s="21" t="s">
        <v>3355</v>
      </c>
      <c r="O232" s="11" t="s">
        <v>2765</v>
      </c>
      <c r="P232" s="21" t="s">
        <v>3275</v>
      </c>
      <c r="Q232" s="11" t="s">
        <v>2766</v>
      </c>
      <c r="R232" s="21" t="s">
        <v>3295</v>
      </c>
    </row>
    <row r="233" spans="1:18" x14ac:dyDescent="0.2">
      <c r="A233" s="11">
        <v>232</v>
      </c>
      <c r="B233" s="11" t="s">
        <v>113</v>
      </c>
      <c r="D233" s="11" t="s">
        <v>84</v>
      </c>
      <c r="H233" s="11" t="s">
        <v>84</v>
      </c>
      <c r="I233" s="11" t="s">
        <v>84</v>
      </c>
      <c r="J233" s="11" t="s">
        <v>84</v>
      </c>
      <c r="R233" s="21"/>
    </row>
    <row r="234" spans="1:18" ht="38.25" x14ac:dyDescent="0.2">
      <c r="A234" s="11">
        <v>233</v>
      </c>
      <c r="B234" s="11" t="s">
        <v>113</v>
      </c>
      <c r="D234" s="11" t="s">
        <v>84</v>
      </c>
      <c r="H234" s="11" t="s">
        <v>84</v>
      </c>
      <c r="I234" s="11" t="s">
        <v>82</v>
      </c>
      <c r="J234" s="11" t="s">
        <v>82</v>
      </c>
      <c r="O234" s="11" t="s">
        <v>2775</v>
      </c>
      <c r="P234" s="21" t="s">
        <v>3406</v>
      </c>
      <c r="Q234" s="11" t="s">
        <v>2776</v>
      </c>
      <c r="R234" s="21" t="s">
        <v>1071</v>
      </c>
    </row>
    <row r="235" spans="1:18" x14ac:dyDescent="0.2">
      <c r="A235" s="11">
        <v>234</v>
      </c>
      <c r="B235" s="11" t="s">
        <v>113</v>
      </c>
      <c r="D235" s="11" t="s">
        <v>84</v>
      </c>
      <c r="H235" s="11" t="s">
        <v>82</v>
      </c>
      <c r="I235" s="11" t="s">
        <v>82</v>
      </c>
      <c r="J235" s="11" t="s">
        <v>84</v>
      </c>
      <c r="R235" s="21"/>
    </row>
    <row r="236" spans="1:18" ht="63.75" x14ac:dyDescent="0.2">
      <c r="A236" s="11">
        <v>235</v>
      </c>
      <c r="B236" s="11" t="s">
        <v>93</v>
      </c>
      <c r="C236" s="11" t="s">
        <v>2792</v>
      </c>
      <c r="D236" s="11" t="s">
        <v>82</v>
      </c>
      <c r="F236" s="11" t="s">
        <v>81</v>
      </c>
      <c r="G236" s="11" t="s">
        <v>2793</v>
      </c>
      <c r="H236" s="11" t="s">
        <v>82</v>
      </c>
      <c r="I236" s="11" t="s">
        <v>84</v>
      </c>
      <c r="J236" s="11" t="s">
        <v>84</v>
      </c>
      <c r="K236" s="11" t="s">
        <v>2794</v>
      </c>
      <c r="L236" s="21" t="s">
        <v>3915</v>
      </c>
      <c r="M236" s="11" t="s">
        <v>2211</v>
      </c>
      <c r="N236" s="21" t="s">
        <v>3356</v>
      </c>
      <c r="O236" s="11" t="s">
        <v>2795</v>
      </c>
      <c r="P236" s="21" t="s">
        <v>2707</v>
      </c>
      <c r="Q236" s="11" t="s">
        <v>2796</v>
      </c>
      <c r="R236" s="21" t="s">
        <v>899</v>
      </c>
    </row>
    <row r="237" spans="1:18" ht="25.5" x14ac:dyDescent="0.2">
      <c r="A237" s="11">
        <v>236</v>
      </c>
      <c r="B237" s="11" t="s">
        <v>93</v>
      </c>
      <c r="C237" s="11" t="s">
        <v>2804</v>
      </c>
      <c r="D237" s="11" t="s">
        <v>82</v>
      </c>
      <c r="F237" s="11" t="s">
        <v>81</v>
      </c>
      <c r="H237" s="11" t="s">
        <v>84</v>
      </c>
      <c r="I237" s="11" t="s">
        <v>82</v>
      </c>
      <c r="J237" s="11" t="s">
        <v>84</v>
      </c>
      <c r="K237" s="11" t="s">
        <v>2805</v>
      </c>
      <c r="L237" s="21" t="s">
        <v>3911</v>
      </c>
      <c r="M237" s="11" t="s">
        <v>2805</v>
      </c>
      <c r="N237" s="21" t="s">
        <v>3354</v>
      </c>
      <c r="O237" s="11" t="s">
        <v>2805</v>
      </c>
      <c r="P237" s="21" t="s">
        <v>3410</v>
      </c>
      <c r="Q237" s="11" t="s">
        <v>2806</v>
      </c>
      <c r="R237" s="21" t="s">
        <v>1059</v>
      </c>
    </row>
    <row r="238" spans="1:18" ht="25.5" x14ac:dyDescent="0.2">
      <c r="A238" s="11">
        <v>237</v>
      </c>
      <c r="B238" s="11" t="s">
        <v>100</v>
      </c>
      <c r="C238" s="11" t="s">
        <v>2819</v>
      </c>
      <c r="D238" s="11" t="s">
        <v>84</v>
      </c>
      <c r="H238" s="11" t="s">
        <v>82</v>
      </c>
      <c r="I238" s="11" t="s">
        <v>82</v>
      </c>
      <c r="J238" s="11" t="s">
        <v>82</v>
      </c>
      <c r="M238" s="11" t="s">
        <v>2820</v>
      </c>
      <c r="N238" s="21" t="s">
        <v>3357</v>
      </c>
      <c r="O238" s="28" t="s">
        <v>2821</v>
      </c>
      <c r="P238" s="21" t="s">
        <v>2707</v>
      </c>
      <c r="Q238" s="11" t="s">
        <v>2822</v>
      </c>
      <c r="R238" s="21" t="s">
        <v>3275</v>
      </c>
    </row>
    <row r="239" spans="1:18" ht="38.25" x14ac:dyDescent="0.2">
      <c r="A239" s="11">
        <v>238</v>
      </c>
      <c r="B239" s="11" t="s">
        <v>93</v>
      </c>
      <c r="C239" s="11" t="s">
        <v>2828</v>
      </c>
      <c r="D239" s="11" t="s">
        <v>82</v>
      </c>
      <c r="F239" s="11" t="s">
        <v>81</v>
      </c>
      <c r="H239" s="11" t="s">
        <v>82</v>
      </c>
      <c r="I239" s="11" t="s">
        <v>82</v>
      </c>
      <c r="J239" s="11" t="s">
        <v>82</v>
      </c>
      <c r="M239" s="11" t="s">
        <v>2829</v>
      </c>
      <c r="N239" s="21" t="s">
        <v>3313</v>
      </c>
      <c r="O239" s="11" t="s">
        <v>2830</v>
      </c>
      <c r="P239" s="21" t="s">
        <v>3411</v>
      </c>
      <c r="Q239" s="11" t="s">
        <v>2831</v>
      </c>
      <c r="R239" s="21" t="s">
        <v>899</v>
      </c>
    </row>
    <row r="240" spans="1:18" x14ac:dyDescent="0.2">
      <c r="A240" s="11">
        <v>239</v>
      </c>
      <c r="B240" s="11" t="s">
        <v>113</v>
      </c>
      <c r="C240" s="11" t="s">
        <v>2838</v>
      </c>
      <c r="D240" s="11" t="s">
        <v>82</v>
      </c>
      <c r="F240" s="11" t="s">
        <v>246</v>
      </c>
      <c r="H240" s="11" t="s">
        <v>84</v>
      </c>
      <c r="I240" s="11" t="s">
        <v>84</v>
      </c>
      <c r="J240" s="11" t="s">
        <v>82</v>
      </c>
      <c r="M240" s="11" t="s">
        <v>2839</v>
      </c>
      <c r="N240" s="21" t="s">
        <v>651</v>
      </c>
      <c r="O240" s="11" t="s">
        <v>2840</v>
      </c>
      <c r="P240" s="21" t="s">
        <v>1055</v>
      </c>
      <c r="Q240" s="11" t="s">
        <v>2841</v>
      </c>
      <c r="R240" s="21" t="s">
        <v>3269</v>
      </c>
    </row>
    <row r="241" spans="1:18" x14ac:dyDescent="0.2">
      <c r="A241" s="11">
        <v>240</v>
      </c>
      <c r="B241" s="33"/>
      <c r="C241" s="33"/>
      <c r="D241" s="33" t="s">
        <v>80</v>
      </c>
      <c r="E241" s="33"/>
      <c r="F241" s="33"/>
      <c r="G241" s="33"/>
      <c r="H241" s="33" t="s">
        <v>80</v>
      </c>
      <c r="I241" s="33" t="s">
        <v>80</v>
      </c>
      <c r="J241" s="33" t="s">
        <v>80</v>
      </c>
      <c r="K241" s="33"/>
      <c r="L241" s="45"/>
      <c r="M241" s="33"/>
      <c r="O241" s="33"/>
      <c r="Q241" s="33"/>
      <c r="R241" s="21"/>
    </row>
    <row r="242" spans="1:18" ht="25.5" x14ac:dyDescent="0.2">
      <c r="A242" s="11">
        <v>241</v>
      </c>
      <c r="B242" s="11" t="s">
        <v>113</v>
      </c>
      <c r="C242" s="11" t="s">
        <v>2869</v>
      </c>
      <c r="D242" s="11" t="s">
        <v>82</v>
      </c>
      <c r="F242" s="11" t="s">
        <v>81</v>
      </c>
      <c r="G242" s="11" t="s">
        <v>2870</v>
      </c>
      <c r="H242" s="11" t="s">
        <v>82</v>
      </c>
      <c r="I242" s="11" t="s">
        <v>84</v>
      </c>
      <c r="J242" s="11" t="s">
        <v>82</v>
      </c>
      <c r="M242" s="11" t="s">
        <v>2871</v>
      </c>
      <c r="N242" s="21" t="s">
        <v>3327</v>
      </c>
      <c r="O242" s="11" t="s">
        <v>2872</v>
      </c>
      <c r="P242" s="21" t="s">
        <v>3451</v>
      </c>
      <c r="Q242" s="11" t="s">
        <v>2873</v>
      </c>
      <c r="R242" s="21" t="s">
        <v>1057</v>
      </c>
    </row>
    <row r="243" spans="1:18" ht="63.75" x14ac:dyDescent="0.2">
      <c r="A243" s="11">
        <v>242</v>
      </c>
      <c r="B243" s="11" t="s">
        <v>113</v>
      </c>
      <c r="D243" s="11" t="s">
        <v>84</v>
      </c>
      <c r="E243" s="11" t="s">
        <v>2887</v>
      </c>
      <c r="H243" s="11" t="s">
        <v>82</v>
      </c>
      <c r="I243" s="11" t="s">
        <v>84</v>
      </c>
      <c r="J243" s="11" t="s">
        <v>82</v>
      </c>
      <c r="O243" s="11" t="s">
        <v>2888</v>
      </c>
      <c r="P243" s="21" t="s">
        <v>1498</v>
      </c>
      <c r="Q243" s="11" t="s">
        <v>2889</v>
      </c>
      <c r="R243" s="21" t="s">
        <v>899</v>
      </c>
    </row>
    <row r="244" spans="1:18" x14ac:dyDescent="0.2">
      <c r="A244" s="11">
        <v>243</v>
      </c>
      <c r="B244" s="11" t="s">
        <v>100</v>
      </c>
      <c r="D244" s="11" t="s">
        <v>84</v>
      </c>
      <c r="H244" s="11" t="s">
        <v>82</v>
      </c>
      <c r="I244" s="11" t="s">
        <v>84</v>
      </c>
      <c r="J244" s="11" t="s">
        <v>82</v>
      </c>
      <c r="R244" s="21"/>
    </row>
    <row r="245" spans="1:18" ht="216.75" x14ac:dyDescent="0.2">
      <c r="A245" s="11">
        <v>244</v>
      </c>
      <c r="B245" s="11" t="s">
        <v>93</v>
      </c>
      <c r="C245" s="11" t="s">
        <v>2907</v>
      </c>
      <c r="D245" s="11" t="s">
        <v>82</v>
      </c>
      <c r="F245" s="11" t="s">
        <v>81</v>
      </c>
      <c r="H245" s="11" t="s">
        <v>84</v>
      </c>
      <c r="I245" s="11" t="s">
        <v>84</v>
      </c>
      <c r="J245" s="11" t="s">
        <v>82</v>
      </c>
      <c r="M245" s="11" t="s">
        <v>2908</v>
      </c>
      <c r="N245" s="21" t="s">
        <v>3358</v>
      </c>
      <c r="O245" s="11" t="s">
        <v>4061</v>
      </c>
      <c r="P245" s="21" t="s">
        <v>3440</v>
      </c>
      <c r="Q245" s="11" t="s">
        <v>4100</v>
      </c>
      <c r="R245" s="21" t="s">
        <v>3276</v>
      </c>
    </row>
    <row r="246" spans="1:18" ht="76.5" x14ac:dyDescent="0.2">
      <c r="A246" s="11">
        <v>245</v>
      </c>
      <c r="B246" s="11" t="s">
        <v>113</v>
      </c>
      <c r="C246" s="11" t="s">
        <v>2917</v>
      </c>
      <c r="D246" s="11" t="s">
        <v>82</v>
      </c>
      <c r="F246" s="11" t="s">
        <v>81</v>
      </c>
      <c r="G246" s="11" t="s">
        <v>2918</v>
      </c>
      <c r="H246" s="11" t="s">
        <v>82</v>
      </c>
      <c r="I246" s="11" t="s">
        <v>84</v>
      </c>
      <c r="J246" s="11" t="s">
        <v>84</v>
      </c>
      <c r="K246" s="11" t="s">
        <v>2919</v>
      </c>
      <c r="L246" s="21" t="s">
        <v>3916</v>
      </c>
      <c r="M246" s="11" t="s">
        <v>2920</v>
      </c>
      <c r="N246" s="21" t="s">
        <v>3359</v>
      </c>
      <c r="O246" s="11" t="s">
        <v>2921</v>
      </c>
      <c r="P246" s="21" t="s">
        <v>3436</v>
      </c>
      <c r="Q246" s="11" t="s">
        <v>2922</v>
      </c>
      <c r="R246" s="21" t="s">
        <v>3277</v>
      </c>
    </row>
    <row r="247" spans="1:18" x14ac:dyDescent="0.2">
      <c r="A247" s="11">
        <v>246</v>
      </c>
      <c r="B247" s="11" t="s">
        <v>93</v>
      </c>
      <c r="D247" s="11" t="s">
        <v>84</v>
      </c>
      <c r="H247" s="11" t="s">
        <v>82</v>
      </c>
      <c r="I247" s="11" t="s">
        <v>82</v>
      </c>
      <c r="J247" s="11" t="s">
        <v>84</v>
      </c>
      <c r="R247" s="21"/>
    </row>
    <row r="248" spans="1:18" x14ac:dyDescent="0.2">
      <c r="A248" s="11">
        <v>247</v>
      </c>
      <c r="B248" s="11" t="s">
        <v>113</v>
      </c>
      <c r="D248" s="11" t="s">
        <v>84</v>
      </c>
      <c r="H248" s="11" t="s">
        <v>84</v>
      </c>
      <c r="I248" s="11" t="s">
        <v>82</v>
      </c>
      <c r="J248" s="11" t="s">
        <v>82</v>
      </c>
      <c r="R248" s="21"/>
    </row>
    <row r="249" spans="1:18" x14ac:dyDescent="0.2">
      <c r="A249" s="11">
        <v>248</v>
      </c>
      <c r="B249" s="11" t="s">
        <v>113</v>
      </c>
      <c r="D249" s="11" t="s">
        <v>82</v>
      </c>
      <c r="F249" s="11" t="s">
        <v>81</v>
      </c>
      <c r="H249" s="11" t="s">
        <v>82</v>
      </c>
      <c r="I249" s="11" t="s">
        <v>82</v>
      </c>
      <c r="J249" s="11" t="s">
        <v>84</v>
      </c>
      <c r="R249" s="21"/>
    </row>
    <row r="250" spans="1:18" x14ac:dyDescent="0.2">
      <c r="A250" s="11">
        <v>249</v>
      </c>
      <c r="B250" s="11" t="s">
        <v>93</v>
      </c>
      <c r="D250" s="11" t="s">
        <v>82</v>
      </c>
      <c r="F250" s="11" t="s">
        <v>81</v>
      </c>
      <c r="H250" s="11" t="s">
        <v>82</v>
      </c>
      <c r="I250" s="11" t="s">
        <v>82</v>
      </c>
      <c r="J250" s="11" t="s">
        <v>82</v>
      </c>
      <c r="R250" s="21"/>
    </row>
    <row r="251" spans="1:18" x14ac:dyDescent="0.2">
      <c r="A251" s="11">
        <v>250</v>
      </c>
      <c r="B251" s="11" t="s">
        <v>113</v>
      </c>
      <c r="D251" s="11" t="s">
        <v>82</v>
      </c>
      <c r="F251" s="11" t="s">
        <v>81</v>
      </c>
      <c r="H251" s="11" t="s">
        <v>84</v>
      </c>
      <c r="I251" s="11" t="s">
        <v>84</v>
      </c>
      <c r="J251" s="11" t="s">
        <v>84</v>
      </c>
      <c r="R251" s="21"/>
    </row>
    <row r="252" spans="1:18" ht="51" x14ac:dyDescent="0.2">
      <c r="A252" s="11">
        <v>251</v>
      </c>
      <c r="B252" s="11" t="s">
        <v>93</v>
      </c>
      <c r="D252" s="11" t="s">
        <v>82</v>
      </c>
      <c r="F252" s="11" t="s">
        <v>81</v>
      </c>
      <c r="H252" s="11" t="s">
        <v>84</v>
      </c>
      <c r="I252" s="11" t="s">
        <v>84</v>
      </c>
      <c r="J252" s="11" t="s">
        <v>84</v>
      </c>
      <c r="K252" s="11" t="s">
        <v>2940</v>
      </c>
      <c r="L252" s="21" t="s">
        <v>3901</v>
      </c>
      <c r="M252" s="11" t="s">
        <v>4062</v>
      </c>
      <c r="N252" s="21" t="s">
        <v>3360</v>
      </c>
      <c r="O252" s="11" t="s">
        <v>2942</v>
      </c>
      <c r="P252" s="21" t="s">
        <v>1055</v>
      </c>
      <c r="Q252" s="11" t="s">
        <v>2943</v>
      </c>
      <c r="R252" s="21" t="s">
        <v>1059</v>
      </c>
    </row>
    <row r="253" spans="1:18" ht="114.75" x14ac:dyDescent="0.2">
      <c r="A253" s="11">
        <v>252</v>
      </c>
      <c r="B253" s="11" t="s">
        <v>100</v>
      </c>
      <c r="C253" s="11" t="s">
        <v>4101</v>
      </c>
      <c r="D253" s="11" t="s">
        <v>82</v>
      </c>
      <c r="F253" s="11" t="s">
        <v>246</v>
      </c>
      <c r="G253" s="11" t="s">
        <v>2960</v>
      </c>
      <c r="H253" s="11" t="s">
        <v>84</v>
      </c>
      <c r="I253" s="11" t="s">
        <v>84</v>
      </c>
      <c r="J253" s="11" t="s">
        <v>84</v>
      </c>
      <c r="K253" s="11" t="s">
        <v>2961</v>
      </c>
      <c r="L253" s="21" t="s">
        <v>3917</v>
      </c>
      <c r="M253" s="11" t="s">
        <v>4063</v>
      </c>
      <c r="N253" s="21" t="s">
        <v>3361</v>
      </c>
      <c r="O253" s="11" t="s">
        <v>4064</v>
      </c>
      <c r="P253" s="21" t="s">
        <v>3412</v>
      </c>
      <c r="Q253" s="11" t="s">
        <v>4102</v>
      </c>
      <c r="R253" s="21" t="s">
        <v>3274</v>
      </c>
    </row>
    <row r="254" spans="1:18" x14ac:dyDescent="0.2">
      <c r="A254" s="11">
        <v>253</v>
      </c>
      <c r="B254" s="11" t="s">
        <v>113</v>
      </c>
      <c r="D254" s="11" t="s">
        <v>84</v>
      </c>
      <c r="H254" s="11" t="s">
        <v>82</v>
      </c>
      <c r="I254" s="11" t="s">
        <v>82</v>
      </c>
      <c r="J254" s="11" t="s">
        <v>82</v>
      </c>
      <c r="R254" s="21"/>
    </row>
    <row r="255" spans="1:18" ht="51" x14ac:dyDescent="0.2">
      <c r="A255" s="11">
        <v>254</v>
      </c>
      <c r="B255" s="11" t="s">
        <v>113</v>
      </c>
      <c r="C255" s="11" t="s">
        <v>2974</v>
      </c>
      <c r="D255" s="11" t="s">
        <v>84</v>
      </c>
      <c r="H255" s="11" t="s">
        <v>82</v>
      </c>
      <c r="I255" s="11" t="s">
        <v>82</v>
      </c>
      <c r="J255" s="11" t="s">
        <v>82</v>
      </c>
      <c r="M255" s="11" t="s">
        <v>2975</v>
      </c>
      <c r="N255" s="21" t="s">
        <v>3327</v>
      </c>
      <c r="O255" s="11" t="s">
        <v>2976</v>
      </c>
      <c r="P255" s="21" t="s">
        <v>1498</v>
      </c>
      <c r="Q255" s="11" t="s">
        <v>2977</v>
      </c>
      <c r="R255" s="21" t="s">
        <v>1059</v>
      </c>
    </row>
    <row r="256" spans="1:18" x14ac:dyDescent="0.2">
      <c r="A256" s="11">
        <v>255</v>
      </c>
      <c r="B256" s="33"/>
      <c r="C256" s="33"/>
      <c r="D256" s="33" t="s">
        <v>80</v>
      </c>
      <c r="E256" s="33"/>
      <c r="F256" s="33"/>
      <c r="G256" s="33"/>
      <c r="H256" s="33" t="s">
        <v>80</v>
      </c>
      <c r="I256" s="33" t="s">
        <v>80</v>
      </c>
      <c r="J256" s="33" t="s">
        <v>80</v>
      </c>
      <c r="K256" s="33"/>
      <c r="L256" s="45"/>
      <c r="M256" s="33"/>
      <c r="O256" s="33"/>
      <c r="Q256" s="33"/>
      <c r="R256" s="21"/>
    </row>
    <row r="257" spans="1:18" x14ac:dyDescent="0.2">
      <c r="A257" s="11">
        <v>256</v>
      </c>
      <c r="B257" s="33"/>
      <c r="C257" s="33"/>
      <c r="D257" s="33" t="s">
        <v>80</v>
      </c>
      <c r="E257" s="33"/>
      <c r="F257" s="33"/>
      <c r="G257" s="33"/>
      <c r="H257" s="33" t="s">
        <v>80</v>
      </c>
      <c r="I257" s="33" t="s">
        <v>80</v>
      </c>
      <c r="J257" s="33" t="s">
        <v>80</v>
      </c>
      <c r="K257" s="33"/>
      <c r="L257" s="45"/>
      <c r="M257" s="33"/>
      <c r="O257" s="33"/>
      <c r="Q257" s="33"/>
      <c r="R257" s="21"/>
    </row>
    <row r="258" spans="1:18" ht="89.25" x14ac:dyDescent="0.2">
      <c r="A258" s="11">
        <v>257</v>
      </c>
      <c r="B258" s="11" t="s">
        <v>93</v>
      </c>
      <c r="D258" s="11" t="s">
        <v>82</v>
      </c>
      <c r="F258" s="11" t="s">
        <v>81</v>
      </c>
      <c r="H258" s="11" t="s">
        <v>82</v>
      </c>
      <c r="I258" s="11" t="s">
        <v>84</v>
      </c>
      <c r="J258" s="11" t="s">
        <v>82</v>
      </c>
      <c r="M258" s="11" t="s">
        <v>2988</v>
      </c>
      <c r="N258" s="21" t="s">
        <v>3386</v>
      </c>
      <c r="O258" s="11" t="s">
        <v>2989</v>
      </c>
      <c r="P258" s="21" t="s">
        <v>1043</v>
      </c>
      <c r="Q258" s="11" t="s">
        <v>2990</v>
      </c>
      <c r="R258" s="21" t="s">
        <v>1052</v>
      </c>
    </row>
    <row r="259" spans="1:18" x14ac:dyDescent="0.2">
      <c r="A259" s="11">
        <v>258</v>
      </c>
      <c r="B259" s="11" t="s">
        <v>100</v>
      </c>
      <c r="D259" s="11" t="s">
        <v>82</v>
      </c>
      <c r="F259" s="11" t="s">
        <v>246</v>
      </c>
      <c r="H259" s="11" t="s">
        <v>84</v>
      </c>
      <c r="I259" s="11" t="s">
        <v>82</v>
      </c>
      <c r="J259" s="11" t="s">
        <v>82</v>
      </c>
      <c r="R259" s="21"/>
    </row>
    <row r="260" spans="1:18" ht="63.75" x14ac:dyDescent="0.2">
      <c r="A260" s="11">
        <v>259</v>
      </c>
      <c r="B260" s="11" t="s">
        <v>93</v>
      </c>
      <c r="D260" s="11" t="s">
        <v>82</v>
      </c>
      <c r="F260" s="11" t="s">
        <v>246</v>
      </c>
      <c r="G260" s="11" t="s">
        <v>3058</v>
      </c>
      <c r="H260" s="11" t="s">
        <v>82</v>
      </c>
      <c r="I260" s="11" t="s">
        <v>82</v>
      </c>
      <c r="J260" s="11" t="s">
        <v>84</v>
      </c>
      <c r="K260" s="11" t="s">
        <v>4103</v>
      </c>
      <c r="L260" s="21" t="s">
        <v>3918</v>
      </c>
      <c r="M260" s="11" t="s">
        <v>3060</v>
      </c>
      <c r="N260" s="21" t="s">
        <v>3362</v>
      </c>
      <c r="O260" s="11" t="s">
        <v>3061</v>
      </c>
      <c r="P260" s="21" t="s">
        <v>3406</v>
      </c>
      <c r="Q260" s="11" t="s">
        <v>3062</v>
      </c>
      <c r="R260" s="21" t="s">
        <v>899</v>
      </c>
    </row>
    <row r="261" spans="1:18" ht="76.5" x14ac:dyDescent="0.2">
      <c r="A261" s="11">
        <v>260</v>
      </c>
      <c r="B261" s="11" t="s">
        <v>113</v>
      </c>
      <c r="D261" s="11" t="s">
        <v>82</v>
      </c>
      <c r="F261" s="11" t="s">
        <v>81</v>
      </c>
      <c r="G261" s="11" t="s">
        <v>3074</v>
      </c>
      <c r="H261" s="11" t="s">
        <v>82</v>
      </c>
      <c r="I261" s="11" t="s">
        <v>82</v>
      </c>
      <c r="J261" s="11" t="s">
        <v>82</v>
      </c>
      <c r="O261" s="11" t="s">
        <v>3075</v>
      </c>
      <c r="P261" s="21" t="s">
        <v>1498</v>
      </c>
      <c r="Q261" s="11" t="s">
        <v>3076</v>
      </c>
      <c r="R261" s="21" t="s">
        <v>899</v>
      </c>
    </row>
    <row r="262" spans="1:18" ht="51" x14ac:dyDescent="0.2">
      <c r="A262" s="11">
        <v>261</v>
      </c>
      <c r="B262" s="11" t="s">
        <v>113</v>
      </c>
      <c r="C262" s="11" t="s">
        <v>3087</v>
      </c>
      <c r="D262" s="11" t="s">
        <v>82</v>
      </c>
      <c r="F262" s="11" t="s">
        <v>81</v>
      </c>
      <c r="G262" s="11" t="s">
        <v>3088</v>
      </c>
      <c r="H262" s="11" t="s">
        <v>82</v>
      </c>
      <c r="I262" s="11" t="s">
        <v>82</v>
      </c>
      <c r="J262" s="11" t="s">
        <v>84</v>
      </c>
      <c r="K262" s="11" t="s">
        <v>3089</v>
      </c>
      <c r="L262" s="21" t="s">
        <v>3275</v>
      </c>
      <c r="M262" s="11" t="s">
        <v>3090</v>
      </c>
      <c r="N262" s="21" t="s">
        <v>3363</v>
      </c>
      <c r="O262" s="11" t="s">
        <v>3091</v>
      </c>
      <c r="P262" s="21" t="s">
        <v>3437</v>
      </c>
      <c r="Q262" s="11" t="s">
        <v>3092</v>
      </c>
      <c r="R262" s="21" t="s">
        <v>1057</v>
      </c>
    </row>
    <row r="263" spans="1:18" ht="38.25" x14ac:dyDescent="0.2">
      <c r="A263" s="11">
        <v>262</v>
      </c>
      <c r="B263" s="11" t="s">
        <v>113</v>
      </c>
      <c r="C263" s="11" t="s">
        <v>3100</v>
      </c>
      <c r="D263" s="11" t="s">
        <v>82</v>
      </c>
      <c r="F263" s="11" t="s">
        <v>81</v>
      </c>
      <c r="H263" s="11" t="s">
        <v>82</v>
      </c>
      <c r="I263" s="11" t="s">
        <v>82</v>
      </c>
      <c r="J263" s="11" t="s">
        <v>82</v>
      </c>
      <c r="M263" s="11" t="s">
        <v>3101</v>
      </c>
      <c r="N263" s="21" t="s">
        <v>3364</v>
      </c>
      <c r="O263" s="64" t="s">
        <v>3102</v>
      </c>
      <c r="P263" s="21" t="s">
        <v>3413</v>
      </c>
      <c r="Q263" s="11" t="s">
        <v>4104</v>
      </c>
      <c r="R263" s="21" t="s">
        <v>1057</v>
      </c>
    </row>
    <row r="264" spans="1:18" ht="51" x14ac:dyDescent="0.2">
      <c r="A264" s="11">
        <v>263</v>
      </c>
      <c r="B264" s="11" t="s">
        <v>93</v>
      </c>
      <c r="D264" s="11" t="s">
        <v>84</v>
      </c>
      <c r="H264" s="11" t="s">
        <v>84</v>
      </c>
      <c r="I264" s="11" t="s">
        <v>84</v>
      </c>
      <c r="J264" s="11" t="s">
        <v>82</v>
      </c>
      <c r="M264" s="11" t="s">
        <v>3105</v>
      </c>
      <c r="N264" s="21" t="s">
        <v>3365</v>
      </c>
      <c r="O264" s="11" t="s">
        <v>3106</v>
      </c>
      <c r="P264" s="21" t="s">
        <v>1431</v>
      </c>
      <c r="Q264" s="11" t="s">
        <v>3107</v>
      </c>
      <c r="R264" s="21" t="s">
        <v>1057</v>
      </c>
    </row>
    <row r="265" spans="1:18" ht="38.25" x14ac:dyDescent="0.2">
      <c r="A265" s="11">
        <v>264</v>
      </c>
      <c r="B265" s="11" t="s">
        <v>93</v>
      </c>
      <c r="C265" s="11" t="s">
        <v>3113</v>
      </c>
      <c r="D265" s="11" t="s">
        <v>82</v>
      </c>
      <c r="F265" s="11" t="s">
        <v>81</v>
      </c>
      <c r="G265" s="11" t="s">
        <v>3114</v>
      </c>
      <c r="H265" s="11" t="s">
        <v>84</v>
      </c>
      <c r="I265" s="11" t="s">
        <v>84</v>
      </c>
      <c r="J265" s="11" t="s">
        <v>82</v>
      </c>
      <c r="M265" s="11" t="s">
        <v>3115</v>
      </c>
      <c r="N265" s="21" t="s">
        <v>3366</v>
      </c>
      <c r="O265" s="11" t="s">
        <v>3116</v>
      </c>
      <c r="P265" s="21" t="s">
        <v>3421</v>
      </c>
      <c r="Q265" s="11" t="s">
        <v>4105</v>
      </c>
      <c r="R265" s="21" t="s">
        <v>3278</v>
      </c>
    </row>
    <row r="266" spans="1:18" x14ac:dyDescent="0.2">
      <c r="A266" s="11">
        <v>265</v>
      </c>
      <c r="B266" s="11" t="s">
        <v>113</v>
      </c>
      <c r="D266" s="11" t="s">
        <v>84</v>
      </c>
      <c r="H266" s="11" t="s">
        <v>84</v>
      </c>
      <c r="I266" s="11" t="s">
        <v>84</v>
      </c>
      <c r="J266" s="11" t="s">
        <v>82</v>
      </c>
      <c r="R266" s="21"/>
    </row>
    <row r="267" spans="1:18" x14ac:dyDescent="0.2">
      <c r="A267" s="11">
        <v>266</v>
      </c>
      <c r="B267" s="11" t="s">
        <v>93</v>
      </c>
      <c r="D267" s="11" t="s">
        <v>84</v>
      </c>
      <c r="H267" s="11" t="s">
        <v>84</v>
      </c>
      <c r="I267" s="11" t="s">
        <v>84</v>
      </c>
      <c r="J267" s="11" t="s">
        <v>82</v>
      </c>
      <c r="R267" s="21"/>
    </row>
    <row r="268" spans="1:18" ht="76.5" x14ac:dyDescent="0.2">
      <c r="A268" s="11">
        <v>267</v>
      </c>
      <c r="B268" s="11" t="s">
        <v>93</v>
      </c>
      <c r="C268" s="7" t="s">
        <v>3874</v>
      </c>
      <c r="D268" s="11" t="s">
        <v>82</v>
      </c>
      <c r="F268" s="11" t="s">
        <v>81</v>
      </c>
      <c r="G268" s="11" t="s">
        <v>3131</v>
      </c>
      <c r="H268" s="11" t="s">
        <v>82</v>
      </c>
      <c r="I268" s="11" t="s">
        <v>82</v>
      </c>
      <c r="J268" s="11" t="s">
        <v>82</v>
      </c>
      <c r="M268" s="11" t="s">
        <v>3132</v>
      </c>
      <c r="R268" s="21"/>
    </row>
    <row r="269" spans="1:18" x14ac:dyDescent="0.2">
      <c r="A269" s="11">
        <v>268</v>
      </c>
      <c r="B269" s="11" t="s">
        <v>113</v>
      </c>
      <c r="D269" s="11" t="s">
        <v>82</v>
      </c>
      <c r="F269" s="11" t="s">
        <v>81</v>
      </c>
      <c r="H269" s="11" t="s">
        <v>82</v>
      </c>
      <c r="I269" s="11" t="s">
        <v>84</v>
      </c>
      <c r="J269" s="11" t="s">
        <v>84</v>
      </c>
      <c r="R269" s="21"/>
    </row>
    <row r="270" spans="1:18" ht="25.5" x14ac:dyDescent="0.2">
      <c r="A270" s="11">
        <v>269</v>
      </c>
      <c r="B270" s="11" t="s">
        <v>113</v>
      </c>
      <c r="C270" s="11" t="s">
        <v>3145</v>
      </c>
      <c r="D270" s="11" t="s">
        <v>82</v>
      </c>
      <c r="F270" s="11" t="s">
        <v>246</v>
      </c>
      <c r="G270" s="11" t="s">
        <v>3146</v>
      </c>
      <c r="H270" s="11" t="s">
        <v>84</v>
      </c>
      <c r="I270" s="11" t="s">
        <v>84</v>
      </c>
      <c r="J270" s="11" t="s">
        <v>84</v>
      </c>
      <c r="K270" s="11" t="s">
        <v>3147</v>
      </c>
      <c r="L270" s="21" t="s">
        <v>3901</v>
      </c>
      <c r="M270" s="11" t="s">
        <v>3148</v>
      </c>
      <c r="O270" s="11" t="s">
        <v>3149</v>
      </c>
      <c r="P270" s="21" t="s">
        <v>3406</v>
      </c>
      <c r="Q270" s="11" t="s">
        <v>3148</v>
      </c>
      <c r="R270" s="21"/>
    </row>
    <row r="271" spans="1:18" ht="25.5" x14ac:dyDescent="0.2">
      <c r="A271" s="11">
        <v>270</v>
      </c>
      <c r="B271" s="11" t="s">
        <v>100</v>
      </c>
      <c r="C271" s="11" t="s">
        <v>3158</v>
      </c>
      <c r="D271" s="11" t="s">
        <v>82</v>
      </c>
      <c r="F271" s="11" t="s">
        <v>81</v>
      </c>
      <c r="G271" s="11" t="s">
        <v>3159</v>
      </c>
      <c r="H271" s="11" t="s">
        <v>84</v>
      </c>
      <c r="I271" s="11" t="s">
        <v>82</v>
      </c>
      <c r="J271" s="11" t="s">
        <v>82</v>
      </c>
      <c r="M271" s="11" t="s">
        <v>3160</v>
      </c>
      <c r="N271" s="21" t="s">
        <v>3367</v>
      </c>
      <c r="O271" s="11" t="s">
        <v>3161</v>
      </c>
      <c r="P271" s="21" t="s">
        <v>1055</v>
      </c>
      <c r="Q271" s="11" t="s">
        <v>4106</v>
      </c>
      <c r="R271" s="21" t="s">
        <v>1062</v>
      </c>
    </row>
    <row r="272" spans="1:18" ht="89.25" x14ac:dyDescent="0.2">
      <c r="A272" s="11">
        <v>271</v>
      </c>
      <c r="B272" s="11" t="s">
        <v>93</v>
      </c>
      <c r="C272" s="11" t="s">
        <v>3875</v>
      </c>
      <c r="D272" s="11" t="s">
        <v>84</v>
      </c>
      <c r="E272" s="11" t="s">
        <v>3170</v>
      </c>
      <c r="H272" s="11" t="s">
        <v>84</v>
      </c>
      <c r="I272" s="11" t="s">
        <v>82</v>
      </c>
      <c r="J272" s="11" t="s">
        <v>82</v>
      </c>
      <c r="O272" s="11" t="s">
        <v>3171</v>
      </c>
      <c r="P272" s="21" t="s">
        <v>3410</v>
      </c>
      <c r="R272" s="21"/>
    </row>
    <row r="273" spans="1:18" ht="25.5" x14ac:dyDescent="0.2">
      <c r="A273" s="11">
        <v>272</v>
      </c>
      <c r="B273" s="11" t="s">
        <v>113</v>
      </c>
      <c r="D273" s="11" t="s">
        <v>82</v>
      </c>
      <c r="F273" s="11" t="s">
        <v>81</v>
      </c>
      <c r="H273" s="11" t="s">
        <v>84</v>
      </c>
      <c r="I273" s="11" t="s">
        <v>84</v>
      </c>
      <c r="J273" s="11" t="s">
        <v>82</v>
      </c>
      <c r="O273" s="11" t="s">
        <v>3178</v>
      </c>
      <c r="P273" s="21" t="s">
        <v>3414</v>
      </c>
      <c r="R273" s="21"/>
    </row>
    <row r="274" spans="1:18" ht="51" x14ac:dyDescent="0.2">
      <c r="A274" s="11">
        <v>273</v>
      </c>
      <c r="B274" s="11" t="s">
        <v>93</v>
      </c>
      <c r="D274" s="11" t="s">
        <v>84</v>
      </c>
      <c r="E274" s="11" t="s">
        <v>4107</v>
      </c>
      <c r="H274" s="11" t="s">
        <v>82</v>
      </c>
      <c r="I274" s="11" t="s">
        <v>84</v>
      </c>
      <c r="J274" s="11" t="s">
        <v>84</v>
      </c>
      <c r="K274" s="11" t="s">
        <v>3584</v>
      </c>
      <c r="L274" s="21" t="s">
        <v>3919</v>
      </c>
      <c r="M274" s="11" t="s">
        <v>4065</v>
      </c>
      <c r="N274" s="39" t="s">
        <v>899</v>
      </c>
      <c r="R274" s="21"/>
    </row>
    <row r="275" spans="1:18" ht="63.75" x14ac:dyDescent="0.2">
      <c r="A275" s="11">
        <v>274</v>
      </c>
      <c r="B275" s="11" t="s">
        <v>113</v>
      </c>
      <c r="C275" s="11" t="s">
        <v>3589</v>
      </c>
      <c r="D275" s="11" t="s">
        <v>84</v>
      </c>
      <c r="H275" s="11" t="s">
        <v>84</v>
      </c>
      <c r="I275" s="11" t="s">
        <v>82</v>
      </c>
      <c r="J275" s="11" t="s">
        <v>84</v>
      </c>
      <c r="K275" s="11" t="s">
        <v>3590</v>
      </c>
      <c r="L275" s="21" t="s">
        <v>2242</v>
      </c>
      <c r="M275" s="11" t="s">
        <v>3591</v>
      </c>
      <c r="N275" s="39" t="s">
        <v>3396</v>
      </c>
      <c r="O275" s="11" t="s">
        <v>3592</v>
      </c>
      <c r="P275" s="21" t="s">
        <v>3403</v>
      </c>
      <c r="Q275" s="11" t="s">
        <v>3593</v>
      </c>
      <c r="R275" s="21" t="s">
        <v>1067</v>
      </c>
    </row>
    <row r="276" spans="1:18" ht="51" x14ac:dyDescent="0.2">
      <c r="A276" s="11">
        <v>275</v>
      </c>
      <c r="B276" s="11" t="s">
        <v>113</v>
      </c>
      <c r="C276" s="11" t="s">
        <v>3876</v>
      </c>
      <c r="D276" s="11" t="s">
        <v>82</v>
      </c>
      <c r="F276" s="11" t="s">
        <v>81</v>
      </c>
      <c r="H276" s="11" t="s">
        <v>84</v>
      </c>
      <c r="I276" s="11" t="s">
        <v>82</v>
      </c>
      <c r="J276" s="11" t="s">
        <v>82</v>
      </c>
      <c r="M276" s="11" t="s">
        <v>3598</v>
      </c>
      <c r="N276" s="39" t="s">
        <v>366</v>
      </c>
      <c r="O276" s="11" t="s">
        <v>3599</v>
      </c>
      <c r="P276" s="21" t="s">
        <v>3925</v>
      </c>
      <c r="Q276" s="11" t="s">
        <v>3600</v>
      </c>
      <c r="R276" s="21" t="s">
        <v>1059</v>
      </c>
    </row>
    <row r="277" spans="1:18" ht="25.5" x14ac:dyDescent="0.2">
      <c r="A277" s="11">
        <v>276</v>
      </c>
      <c r="B277" s="11" t="s">
        <v>113</v>
      </c>
      <c r="C277" s="11" t="s">
        <v>145</v>
      </c>
      <c r="D277" s="11" t="s">
        <v>84</v>
      </c>
      <c r="H277" s="11" t="s">
        <v>84</v>
      </c>
      <c r="I277" s="11" t="s">
        <v>84</v>
      </c>
      <c r="J277" s="11" t="s">
        <v>82</v>
      </c>
      <c r="M277" s="11" t="s">
        <v>4007</v>
      </c>
      <c r="N277" s="21" t="s">
        <v>709</v>
      </c>
      <c r="O277" s="11" t="s">
        <v>4008</v>
      </c>
      <c r="P277" s="21" t="s">
        <v>4011</v>
      </c>
      <c r="Q277" s="11" t="s">
        <v>4009</v>
      </c>
      <c r="R277" s="21" t="s">
        <v>1055</v>
      </c>
    </row>
    <row r="278" spans="1:18" x14ac:dyDescent="0.2">
      <c r="R278" s="21"/>
    </row>
    <row r="279" spans="1:18" x14ac:dyDescent="0.2">
      <c r="R279" s="21"/>
    </row>
    <row r="280" spans="1:18" x14ac:dyDescent="0.2">
      <c r="R280" s="21"/>
    </row>
    <row r="281" spans="1:18" x14ac:dyDescent="0.2">
      <c r="R281" s="21"/>
    </row>
    <row r="282" spans="1:18" x14ac:dyDescent="0.2">
      <c r="R282" s="21"/>
    </row>
    <row r="283" spans="1:18" x14ac:dyDescent="0.2">
      <c r="R283" s="21"/>
    </row>
    <row r="284" spans="1:18" x14ac:dyDescent="0.2">
      <c r="R284" s="21"/>
    </row>
    <row r="285" spans="1:18" x14ac:dyDescent="0.2">
      <c r="R285" s="21"/>
    </row>
    <row r="286" spans="1:18" x14ac:dyDescent="0.2">
      <c r="R286" s="21"/>
    </row>
    <row r="287" spans="1:18" x14ac:dyDescent="0.2">
      <c r="R287" s="21"/>
    </row>
    <row r="288" spans="1:18" x14ac:dyDescent="0.2">
      <c r="R288" s="21"/>
    </row>
    <row r="289" spans="18:18" x14ac:dyDescent="0.2">
      <c r="R289" s="21"/>
    </row>
    <row r="290" spans="18:18" x14ac:dyDescent="0.2">
      <c r="R290" s="21"/>
    </row>
    <row r="291" spans="18:18" x14ac:dyDescent="0.2">
      <c r="R291" s="21"/>
    </row>
    <row r="292" spans="18:18" x14ac:dyDescent="0.2">
      <c r="R292" s="21"/>
    </row>
    <row r="293" spans="18:18" x14ac:dyDescent="0.2">
      <c r="R293" s="21"/>
    </row>
    <row r="294" spans="18:18" x14ac:dyDescent="0.2">
      <c r="R294" s="21"/>
    </row>
    <row r="295" spans="18:18" x14ac:dyDescent="0.2">
      <c r="R295" s="21"/>
    </row>
    <row r="296" spans="18:18" x14ac:dyDescent="0.2">
      <c r="R296" s="21"/>
    </row>
    <row r="297" spans="18:18" x14ac:dyDescent="0.2">
      <c r="R297" s="21"/>
    </row>
    <row r="298" spans="18:18" x14ac:dyDescent="0.2">
      <c r="R298" s="21"/>
    </row>
    <row r="299" spans="18:18" x14ac:dyDescent="0.2">
      <c r="R299" s="21"/>
    </row>
    <row r="300" spans="18:18" x14ac:dyDescent="0.2">
      <c r="R300" s="21"/>
    </row>
    <row r="301" spans="18:18" x14ac:dyDescent="0.2">
      <c r="R301" s="21"/>
    </row>
    <row r="302" spans="18:18" x14ac:dyDescent="0.2">
      <c r="R302" s="21"/>
    </row>
    <row r="303" spans="18:18" x14ac:dyDescent="0.2">
      <c r="R303" s="21"/>
    </row>
    <row r="304" spans="18:18" x14ac:dyDescent="0.2">
      <c r="R304" s="21"/>
    </row>
    <row r="305" spans="18:18" x14ac:dyDescent="0.2">
      <c r="R305" s="21"/>
    </row>
    <row r="306" spans="18:18" x14ac:dyDescent="0.2">
      <c r="R306" s="21"/>
    </row>
    <row r="307" spans="18:18" x14ac:dyDescent="0.2">
      <c r="R307" s="21"/>
    </row>
    <row r="308" spans="18:18" x14ac:dyDescent="0.2">
      <c r="R308" s="21"/>
    </row>
    <row r="309" spans="18:18" x14ac:dyDescent="0.2">
      <c r="R309" s="21"/>
    </row>
    <row r="310" spans="18:18" x14ac:dyDescent="0.2">
      <c r="R310" s="21"/>
    </row>
    <row r="311" spans="18:18" x14ac:dyDescent="0.2">
      <c r="R311" s="21"/>
    </row>
    <row r="312" spans="18:18" x14ac:dyDescent="0.2">
      <c r="R312" s="21"/>
    </row>
    <row r="313" spans="18:18" x14ac:dyDescent="0.2">
      <c r="R313" s="21"/>
    </row>
    <row r="314" spans="18:18" x14ac:dyDescent="0.2">
      <c r="R314" s="21"/>
    </row>
    <row r="315" spans="18:18" x14ac:dyDescent="0.2">
      <c r="R315" s="21"/>
    </row>
    <row r="316" spans="18:18" x14ac:dyDescent="0.2">
      <c r="R316" s="21"/>
    </row>
    <row r="317" spans="18:18" x14ac:dyDescent="0.2">
      <c r="R317" s="21"/>
    </row>
    <row r="318" spans="18:18" x14ac:dyDescent="0.2">
      <c r="R318" s="21"/>
    </row>
    <row r="319" spans="18:18" x14ac:dyDescent="0.2">
      <c r="R319" s="21"/>
    </row>
    <row r="320" spans="18:18" x14ac:dyDescent="0.2">
      <c r="R320" s="21"/>
    </row>
    <row r="321" spans="18:18" x14ac:dyDescent="0.2">
      <c r="R321" s="21"/>
    </row>
    <row r="322" spans="18:18" x14ac:dyDescent="0.2">
      <c r="R322" s="21"/>
    </row>
    <row r="323" spans="18:18" x14ac:dyDescent="0.2">
      <c r="R323" s="21"/>
    </row>
    <row r="324" spans="18:18" x14ac:dyDescent="0.2">
      <c r="R324" s="21"/>
    </row>
    <row r="325" spans="18:18" x14ac:dyDescent="0.2">
      <c r="R325" s="21"/>
    </row>
    <row r="326" spans="18:18" x14ac:dyDescent="0.2">
      <c r="R326" s="21"/>
    </row>
    <row r="327" spans="18:18" x14ac:dyDescent="0.2">
      <c r="R327" s="21"/>
    </row>
    <row r="328" spans="18:18" x14ac:dyDescent="0.2">
      <c r="R328" s="21"/>
    </row>
    <row r="329" spans="18:18" x14ac:dyDescent="0.2">
      <c r="R329" s="21"/>
    </row>
    <row r="330" spans="18:18" x14ac:dyDescent="0.2">
      <c r="R330" s="21"/>
    </row>
    <row r="331" spans="18:18" x14ac:dyDescent="0.2">
      <c r="R331" s="21"/>
    </row>
    <row r="332" spans="18:18" x14ac:dyDescent="0.2">
      <c r="R332" s="21"/>
    </row>
    <row r="333" spans="18:18" x14ac:dyDescent="0.2">
      <c r="R333" s="21"/>
    </row>
    <row r="334" spans="18:18" x14ac:dyDescent="0.2">
      <c r="R334" s="21"/>
    </row>
    <row r="335" spans="18:18" x14ac:dyDescent="0.2">
      <c r="R335" s="21"/>
    </row>
    <row r="336" spans="18:18" x14ac:dyDescent="0.2">
      <c r="R336" s="21"/>
    </row>
    <row r="337" spans="18:18" x14ac:dyDescent="0.2">
      <c r="R337" s="21"/>
    </row>
    <row r="338" spans="18:18" x14ac:dyDescent="0.2">
      <c r="R338" s="21"/>
    </row>
    <row r="339" spans="18:18" x14ac:dyDescent="0.2">
      <c r="R339" s="21"/>
    </row>
    <row r="340" spans="18:18" x14ac:dyDescent="0.2">
      <c r="R340" s="21"/>
    </row>
    <row r="341" spans="18:18" x14ac:dyDescent="0.2">
      <c r="R341" s="21"/>
    </row>
    <row r="342" spans="18:18" x14ac:dyDescent="0.2">
      <c r="R342" s="21"/>
    </row>
    <row r="343" spans="18:18" x14ac:dyDescent="0.2">
      <c r="R343" s="21"/>
    </row>
    <row r="344" spans="18:18" x14ac:dyDescent="0.2">
      <c r="R344" s="21"/>
    </row>
    <row r="345" spans="18:18" x14ac:dyDescent="0.2">
      <c r="R345" s="21"/>
    </row>
    <row r="346" spans="18:18" x14ac:dyDescent="0.2">
      <c r="R346" s="21"/>
    </row>
    <row r="347" spans="18:18" x14ac:dyDescent="0.2">
      <c r="R347" s="21"/>
    </row>
    <row r="348" spans="18:18" x14ac:dyDescent="0.2">
      <c r="R348" s="21"/>
    </row>
    <row r="349" spans="18:18" x14ac:dyDescent="0.2">
      <c r="R349" s="21"/>
    </row>
    <row r="350" spans="18:18" x14ac:dyDescent="0.2">
      <c r="R350" s="21"/>
    </row>
    <row r="351" spans="18:18" x14ac:dyDescent="0.2">
      <c r="R351" s="21"/>
    </row>
    <row r="352" spans="18:18" x14ac:dyDescent="0.2">
      <c r="R352" s="21"/>
    </row>
    <row r="353" spans="18:18" x14ac:dyDescent="0.2">
      <c r="R353" s="21"/>
    </row>
    <row r="354" spans="18:18" x14ac:dyDescent="0.2">
      <c r="R354" s="21"/>
    </row>
    <row r="355" spans="18:18" x14ac:dyDescent="0.2">
      <c r="R355" s="21"/>
    </row>
    <row r="356" spans="18:18" x14ac:dyDescent="0.2">
      <c r="R356" s="21"/>
    </row>
    <row r="357" spans="18:18" x14ac:dyDescent="0.2">
      <c r="R357" s="21"/>
    </row>
    <row r="358" spans="18:18" x14ac:dyDescent="0.2">
      <c r="R358" s="21"/>
    </row>
    <row r="359" spans="18:18" x14ac:dyDescent="0.2">
      <c r="R359" s="21"/>
    </row>
    <row r="360" spans="18:18" x14ac:dyDescent="0.2">
      <c r="R360" s="21"/>
    </row>
    <row r="361" spans="18:18" x14ac:dyDescent="0.2">
      <c r="R361" s="21"/>
    </row>
    <row r="362" spans="18:18" x14ac:dyDescent="0.2">
      <c r="R362" s="21"/>
    </row>
    <row r="363" spans="18:18" x14ac:dyDescent="0.2">
      <c r="R363" s="21"/>
    </row>
    <row r="364" spans="18:18" x14ac:dyDescent="0.2">
      <c r="R364" s="21"/>
    </row>
    <row r="365" spans="18:18" x14ac:dyDescent="0.2">
      <c r="R365" s="21"/>
    </row>
    <row r="366" spans="18:18" x14ac:dyDescent="0.2">
      <c r="R366" s="21"/>
    </row>
    <row r="367" spans="18:18" x14ac:dyDescent="0.2">
      <c r="R367" s="21"/>
    </row>
    <row r="368" spans="18:18" x14ac:dyDescent="0.2">
      <c r="R368" s="21"/>
    </row>
    <row r="369" spans="18:18" x14ac:dyDescent="0.2">
      <c r="R369" s="21"/>
    </row>
    <row r="370" spans="18:18" x14ac:dyDescent="0.2">
      <c r="R370" s="21"/>
    </row>
    <row r="371" spans="18:18" x14ac:dyDescent="0.2">
      <c r="R371" s="21"/>
    </row>
    <row r="372" spans="18:18" x14ac:dyDescent="0.2">
      <c r="R372" s="21"/>
    </row>
    <row r="373" spans="18:18" x14ac:dyDescent="0.2">
      <c r="R373" s="21"/>
    </row>
    <row r="374" spans="18:18" x14ac:dyDescent="0.2">
      <c r="R374" s="21"/>
    </row>
    <row r="375" spans="18:18" x14ac:dyDescent="0.2">
      <c r="R375" s="21"/>
    </row>
    <row r="376" spans="18:18" x14ac:dyDescent="0.2">
      <c r="R376" s="21"/>
    </row>
    <row r="377" spans="18:18" x14ac:dyDescent="0.2">
      <c r="R377" s="21"/>
    </row>
    <row r="378" spans="18:18" x14ac:dyDescent="0.2">
      <c r="R378" s="21"/>
    </row>
    <row r="379" spans="18:18" x14ac:dyDescent="0.2">
      <c r="R379" s="21"/>
    </row>
    <row r="380" spans="18:18" x14ac:dyDescent="0.2">
      <c r="R380" s="21"/>
    </row>
    <row r="381" spans="18:18" x14ac:dyDescent="0.2">
      <c r="R381" s="21"/>
    </row>
    <row r="382" spans="18:18" x14ac:dyDescent="0.2">
      <c r="R382" s="21"/>
    </row>
    <row r="383" spans="18:18" x14ac:dyDescent="0.2">
      <c r="R383" s="21"/>
    </row>
    <row r="384" spans="18:18" x14ac:dyDescent="0.2">
      <c r="R384" s="21"/>
    </row>
    <row r="385" spans="18:18" x14ac:dyDescent="0.2">
      <c r="R385" s="21"/>
    </row>
    <row r="386" spans="18:18" x14ac:dyDescent="0.2">
      <c r="R386" s="21"/>
    </row>
    <row r="387" spans="18:18" x14ac:dyDescent="0.2">
      <c r="R387" s="21"/>
    </row>
    <row r="388" spans="18:18" x14ac:dyDescent="0.2">
      <c r="R388" s="21"/>
    </row>
    <row r="389" spans="18:18" x14ac:dyDescent="0.2">
      <c r="R389" s="21"/>
    </row>
    <row r="390" spans="18:18" x14ac:dyDescent="0.2">
      <c r="R390" s="21"/>
    </row>
    <row r="391" spans="18:18" x14ac:dyDescent="0.2">
      <c r="R391" s="21"/>
    </row>
    <row r="392" spans="18:18" x14ac:dyDescent="0.2">
      <c r="R392" s="21"/>
    </row>
    <row r="393" spans="18:18" x14ac:dyDescent="0.2">
      <c r="R393" s="21"/>
    </row>
    <row r="394" spans="18:18" x14ac:dyDescent="0.2">
      <c r="R394" s="21"/>
    </row>
    <row r="395" spans="18:18" x14ac:dyDescent="0.2">
      <c r="R395" s="21"/>
    </row>
    <row r="396" spans="18:18" x14ac:dyDescent="0.2">
      <c r="R396" s="21"/>
    </row>
    <row r="397" spans="18:18" x14ac:dyDescent="0.2">
      <c r="R397" s="21"/>
    </row>
    <row r="398" spans="18:18" x14ac:dyDescent="0.2">
      <c r="R398" s="21"/>
    </row>
    <row r="399" spans="18:18" x14ac:dyDescent="0.2">
      <c r="R399" s="21"/>
    </row>
    <row r="400" spans="18:18" x14ac:dyDescent="0.2">
      <c r="R400" s="21"/>
    </row>
    <row r="401" spans="18:18" x14ac:dyDescent="0.2">
      <c r="R401" s="21"/>
    </row>
    <row r="402" spans="18:18" x14ac:dyDescent="0.2">
      <c r="R402" s="21"/>
    </row>
    <row r="403" spans="18:18" x14ac:dyDescent="0.2">
      <c r="R403" s="21"/>
    </row>
    <row r="404" spans="18:18" x14ac:dyDescent="0.2">
      <c r="R404" s="21"/>
    </row>
    <row r="405" spans="18:18" x14ac:dyDescent="0.2">
      <c r="R405" s="21"/>
    </row>
    <row r="406" spans="18:18" x14ac:dyDescent="0.2">
      <c r="R406" s="21"/>
    </row>
    <row r="407" spans="18:18" x14ac:dyDescent="0.2">
      <c r="R407" s="21"/>
    </row>
    <row r="408" spans="18:18" x14ac:dyDescent="0.2">
      <c r="R408" s="21"/>
    </row>
    <row r="409" spans="18:18" x14ac:dyDescent="0.2">
      <c r="R409" s="21"/>
    </row>
    <row r="410" spans="18:18" x14ac:dyDescent="0.2">
      <c r="R410" s="21"/>
    </row>
    <row r="411" spans="18:18" x14ac:dyDescent="0.2">
      <c r="R411" s="21"/>
    </row>
    <row r="412" spans="18:18" x14ac:dyDescent="0.2">
      <c r="R412" s="21"/>
    </row>
    <row r="413" spans="18:18" x14ac:dyDescent="0.2">
      <c r="R413" s="21"/>
    </row>
    <row r="414" spans="18:18" x14ac:dyDescent="0.2">
      <c r="R414" s="21"/>
    </row>
    <row r="415" spans="18:18" x14ac:dyDescent="0.2">
      <c r="R415" s="21"/>
    </row>
    <row r="416" spans="18:18" x14ac:dyDescent="0.2">
      <c r="R416" s="21"/>
    </row>
    <row r="417" spans="18:18" x14ac:dyDescent="0.2">
      <c r="R417" s="21"/>
    </row>
    <row r="418" spans="18:18" x14ac:dyDescent="0.2">
      <c r="R418" s="21"/>
    </row>
    <row r="419" spans="18:18" x14ac:dyDescent="0.2">
      <c r="R419" s="21"/>
    </row>
    <row r="420" spans="18:18" x14ac:dyDescent="0.2">
      <c r="R420" s="21"/>
    </row>
    <row r="421" spans="18:18" x14ac:dyDescent="0.2">
      <c r="R421" s="21"/>
    </row>
    <row r="422" spans="18:18" x14ac:dyDescent="0.2">
      <c r="R422" s="21"/>
    </row>
    <row r="423" spans="18:18" x14ac:dyDescent="0.2">
      <c r="R423" s="21"/>
    </row>
    <row r="424" spans="18:18" x14ac:dyDescent="0.2">
      <c r="R424" s="21"/>
    </row>
    <row r="425" spans="18:18" x14ac:dyDescent="0.2">
      <c r="R425" s="21"/>
    </row>
    <row r="426" spans="18:18" x14ac:dyDescent="0.2">
      <c r="R426" s="21"/>
    </row>
    <row r="427" spans="18:18" x14ac:dyDescent="0.2">
      <c r="R427" s="21"/>
    </row>
    <row r="428" spans="18:18" x14ac:dyDescent="0.2">
      <c r="R428" s="21"/>
    </row>
    <row r="429" spans="18:18" x14ac:dyDescent="0.2">
      <c r="R429" s="21"/>
    </row>
    <row r="430" spans="18:18" x14ac:dyDescent="0.2">
      <c r="R430" s="21"/>
    </row>
    <row r="431" spans="18:18" x14ac:dyDescent="0.2">
      <c r="R431" s="21"/>
    </row>
    <row r="432" spans="18:18" x14ac:dyDescent="0.2">
      <c r="R432" s="21"/>
    </row>
    <row r="433" spans="18:18" x14ac:dyDescent="0.2">
      <c r="R433" s="21"/>
    </row>
    <row r="434" spans="18:18" x14ac:dyDescent="0.2">
      <c r="R434" s="21"/>
    </row>
    <row r="435" spans="18:18" x14ac:dyDescent="0.2">
      <c r="R435" s="21"/>
    </row>
    <row r="436" spans="18:18" x14ac:dyDescent="0.2">
      <c r="R436" s="21"/>
    </row>
    <row r="437" spans="18:18" x14ac:dyDescent="0.2">
      <c r="R437" s="21"/>
    </row>
    <row r="438" spans="18:18" x14ac:dyDescent="0.2">
      <c r="R438" s="21"/>
    </row>
    <row r="439" spans="18:18" x14ac:dyDescent="0.2">
      <c r="R439" s="21"/>
    </row>
    <row r="440" spans="18:18" x14ac:dyDescent="0.2">
      <c r="R440" s="21"/>
    </row>
    <row r="441" spans="18:18" x14ac:dyDescent="0.2">
      <c r="R441" s="21"/>
    </row>
    <row r="442" spans="18:18" x14ac:dyDescent="0.2">
      <c r="R442" s="21"/>
    </row>
    <row r="443" spans="18:18" x14ac:dyDescent="0.2">
      <c r="R443" s="21"/>
    </row>
    <row r="444" spans="18:18" x14ac:dyDescent="0.2">
      <c r="R444" s="21"/>
    </row>
    <row r="445" spans="18:18" x14ac:dyDescent="0.2">
      <c r="R445" s="21"/>
    </row>
    <row r="446" spans="18:18" x14ac:dyDescent="0.2">
      <c r="R446" s="21"/>
    </row>
    <row r="447" spans="18:18" x14ac:dyDescent="0.2">
      <c r="R447" s="21"/>
    </row>
    <row r="448" spans="18:18" x14ac:dyDescent="0.2">
      <c r="R448" s="21"/>
    </row>
    <row r="449" spans="18:18" x14ac:dyDescent="0.2">
      <c r="R449" s="21"/>
    </row>
    <row r="450" spans="18:18" x14ac:dyDescent="0.2">
      <c r="R450" s="21"/>
    </row>
    <row r="451" spans="18:18" x14ac:dyDescent="0.2">
      <c r="R451" s="21"/>
    </row>
    <row r="452" spans="18:18" x14ac:dyDescent="0.2">
      <c r="R452" s="21"/>
    </row>
    <row r="453" spans="18:18" x14ac:dyDescent="0.2">
      <c r="R453" s="21"/>
    </row>
    <row r="454" spans="18:18" x14ac:dyDescent="0.2">
      <c r="R454" s="21"/>
    </row>
    <row r="455" spans="18:18" x14ac:dyDescent="0.2">
      <c r="R455" s="21"/>
    </row>
    <row r="456" spans="18:18" x14ac:dyDescent="0.2">
      <c r="R456" s="21"/>
    </row>
    <row r="457" spans="18:18" x14ac:dyDescent="0.2">
      <c r="R457" s="21"/>
    </row>
    <row r="458" spans="18:18" x14ac:dyDescent="0.2">
      <c r="R458" s="21"/>
    </row>
    <row r="459" spans="18:18" x14ac:dyDescent="0.2">
      <c r="R459" s="21"/>
    </row>
    <row r="460" spans="18:18" x14ac:dyDescent="0.2">
      <c r="R460" s="21"/>
    </row>
    <row r="461" spans="18:18" x14ac:dyDescent="0.2">
      <c r="R461" s="21"/>
    </row>
    <row r="462" spans="18:18" x14ac:dyDescent="0.2">
      <c r="R462" s="21"/>
    </row>
    <row r="463" spans="18:18" x14ac:dyDescent="0.2">
      <c r="R463" s="21"/>
    </row>
    <row r="464" spans="18:18" x14ac:dyDescent="0.2">
      <c r="R464" s="21"/>
    </row>
    <row r="465" spans="18:18" x14ac:dyDescent="0.2">
      <c r="R465" s="21"/>
    </row>
    <row r="466" spans="18:18" x14ac:dyDescent="0.2">
      <c r="R466" s="21"/>
    </row>
    <row r="467" spans="18:18" x14ac:dyDescent="0.2">
      <c r="R467" s="21"/>
    </row>
    <row r="468" spans="18:18" x14ac:dyDescent="0.2">
      <c r="R468" s="21"/>
    </row>
    <row r="469" spans="18:18" x14ac:dyDescent="0.2">
      <c r="R469" s="21"/>
    </row>
    <row r="470" spans="18:18" x14ac:dyDescent="0.2">
      <c r="R470" s="21"/>
    </row>
    <row r="471" spans="18:18" x14ac:dyDescent="0.2">
      <c r="R471" s="21"/>
    </row>
    <row r="472" spans="18:18" x14ac:dyDescent="0.2">
      <c r="R472" s="21"/>
    </row>
    <row r="473" spans="18:18" x14ac:dyDescent="0.2">
      <c r="R473" s="21"/>
    </row>
    <row r="474" spans="18:18" x14ac:dyDescent="0.2">
      <c r="R474" s="21"/>
    </row>
    <row r="475" spans="18:18" x14ac:dyDescent="0.2">
      <c r="R475" s="21"/>
    </row>
    <row r="476" spans="18:18" x14ac:dyDescent="0.2">
      <c r="R476" s="21"/>
    </row>
    <row r="477" spans="18:18" x14ac:dyDescent="0.2">
      <c r="R477" s="21"/>
    </row>
    <row r="478" spans="18:18" x14ac:dyDescent="0.2">
      <c r="R478" s="21"/>
    </row>
    <row r="479" spans="18:18" x14ac:dyDescent="0.2">
      <c r="R479" s="21"/>
    </row>
    <row r="480" spans="18:18" x14ac:dyDescent="0.2">
      <c r="R480" s="21"/>
    </row>
    <row r="481" spans="18:18" x14ac:dyDescent="0.2">
      <c r="R481" s="21"/>
    </row>
    <row r="482" spans="18:18" x14ac:dyDescent="0.2">
      <c r="R482" s="21"/>
    </row>
    <row r="483" spans="18:18" x14ac:dyDescent="0.2">
      <c r="R483" s="21"/>
    </row>
    <row r="484" spans="18:18" x14ac:dyDescent="0.2">
      <c r="R484" s="21"/>
    </row>
    <row r="485" spans="18:18" x14ac:dyDescent="0.2">
      <c r="R485" s="21"/>
    </row>
    <row r="486" spans="18:18" x14ac:dyDescent="0.2">
      <c r="R486" s="21"/>
    </row>
    <row r="487" spans="18:18" x14ac:dyDescent="0.2">
      <c r="R487" s="21"/>
    </row>
    <row r="488" spans="18:18" x14ac:dyDescent="0.2">
      <c r="R488" s="21"/>
    </row>
    <row r="489" spans="18:18" x14ac:dyDescent="0.2">
      <c r="R489" s="21"/>
    </row>
    <row r="490" spans="18:18" x14ac:dyDescent="0.2">
      <c r="R490" s="21"/>
    </row>
    <row r="491" spans="18:18" x14ac:dyDescent="0.2">
      <c r="R491" s="21"/>
    </row>
    <row r="492" spans="18:18" x14ac:dyDescent="0.2">
      <c r="R492" s="21"/>
    </row>
    <row r="493" spans="18:18" x14ac:dyDescent="0.2">
      <c r="R493" s="21"/>
    </row>
    <row r="494" spans="18:18" x14ac:dyDescent="0.2">
      <c r="R494" s="21"/>
    </row>
    <row r="495" spans="18:18" x14ac:dyDescent="0.2">
      <c r="R495" s="21"/>
    </row>
    <row r="496" spans="18:18" x14ac:dyDescent="0.2">
      <c r="R496" s="21"/>
    </row>
    <row r="497" spans="18:18" x14ac:dyDescent="0.2">
      <c r="R497" s="21"/>
    </row>
    <row r="498" spans="18:18" x14ac:dyDescent="0.2">
      <c r="R498" s="21"/>
    </row>
    <row r="499" spans="18:18" x14ac:dyDescent="0.2">
      <c r="R499" s="21"/>
    </row>
    <row r="500" spans="18:18" x14ac:dyDescent="0.2">
      <c r="R500" s="21"/>
    </row>
    <row r="501" spans="18:18" x14ac:dyDescent="0.2">
      <c r="R501" s="21"/>
    </row>
    <row r="502" spans="18:18" x14ac:dyDescent="0.2">
      <c r="R502" s="21"/>
    </row>
    <row r="503" spans="18:18" x14ac:dyDescent="0.2">
      <c r="R503" s="21"/>
    </row>
    <row r="504" spans="18:18" x14ac:dyDescent="0.2">
      <c r="R504" s="21"/>
    </row>
    <row r="505" spans="18:18" x14ac:dyDescent="0.2">
      <c r="R505" s="21"/>
    </row>
    <row r="506" spans="18:18" x14ac:dyDescent="0.2">
      <c r="R506" s="21"/>
    </row>
    <row r="507" spans="18:18" x14ac:dyDescent="0.2">
      <c r="R507" s="21"/>
    </row>
    <row r="508" spans="18:18" x14ac:dyDescent="0.2">
      <c r="R508" s="21"/>
    </row>
    <row r="509" spans="18:18" x14ac:dyDescent="0.2">
      <c r="R509" s="21"/>
    </row>
    <row r="510" spans="18:18" x14ac:dyDescent="0.2">
      <c r="R510" s="21"/>
    </row>
    <row r="511" spans="18:18" x14ac:dyDescent="0.2">
      <c r="R511" s="21"/>
    </row>
    <row r="512" spans="18:18" x14ac:dyDescent="0.2">
      <c r="R512" s="21"/>
    </row>
    <row r="513" spans="18:18" x14ac:dyDescent="0.2">
      <c r="R513" s="21"/>
    </row>
    <row r="514" spans="18:18" x14ac:dyDescent="0.2">
      <c r="R514" s="21"/>
    </row>
    <row r="515" spans="18:18" x14ac:dyDescent="0.2">
      <c r="R515" s="21"/>
    </row>
    <row r="516" spans="18:18" x14ac:dyDescent="0.2">
      <c r="R516" s="21"/>
    </row>
    <row r="517" spans="18:18" x14ac:dyDescent="0.2">
      <c r="R517" s="21"/>
    </row>
    <row r="518" spans="18:18" x14ac:dyDescent="0.2">
      <c r="R518" s="21"/>
    </row>
    <row r="519" spans="18:18" x14ac:dyDescent="0.2">
      <c r="R519" s="21"/>
    </row>
    <row r="520" spans="18:18" x14ac:dyDescent="0.2">
      <c r="R520" s="21"/>
    </row>
    <row r="521" spans="18:18" x14ac:dyDescent="0.2">
      <c r="R521" s="21"/>
    </row>
    <row r="522" spans="18:18" x14ac:dyDescent="0.2">
      <c r="R522" s="21"/>
    </row>
    <row r="523" spans="18:18" x14ac:dyDescent="0.2">
      <c r="R523" s="21"/>
    </row>
    <row r="524" spans="18:18" x14ac:dyDescent="0.2">
      <c r="R524" s="21"/>
    </row>
    <row r="525" spans="18:18" x14ac:dyDescent="0.2">
      <c r="R525" s="21"/>
    </row>
    <row r="526" spans="18:18" x14ac:dyDescent="0.2">
      <c r="R526" s="21"/>
    </row>
    <row r="527" spans="18:18" x14ac:dyDescent="0.2">
      <c r="R527" s="21"/>
    </row>
    <row r="528" spans="18:18" x14ac:dyDescent="0.2">
      <c r="R528" s="21"/>
    </row>
    <row r="529" spans="18:18" x14ac:dyDescent="0.2">
      <c r="R529" s="21"/>
    </row>
    <row r="530" spans="18:18" x14ac:dyDescent="0.2">
      <c r="R530" s="21"/>
    </row>
    <row r="531" spans="18:18" x14ac:dyDescent="0.2">
      <c r="R531" s="21"/>
    </row>
    <row r="532" spans="18:18" x14ac:dyDescent="0.2">
      <c r="R532" s="21"/>
    </row>
    <row r="533" spans="18:18" x14ac:dyDescent="0.2">
      <c r="R533" s="21"/>
    </row>
    <row r="534" spans="18:18" x14ac:dyDescent="0.2">
      <c r="R534" s="21"/>
    </row>
    <row r="535" spans="18:18" x14ac:dyDescent="0.2">
      <c r="R535" s="21"/>
    </row>
    <row r="536" spans="18:18" x14ac:dyDescent="0.2">
      <c r="R536" s="21"/>
    </row>
    <row r="537" spans="18:18" x14ac:dyDescent="0.2">
      <c r="R537" s="21"/>
    </row>
    <row r="538" spans="18:18" x14ac:dyDescent="0.2">
      <c r="R538" s="21"/>
    </row>
    <row r="539" spans="18:18" x14ac:dyDescent="0.2">
      <c r="R539" s="21"/>
    </row>
    <row r="540" spans="18:18" x14ac:dyDescent="0.2">
      <c r="R540" s="21"/>
    </row>
    <row r="541" spans="18:18" x14ac:dyDescent="0.2">
      <c r="R541" s="21"/>
    </row>
    <row r="542" spans="18:18" x14ac:dyDescent="0.2">
      <c r="R542" s="21"/>
    </row>
    <row r="543" spans="18:18" x14ac:dyDescent="0.2">
      <c r="R543" s="21"/>
    </row>
    <row r="544" spans="18:18" x14ac:dyDescent="0.2">
      <c r="R544" s="21"/>
    </row>
    <row r="545" spans="18:18" x14ac:dyDescent="0.2">
      <c r="R545" s="21"/>
    </row>
    <row r="546" spans="18:18" x14ac:dyDescent="0.2">
      <c r="R546" s="21"/>
    </row>
    <row r="547" spans="18:18" x14ac:dyDescent="0.2">
      <c r="R547" s="21"/>
    </row>
    <row r="548" spans="18:18" x14ac:dyDescent="0.2">
      <c r="R548" s="21"/>
    </row>
    <row r="549" spans="18:18" x14ac:dyDescent="0.2">
      <c r="R549" s="21"/>
    </row>
    <row r="550" spans="18:18" x14ac:dyDescent="0.2">
      <c r="R550" s="21"/>
    </row>
    <row r="551" spans="18:18" x14ac:dyDescent="0.2">
      <c r="R551" s="21"/>
    </row>
  </sheetData>
  <pageMargins left="0.5" right="0.5" top="1" bottom="1" header="0.5" footer="0.5"/>
  <pageSetup orientation="portrait" useFirstPageNumber="1" r:id="rId1"/>
  <headerFooter>
    <oddHeader>&amp;C&amp;"Times New Roman,Regular"&amp;12&amp;A</oddHeader>
    <oddFooter>&amp;C&amp;"Times New Roman,Regular"&amp;12Page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629FF-46CD-4938-986B-1B8A7A292ED9}">
  <dimension ref="A1:AT277"/>
  <sheetViews>
    <sheetView zoomScale="70" zoomScaleNormal="70" workbookViewId="0">
      <pane ySplit="1" topLeftCell="A2" activePane="bottomLeft" state="frozen"/>
      <selection activeCell="F1" sqref="F1"/>
      <selection pane="bottomLeft" activeCell="E1" sqref="E1"/>
    </sheetView>
  </sheetViews>
  <sheetFormatPr defaultColWidth="9.140625" defaultRowHeight="12.75" x14ac:dyDescent="0.2"/>
  <cols>
    <col min="1" max="1" width="30.28515625" style="11" customWidth="1"/>
    <col min="2" max="2" width="30.28515625" style="21" customWidth="1"/>
    <col min="3" max="3" width="42.42578125" style="11" customWidth="1"/>
    <col min="4" max="4" width="42.42578125" style="21" customWidth="1"/>
    <col min="5" max="5" width="13" style="11" customWidth="1"/>
    <col min="6" max="6" width="37.5703125" style="11" customWidth="1"/>
    <col min="7" max="7" width="24.28515625" style="11" customWidth="1"/>
    <col min="8" max="8" width="18.28515625" style="11" customWidth="1"/>
    <col min="9" max="9" width="63.28515625" style="11" customWidth="1"/>
    <col min="10" max="10" width="31.140625" style="11" customWidth="1"/>
    <col min="11" max="11" width="37.5703125" style="11" customWidth="1"/>
    <col min="12" max="13" width="15.85546875" style="11" customWidth="1"/>
    <col min="14" max="14" width="63.28515625" style="11" customWidth="1"/>
    <col min="15" max="15" width="16.28515625" style="11" customWidth="1"/>
    <col min="16" max="16" width="36.28515625" style="7" customWidth="1"/>
    <col min="17" max="20" width="16.28515625" style="7" customWidth="1"/>
    <col min="21" max="21" width="54" style="7" customWidth="1"/>
    <col min="22" max="22" width="8.85546875" style="11" customWidth="1"/>
    <col min="23" max="23" width="32.42578125" style="11" customWidth="1"/>
    <col min="24" max="24" width="13.42578125" style="11" customWidth="1"/>
    <col min="25" max="25" width="11.85546875" style="11" customWidth="1"/>
    <col min="26" max="41" width="9.140625" style="11"/>
    <col min="42" max="42" width="32.5703125" style="11" customWidth="1"/>
    <col min="43" max="43" width="33.140625" style="11" customWidth="1"/>
    <col min="44" max="44" width="14.28515625" style="11" customWidth="1"/>
    <col min="45" max="45" width="15.85546875" style="11" customWidth="1"/>
    <col min="46" max="46" width="30" style="11" customWidth="1"/>
    <col min="47" max="16384" width="9.140625" style="11"/>
  </cols>
  <sheetData>
    <row r="1" spans="1:46" s="2" customFormat="1" ht="51" x14ac:dyDescent="0.2">
      <c r="A1" s="22" t="s">
        <v>699</v>
      </c>
      <c r="B1" s="8" t="s">
        <v>699</v>
      </c>
      <c r="C1" s="22" t="s">
        <v>700</v>
      </c>
      <c r="D1" s="8" t="s">
        <v>700</v>
      </c>
      <c r="F1" s="8" t="s">
        <v>3931</v>
      </c>
      <c r="G1" s="8" t="s">
        <v>3930</v>
      </c>
      <c r="H1" s="8" t="s">
        <v>3932</v>
      </c>
      <c r="I1" s="8"/>
      <c r="J1" s="8"/>
      <c r="K1" s="8" t="s">
        <v>3931</v>
      </c>
      <c r="L1" s="8" t="s">
        <v>3930</v>
      </c>
      <c r="M1" s="8" t="s">
        <v>3932</v>
      </c>
      <c r="N1" s="8"/>
      <c r="O1" s="8"/>
      <c r="P1" s="8"/>
      <c r="Q1" s="8" t="s">
        <v>3930</v>
      </c>
      <c r="R1" s="8" t="s">
        <v>3932</v>
      </c>
      <c r="S1" s="8"/>
      <c r="T1" s="8"/>
      <c r="U1" s="8"/>
      <c r="V1" s="8"/>
      <c r="W1" s="8" t="s">
        <v>3931</v>
      </c>
      <c r="X1" s="8" t="s">
        <v>3930</v>
      </c>
      <c r="Y1" s="8" t="s">
        <v>3932</v>
      </c>
      <c r="Z1" s="8"/>
      <c r="AA1" s="8" t="s">
        <v>4001</v>
      </c>
      <c r="AQ1" s="8" t="s">
        <v>3931</v>
      </c>
      <c r="AR1" s="8" t="s">
        <v>3930</v>
      </c>
      <c r="AS1" s="8" t="s">
        <v>3932</v>
      </c>
    </row>
    <row r="2" spans="1:46" ht="25.5" x14ac:dyDescent="0.2">
      <c r="A2" s="7" t="s">
        <v>102</v>
      </c>
      <c r="B2" s="21" t="s">
        <v>1045</v>
      </c>
      <c r="C2" s="7" t="s">
        <v>103</v>
      </c>
      <c r="D2" s="21" t="s">
        <v>1055</v>
      </c>
      <c r="E2" s="7"/>
      <c r="F2" s="11" t="s">
        <v>3368</v>
      </c>
      <c r="G2" s="11">
        <f>COUNTIF($B$2:$B$496,"*communication*")+COUNTIF($B$2:$B$496,"*collaboration*")</f>
        <v>14</v>
      </c>
      <c r="H2" s="11">
        <f>COUNTIF($D$2:$D$496,"*communication*")+COUNTIF($D$2:$D$496,"*collaboration*")+COUNTIF($D$2:$D$496,"*involvement*")</f>
        <v>8</v>
      </c>
      <c r="K2" s="11" t="s">
        <v>3967</v>
      </c>
      <c r="L2" s="11">
        <f>COUNTIF($B$2:$B$496,"*user*")+COUNTIF($B$2:$B$496,"*training*")+COUNTIF($B$2:$B$496,"*communication*")+COUNTIF($B$2:$B$496,"*collaboration*")</f>
        <v>52</v>
      </c>
      <c r="M2" s="11">
        <f>COUNTIF($D$2:$D$496,"*training user*")+COUNTIF($D$2:$D$496,"*communication*")+COUNTIF($D$2:$D$496,"*collaboration*")+COUNTIF($D$2:$D$496,"*involvement*")</f>
        <v>23</v>
      </c>
      <c r="P2" s="11" t="s">
        <v>3967</v>
      </c>
      <c r="Q2" s="7">
        <f>L2*(-1)</f>
        <v>-52</v>
      </c>
      <c r="R2" s="7">
        <f>M2</f>
        <v>23</v>
      </c>
      <c r="W2" s="11" t="s">
        <v>3967</v>
      </c>
      <c r="X2" s="11">
        <f>COUNTIF($B$2:$B$496,"*user*")+COUNTIF($B$2:$B$496,"*training*")+COUNTIF($B$2:$B$496,"*communication*")+COUNTIF($B$2:$B$496,"*collaboration*")</f>
        <v>52</v>
      </c>
      <c r="Y2" s="11">
        <f>COUNTIF($D$2:$D$496,"*training user*")+COUNTIF($D$2:$D$496,"*communication*")+COUNTIF($D$2:$D$496,"*collaboration*")+COUNTIF($D$2:$D$496,"*involvement*")</f>
        <v>23</v>
      </c>
      <c r="AQ2" s="11" t="s">
        <v>3967</v>
      </c>
      <c r="AR2" s="11">
        <f>X2*(-1)</f>
        <v>-52</v>
      </c>
      <c r="AS2" s="11">
        <f>Y2</f>
        <v>23</v>
      </c>
    </row>
    <row r="3" spans="1:46" x14ac:dyDescent="0.2">
      <c r="A3" s="7"/>
      <c r="C3" s="7"/>
      <c r="E3" s="7"/>
      <c r="F3" s="11" t="s">
        <v>3929</v>
      </c>
      <c r="G3" s="11">
        <f>COUNTIF($B$2:$B$496,"*user*")+COUNTIF($B$2:$B$496,"*training*")</f>
        <v>38</v>
      </c>
      <c r="H3" s="11">
        <f>COUNTIF($D$2:$D$496,"*training user*")</f>
        <v>15</v>
      </c>
      <c r="K3" s="11" t="s">
        <v>3391</v>
      </c>
      <c r="L3" s="11">
        <f>COUNTIF($B$2:$B$496,"*staff*")</f>
        <v>43</v>
      </c>
      <c r="M3" s="11">
        <f>COUNTIF($D$2:$D$496,"*staff*")</f>
        <v>70</v>
      </c>
      <c r="P3" s="11" t="s">
        <v>3391</v>
      </c>
      <c r="Q3" s="7">
        <f t="shared" ref="Q3:Q19" si="0">L3*(-1)</f>
        <v>-43</v>
      </c>
      <c r="R3" s="7">
        <f t="shared" ref="R3:R19" si="1">M3</f>
        <v>70</v>
      </c>
      <c r="W3" s="11" t="s">
        <v>3391</v>
      </c>
      <c r="X3" s="11">
        <f>COUNTIF($B$2:$B$496,"*staff*")</f>
        <v>43</v>
      </c>
      <c r="Y3" s="11">
        <f>COUNTIF($D$2:$D$496,"*staff*")</f>
        <v>70</v>
      </c>
      <c r="AQ3" s="11" t="s">
        <v>3391</v>
      </c>
      <c r="AR3" s="11">
        <f t="shared" ref="AR3:AR12" si="2">X3*(-1)</f>
        <v>-43</v>
      </c>
      <c r="AS3" s="11">
        <f t="shared" ref="AS3:AS12" si="3">Y3</f>
        <v>70</v>
      </c>
    </row>
    <row r="4" spans="1:46" ht="38.25" x14ac:dyDescent="0.2">
      <c r="A4" s="7"/>
      <c r="C4" s="7" t="s">
        <v>135</v>
      </c>
      <c r="D4" s="21" t="s">
        <v>3445</v>
      </c>
      <c r="E4" s="7"/>
      <c r="F4" s="11" t="s">
        <v>3391</v>
      </c>
      <c r="G4" s="11">
        <f>COUNTIF($B$2:$B$496,"*staff*")</f>
        <v>43</v>
      </c>
      <c r="H4" s="11">
        <f>COUNTIF($D$2:$D$496,"*staff*")</f>
        <v>70</v>
      </c>
      <c r="K4" s="11" t="s">
        <v>3374</v>
      </c>
      <c r="L4" s="11">
        <f>COUNTIF($B$2:$B$496,"*equipment*")</f>
        <v>41</v>
      </c>
      <c r="M4" s="11">
        <f>COUNTIF($D$2:$D$496,"*equipment*")</f>
        <v>36</v>
      </c>
      <c r="P4" s="11" t="s">
        <v>3374</v>
      </c>
      <c r="Q4" s="7">
        <f t="shared" si="0"/>
        <v>-41</v>
      </c>
      <c r="R4" s="7">
        <f t="shared" si="1"/>
        <v>36</v>
      </c>
      <c r="W4" s="11" t="s">
        <v>3374</v>
      </c>
      <c r="X4" s="11">
        <f>COUNTIF($B$2:$B$496,"*equipment*")</f>
        <v>41</v>
      </c>
      <c r="Y4" s="11">
        <f>COUNTIF($D$2:$D$496,"*equipment*")</f>
        <v>36</v>
      </c>
      <c r="AQ4" s="11" t="s">
        <v>3374</v>
      </c>
      <c r="AR4" s="11">
        <f t="shared" si="2"/>
        <v>-41</v>
      </c>
      <c r="AS4" s="11">
        <f t="shared" si="3"/>
        <v>36</v>
      </c>
    </row>
    <row r="5" spans="1:46" ht="25.5" x14ac:dyDescent="0.2">
      <c r="A5" s="7" t="s">
        <v>148</v>
      </c>
      <c r="B5" s="21" t="s">
        <v>148</v>
      </c>
      <c r="C5" s="7" t="s">
        <v>149</v>
      </c>
      <c r="D5" s="21" t="s">
        <v>1498</v>
      </c>
      <c r="E5" s="7"/>
      <c r="F5" s="11" t="s">
        <v>4027</v>
      </c>
      <c r="G5" s="11">
        <f>COUNTIF($B$2:$B$496,"*CF management*")+COUNTIF($B$2:$B$496,"*infrastructure*")</f>
        <v>0</v>
      </c>
      <c r="H5" s="11">
        <f>COUNTIF($D$2:$D$496,"*CF management*")+COUNTIF($D$2:$D$496,"*infrastructure*")</f>
        <v>8</v>
      </c>
      <c r="K5" s="11" t="s">
        <v>3373</v>
      </c>
      <c r="L5" s="11">
        <f>COUNTIF($B$2:$B$496,"*SOP*")</f>
        <v>32</v>
      </c>
      <c r="M5" s="11">
        <f>COUNTIF($D$2:$D$496,"*SOP*")+COUNTIF($D$2:$D$496,"*standard*")</f>
        <v>2</v>
      </c>
      <c r="P5" s="11" t="s">
        <v>3373</v>
      </c>
      <c r="Q5" s="7">
        <f t="shared" si="0"/>
        <v>-32</v>
      </c>
      <c r="R5" s="7">
        <f t="shared" si="1"/>
        <v>2</v>
      </c>
      <c r="W5" s="11" t="s">
        <v>4000</v>
      </c>
      <c r="X5" s="11">
        <f>COUNTIF($B$2:$B$496,"*quality*")+COUNTIF($B$2:$B$496,"*good scientific practice*")</f>
        <v>34</v>
      </c>
      <c r="Y5" s="11">
        <f>COUNTIF($D$2:$D$496,"*quality*")+COUNTIF($D$2:$D$496,"*good scientific practice*")</f>
        <v>7</v>
      </c>
      <c r="AQ5" s="11" t="s">
        <v>4000</v>
      </c>
      <c r="AR5" s="11">
        <f t="shared" si="2"/>
        <v>-34</v>
      </c>
      <c r="AS5" s="11">
        <f t="shared" si="3"/>
        <v>7</v>
      </c>
    </row>
    <row r="6" spans="1:46" ht="25.5" x14ac:dyDescent="0.2">
      <c r="A6" s="7" t="s">
        <v>160</v>
      </c>
      <c r="C6" s="7"/>
      <c r="E6" s="7"/>
      <c r="F6" s="11" t="s">
        <v>3442</v>
      </c>
      <c r="G6" s="11">
        <f>COUNTIF($B$2:$B$496,"*sample management*")+COUNTIF($B$2:$B$496,"*project management*")</f>
        <v>0</v>
      </c>
      <c r="H6" s="11">
        <f>COUNTIF($D$2:$D$496,"*sample management*")+COUNTIF($D$2:$D$496,"*project management*")</f>
        <v>11</v>
      </c>
      <c r="K6" s="11" t="s">
        <v>4028</v>
      </c>
      <c r="L6" s="11">
        <f>COUNTIF($B$2:$B$496,"*samples*")+COUNTIF($B$2:$B$496,"*controls*")</f>
        <v>29</v>
      </c>
      <c r="M6" s="11">
        <f>COUNTIF($D$2:$D$496,"*samples*")+COUNTIF($D$2:$D$496,"*controls*")</f>
        <v>0</v>
      </c>
      <c r="P6" s="11" t="s">
        <v>4028</v>
      </c>
      <c r="Q6" s="7">
        <f t="shared" si="0"/>
        <v>-29</v>
      </c>
      <c r="R6" s="7">
        <f t="shared" si="1"/>
        <v>0</v>
      </c>
      <c r="W6" s="11" t="s">
        <v>3373</v>
      </c>
      <c r="X6" s="11">
        <f>COUNTIF($B$2:$B$496,"*SOP*")</f>
        <v>32</v>
      </c>
      <c r="Y6" s="11">
        <f>COUNTIF($D$2:$D$496,"*SOP*")+COUNTIF($D$2:$D$496,"*standard*")</f>
        <v>2</v>
      </c>
      <c r="AQ6" s="11" t="s">
        <v>3373</v>
      </c>
      <c r="AR6" s="11">
        <f t="shared" si="2"/>
        <v>-32</v>
      </c>
      <c r="AS6" s="11">
        <f t="shared" si="3"/>
        <v>2</v>
      </c>
    </row>
    <row r="7" spans="1:46" ht="51" x14ac:dyDescent="0.2">
      <c r="A7" s="7" t="s">
        <v>174</v>
      </c>
      <c r="B7" s="21" t="s">
        <v>1046</v>
      </c>
      <c r="C7" s="7" t="s">
        <v>175</v>
      </c>
      <c r="D7" s="21" t="s">
        <v>1056</v>
      </c>
      <c r="E7" s="7"/>
      <c r="F7" s="11" t="s">
        <v>3443</v>
      </c>
      <c r="G7" s="11">
        <f>COUNTIF($B$2:$B$496,"*automa*")</f>
        <v>0</v>
      </c>
      <c r="H7" s="11">
        <f>COUNTIF($D$2:$D$496,"*automa*")</f>
        <v>8</v>
      </c>
      <c r="K7" s="11" t="s">
        <v>1054</v>
      </c>
      <c r="L7" s="11">
        <f>COUNTIF($B$2:$B$496,"*quality*")</f>
        <v>22</v>
      </c>
      <c r="M7" s="11">
        <f>COUNTIF($D$2:$D$496,"*quality*")</f>
        <v>7</v>
      </c>
      <c r="P7" s="11" t="s">
        <v>1054</v>
      </c>
      <c r="Q7" s="7">
        <f t="shared" si="0"/>
        <v>-22</v>
      </c>
      <c r="R7" s="7">
        <f t="shared" si="1"/>
        <v>7</v>
      </c>
      <c r="W7" s="11" t="s">
        <v>4028</v>
      </c>
      <c r="X7" s="11">
        <f>COUNTIF($B$2:$B$496,"*samples*")+COUNTIF($B$2:$B$496,"*controls*")</f>
        <v>29</v>
      </c>
      <c r="Y7" s="11">
        <f>COUNTIF($D$2:$D$496,"*samples*")+COUNTIF($D$2:$D$496,"*controls*")</f>
        <v>0</v>
      </c>
      <c r="AQ7" s="11" t="s">
        <v>4028</v>
      </c>
      <c r="AR7" s="11">
        <f t="shared" si="2"/>
        <v>-29</v>
      </c>
      <c r="AS7" s="11">
        <f t="shared" si="3"/>
        <v>0</v>
      </c>
    </row>
    <row r="8" spans="1:46" ht="25.5" x14ac:dyDescent="0.2">
      <c r="A8" s="7" t="s">
        <v>191</v>
      </c>
      <c r="B8" s="21" t="s">
        <v>3320</v>
      </c>
      <c r="C8" s="7" t="s">
        <v>192</v>
      </c>
      <c r="D8" s="21" t="s">
        <v>3393</v>
      </c>
      <c r="E8" s="7"/>
      <c r="F8" s="11" t="s">
        <v>3371</v>
      </c>
      <c r="G8" s="11">
        <f>COUNTIF($B$2:$B$496,"*expertise*")+COUNTIF($B$2:$B$496,"*development*")</f>
        <v>16</v>
      </c>
      <c r="H8" s="11">
        <f>COUNTIF($D$2:$D$496,"*development*")+COUNTIF($D$2:$D$496,"*expertise*")</f>
        <v>14</v>
      </c>
      <c r="K8" s="11" t="s">
        <v>1431</v>
      </c>
      <c r="L8" s="11">
        <f>COUNTIF($B$2:$B$496,"*data analysis*")</f>
        <v>20</v>
      </c>
      <c r="M8" s="11">
        <f>COUNTIF($D$2:$D$496,"*data analysis*")</f>
        <v>21</v>
      </c>
      <c r="P8" s="11" t="s">
        <v>1431</v>
      </c>
      <c r="Q8" s="7">
        <f t="shared" si="0"/>
        <v>-20</v>
      </c>
      <c r="R8" s="7">
        <f t="shared" si="1"/>
        <v>21</v>
      </c>
      <c r="W8" s="11" t="s">
        <v>1431</v>
      </c>
      <c r="X8" s="11">
        <f>COUNTIF($B$2:$B$496,"*data analysis*")</f>
        <v>20</v>
      </c>
      <c r="Y8" s="11">
        <f>COUNTIF($D$2:$D$496,"*data analysis*")</f>
        <v>21</v>
      </c>
      <c r="AQ8" s="11" t="s">
        <v>1431</v>
      </c>
      <c r="AR8" s="11">
        <f t="shared" si="2"/>
        <v>-20</v>
      </c>
      <c r="AS8" s="11">
        <f t="shared" si="3"/>
        <v>21</v>
      </c>
    </row>
    <row r="9" spans="1:46" x14ac:dyDescent="0.2">
      <c r="C9" s="7"/>
      <c r="E9" s="7"/>
      <c r="F9" s="11" t="s">
        <v>1053</v>
      </c>
      <c r="G9" s="11">
        <f>COUNTIF($B$2:$B$496,"*design*")</f>
        <v>15</v>
      </c>
      <c r="H9" s="11">
        <f>COUNTIF($D$2:$D$496,"*design*")</f>
        <v>4</v>
      </c>
      <c r="K9" s="11" t="s">
        <v>3371</v>
      </c>
      <c r="L9" s="11">
        <f>COUNTIF($B$2:$B$496,"*expertise*")+COUNTIF($B$2:$B$496,"*development*")</f>
        <v>16</v>
      </c>
      <c r="M9" s="11">
        <f>COUNTIF($D$2:$D$496,"*development*")+COUNTIF($D$2:$D$496,"*expertise*")</f>
        <v>14</v>
      </c>
      <c r="P9" s="11" t="s">
        <v>3371</v>
      </c>
      <c r="Q9" s="7">
        <f t="shared" si="0"/>
        <v>-16</v>
      </c>
      <c r="R9" s="7">
        <f t="shared" si="1"/>
        <v>14</v>
      </c>
      <c r="W9" s="11" t="s">
        <v>3371</v>
      </c>
      <c r="X9" s="11">
        <f>COUNTIF($B$2:$B$496,"*expertise*")+COUNTIF($B$2:$B$496,"*development*")</f>
        <v>16</v>
      </c>
      <c r="Y9" s="11">
        <f>COUNTIF($D$2:$D$496,"*development*")+COUNTIF($D$2:$D$496,"*expertise*")</f>
        <v>14</v>
      </c>
      <c r="AQ9" s="11" t="s">
        <v>3371</v>
      </c>
      <c r="AR9" s="11">
        <f t="shared" si="2"/>
        <v>-16</v>
      </c>
      <c r="AS9" s="11">
        <f t="shared" si="3"/>
        <v>14</v>
      </c>
    </row>
    <row r="10" spans="1:46" ht="38.25" x14ac:dyDescent="0.2">
      <c r="A10" s="7" t="s">
        <v>219</v>
      </c>
      <c r="B10" s="21" t="s">
        <v>899</v>
      </c>
      <c r="C10" s="7" t="s">
        <v>220</v>
      </c>
      <c r="D10" s="21" t="s">
        <v>3422</v>
      </c>
      <c r="E10" s="7"/>
      <c r="F10" s="11" t="s">
        <v>4028</v>
      </c>
      <c r="G10" s="11">
        <f>COUNTIF($B$2:$B$496,"*samples*")+COUNTIF($B$2:$B$496,"*controls*")</f>
        <v>29</v>
      </c>
      <c r="H10" s="11">
        <f>COUNTIF($D$2:$D$496,"*samples*")+COUNTIF($D$2:$D$496,"*controls*")</f>
        <v>0</v>
      </c>
      <c r="K10" s="11" t="s">
        <v>3376</v>
      </c>
      <c r="L10" s="11">
        <f>COUNTIF($B$2:$B$496,"*data management*")+COUNTIF($B$2:$B$496,"*metadata*")+COUNTIF($B$2:$B$496,"*documentation*")</f>
        <v>15</v>
      </c>
      <c r="M10" s="11">
        <f>COUNTIF($D$2:$D$496,"*data management*")</f>
        <v>19</v>
      </c>
      <c r="P10" s="11" t="s">
        <v>3376</v>
      </c>
      <c r="Q10" s="7">
        <f t="shared" si="0"/>
        <v>-15</v>
      </c>
      <c r="R10" s="7">
        <f t="shared" si="1"/>
        <v>19</v>
      </c>
      <c r="W10" s="11" t="s">
        <v>4029</v>
      </c>
      <c r="X10" s="7">
        <f>COUNTIF($B$2:$B$496,"*data management*")+COUNTIF($B$2:$B$496,"*metadata*")+COUNTIF($B$2:$B$496,"*documentation*")+COUNTIF($B$2:$B$496,"*sample management*")+COUNTIF($B$2:$B$496,"*project management*")+COUNTIF($B$2:$B$496,"*CF management*")+COUNTIF($B$2:$B$496,"*infrastructure*")+COUNTIF($B$2:$B$496,"*automa*")</f>
        <v>15</v>
      </c>
      <c r="Y10" s="7">
        <f>COUNTIF($D$2:$D$496,"*data management*")+COUNTIF($D$2:$D$496,"*sample management*")+COUNTIF($D$2:$D$496,"*project management*")+COUNTIF($D$2:$D$496,"*CF management*")+COUNTIF($D$2:$D$496,"*infrastructure*")+COUNTIF($D$2:$D$496,"*automa*")</f>
        <v>46</v>
      </c>
      <c r="AQ10" s="11" t="s">
        <v>4019</v>
      </c>
      <c r="AR10" s="11">
        <f t="shared" si="2"/>
        <v>-15</v>
      </c>
      <c r="AS10" s="11">
        <f t="shared" si="3"/>
        <v>46</v>
      </c>
      <c r="AT10" s="11" t="s">
        <v>4029</v>
      </c>
    </row>
    <row r="11" spans="1:46" ht="38.25" x14ac:dyDescent="0.2">
      <c r="A11" s="7" t="s">
        <v>236</v>
      </c>
      <c r="B11" s="21" t="s">
        <v>899</v>
      </c>
      <c r="C11" s="7" t="s">
        <v>237</v>
      </c>
      <c r="D11" s="21" t="s">
        <v>3423</v>
      </c>
      <c r="E11" s="7"/>
      <c r="F11" s="11" t="s">
        <v>3327</v>
      </c>
      <c r="G11" s="11">
        <f>COUNTIF($B$2:$B$496,"*good scientific practice*")</f>
        <v>12</v>
      </c>
      <c r="H11" s="11">
        <f>COUNTIF($D$2:$D$496,"*good scientific practice*")</f>
        <v>0</v>
      </c>
      <c r="K11" s="11" t="s">
        <v>1053</v>
      </c>
      <c r="L11" s="11">
        <f>COUNTIF($B$2:$B$496,"*design*")</f>
        <v>15</v>
      </c>
      <c r="M11" s="11">
        <f>COUNTIF($D$2:$D$496,"*design*")</f>
        <v>4</v>
      </c>
      <c r="P11" s="11" t="s">
        <v>1053</v>
      </c>
      <c r="Q11" s="7">
        <f t="shared" si="0"/>
        <v>-15</v>
      </c>
      <c r="R11" s="7">
        <f t="shared" si="1"/>
        <v>4</v>
      </c>
      <c r="W11" s="11" t="s">
        <v>1053</v>
      </c>
      <c r="X11" s="11">
        <f>COUNTIF($B$2:$B$496,"*design*")</f>
        <v>15</v>
      </c>
      <c r="Y11" s="11">
        <f>COUNTIF($D$2:$D$496,"*design*")</f>
        <v>4</v>
      </c>
      <c r="AQ11" s="11" t="s">
        <v>1053</v>
      </c>
      <c r="AR11" s="11">
        <f t="shared" si="2"/>
        <v>-15</v>
      </c>
      <c r="AS11" s="11">
        <f t="shared" si="3"/>
        <v>4</v>
      </c>
    </row>
    <row r="12" spans="1:46" x14ac:dyDescent="0.2">
      <c r="A12" s="7" t="s">
        <v>4030</v>
      </c>
      <c r="B12" s="21" t="s">
        <v>1061</v>
      </c>
      <c r="C12" s="7" t="s">
        <v>249</v>
      </c>
      <c r="D12" s="21" t="s">
        <v>1498</v>
      </c>
      <c r="E12" s="7"/>
      <c r="F12" s="11" t="s">
        <v>3373</v>
      </c>
      <c r="G12" s="11">
        <f>COUNTIF($B$2:$B$496,"*SOP*")</f>
        <v>32</v>
      </c>
      <c r="H12" s="11">
        <f>COUNTIF($D$2:$D$496,"*SOP*")+COUNTIF($D$2:$D$496,"*standard*")</f>
        <v>2</v>
      </c>
      <c r="K12" s="11" t="s">
        <v>3327</v>
      </c>
      <c r="L12" s="11">
        <f>COUNTIF($B$2:$B$496,"*good scientific practice*")</f>
        <v>12</v>
      </c>
      <c r="M12" s="11">
        <f>COUNTIF($D$2:$D$496,"*good scientific practice*")</f>
        <v>0</v>
      </c>
      <c r="P12" s="11" t="s">
        <v>3327</v>
      </c>
      <c r="Q12" s="7">
        <f t="shared" si="0"/>
        <v>-12</v>
      </c>
      <c r="R12" s="7">
        <f t="shared" si="1"/>
        <v>0</v>
      </c>
      <c r="W12" s="11" t="s">
        <v>3375</v>
      </c>
      <c r="X12" s="11">
        <f>COUNTIF($B$2:$B$496,"*data collection*")</f>
        <v>5</v>
      </c>
      <c r="Y12" s="11">
        <f>COUNTIF($D$2:$D$496,"*data collection*")</f>
        <v>0</v>
      </c>
      <c r="AQ12" s="11" t="s">
        <v>3375</v>
      </c>
      <c r="AR12" s="11">
        <f t="shared" si="2"/>
        <v>-5</v>
      </c>
      <c r="AS12" s="11">
        <f t="shared" si="3"/>
        <v>0</v>
      </c>
    </row>
    <row r="13" spans="1:46" ht="38.25" x14ac:dyDescent="0.2">
      <c r="A13" s="7" t="s">
        <v>269</v>
      </c>
      <c r="B13" s="21" t="s">
        <v>3297</v>
      </c>
      <c r="C13" s="7" t="s">
        <v>4031</v>
      </c>
      <c r="D13" s="21" t="s">
        <v>1057</v>
      </c>
      <c r="E13" s="7"/>
      <c r="F13" s="11" t="s">
        <v>3374</v>
      </c>
      <c r="G13" s="11">
        <f>COUNTIF($B$2:$B$496,"*equipment*")</f>
        <v>41</v>
      </c>
      <c r="H13" s="11">
        <f>COUNTIF($D$2:$D$496,"*equipment*")</f>
        <v>36</v>
      </c>
      <c r="K13" s="11" t="s">
        <v>3442</v>
      </c>
      <c r="L13" s="11">
        <f>COUNTIF($B$2:$B$496,"*sample management*")+COUNTIF($B$2:$B$496,"*project management*")</f>
        <v>0</v>
      </c>
      <c r="M13" s="11">
        <f>COUNTIF($D$2:$D$496,"*sample management*")+COUNTIF($D$2:$D$496,"*project management*")</f>
        <v>11</v>
      </c>
      <c r="P13" s="11" t="s">
        <v>3442</v>
      </c>
      <c r="Q13" s="7">
        <f t="shared" si="0"/>
        <v>0</v>
      </c>
      <c r="R13" s="7">
        <f t="shared" si="1"/>
        <v>11</v>
      </c>
    </row>
    <row r="14" spans="1:46" ht="38.25" x14ac:dyDescent="0.2">
      <c r="A14" s="7" t="s">
        <v>286</v>
      </c>
      <c r="B14" s="21" t="s">
        <v>1041</v>
      </c>
      <c r="C14" s="7" t="s">
        <v>287</v>
      </c>
      <c r="D14" s="21" t="s">
        <v>1062</v>
      </c>
      <c r="E14" s="7"/>
      <c r="F14" s="11" t="s">
        <v>3375</v>
      </c>
      <c r="G14" s="11">
        <f>COUNTIF($B$2:$B$496,"*data collection*")</f>
        <v>5</v>
      </c>
      <c r="H14" s="11">
        <f>COUNTIF($D$2:$D$496,"*data collection*")</f>
        <v>0</v>
      </c>
      <c r="K14" s="11" t="s">
        <v>4027</v>
      </c>
      <c r="L14" s="11">
        <f>COUNTIF($B$2:$B$496,"*CF management*")+COUNTIF($B$2:$B$496,"*infrastructure*")</f>
        <v>0</v>
      </c>
      <c r="M14" s="11">
        <f>COUNTIF($D$2:$D$496,"*CF management*")+COUNTIF($D$2:$D$496,"*infrastructure*")</f>
        <v>8</v>
      </c>
      <c r="P14" s="11" t="s">
        <v>4027</v>
      </c>
      <c r="Q14" s="7">
        <f t="shared" si="0"/>
        <v>0</v>
      </c>
      <c r="R14" s="7">
        <f t="shared" si="1"/>
        <v>8</v>
      </c>
      <c r="W14" s="28"/>
      <c r="X14" s="28"/>
      <c r="Y14" s="28"/>
      <c r="AC14" s="2"/>
    </row>
    <row r="15" spans="1:46" ht="38.25" x14ac:dyDescent="0.2">
      <c r="A15" s="7" t="s">
        <v>3377</v>
      </c>
      <c r="B15" s="21" t="s">
        <v>3968</v>
      </c>
      <c r="C15" s="7" t="s">
        <v>307</v>
      </c>
      <c r="D15" s="21" t="s">
        <v>3438</v>
      </c>
      <c r="E15" s="7"/>
      <c r="F15" s="11" t="s">
        <v>3376</v>
      </c>
      <c r="G15" s="11">
        <f>COUNTIF($B$2:$B$496,"*data management*")+COUNTIF($B$2:$B$496,"*metadata*")+COUNTIF($B$2:$B$496,"*documentation*")</f>
        <v>15</v>
      </c>
      <c r="H15" s="11">
        <f>COUNTIF($D$2:$D$496,"*data management*")</f>
        <v>19</v>
      </c>
      <c r="K15" s="11" t="s">
        <v>3443</v>
      </c>
      <c r="L15" s="11">
        <f>COUNTIF($B$2:$B$496,"*automa*")</f>
        <v>0</v>
      </c>
      <c r="M15" s="11">
        <f>COUNTIF($D$2:$D$496,"*automa*")</f>
        <v>8</v>
      </c>
      <c r="P15" s="11" t="s">
        <v>3443</v>
      </c>
      <c r="Q15" s="7">
        <f t="shared" si="0"/>
        <v>0</v>
      </c>
      <c r="R15" s="7">
        <f t="shared" si="1"/>
        <v>8</v>
      </c>
      <c r="W15" s="28"/>
      <c r="X15" s="28"/>
      <c r="Y15" s="28"/>
    </row>
    <row r="16" spans="1:46" ht="25.5" x14ac:dyDescent="0.2">
      <c r="A16" s="7" t="s">
        <v>321</v>
      </c>
      <c r="B16" s="21" t="s">
        <v>3378</v>
      </c>
      <c r="C16" s="7" t="s">
        <v>322</v>
      </c>
      <c r="D16" s="21" t="s">
        <v>1498</v>
      </c>
      <c r="E16" s="7"/>
      <c r="F16" s="11" t="s">
        <v>1431</v>
      </c>
      <c r="G16" s="11">
        <f>COUNTIF($B$2:$B$496,"*data analysis*")</f>
        <v>20</v>
      </c>
      <c r="H16" s="11">
        <f>COUNTIF($D$2:$D$496,"*data analysis*")</f>
        <v>21</v>
      </c>
      <c r="K16" s="11" t="s">
        <v>3375</v>
      </c>
      <c r="L16" s="11">
        <f>COUNTIF($B$2:$B$496,"*data collection*")</f>
        <v>5</v>
      </c>
      <c r="M16" s="11">
        <f>COUNTIF($D$2:$D$496,"*data collection*")</f>
        <v>0</v>
      </c>
      <c r="P16" s="11" t="s">
        <v>3375</v>
      </c>
      <c r="Q16" s="7">
        <f t="shared" si="0"/>
        <v>-5</v>
      </c>
      <c r="R16" s="7">
        <f t="shared" si="1"/>
        <v>0</v>
      </c>
    </row>
    <row r="17" spans="1:18" ht="51" x14ac:dyDescent="0.2">
      <c r="A17" s="7" t="s">
        <v>333</v>
      </c>
      <c r="B17" s="21" t="s">
        <v>1048</v>
      </c>
      <c r="C17" s="7" t="s">
        <v>334</v>
      </c>
      <c r="D17" s="21" t="s">
        <v>3424</v>
      </c>
      <c r="E17" s="7"/>
      <c r="F17" s="11" t="s">
        <v>1054</v>
      </c>
      <c r="G17" s="11">
        <f>COUNTIF($B$2:$B$496,"*quality*")</f>
        <v>22</v>
      </c>
      <c r="H17" s="11">
        <f>COUNTIF($D$2:$D$496,"*quality*")</f>
        <v>7</v>
      </c>
      <c r="K17" s="11" t="s">
        <v>3335</v>
      </c>
      <c r="L17" s="11">
        <f>COUNTIF($B$2:$B$496,"*reporting*")</f>
        <v>3</v>
      </c>
      <c r="M17" s="11">
        <f>COUNTIF($D$2:$D$496,"*reporting*")</f>
        <v>1</v>
      </c>
      <c r="P17" s="11" t="s">
        <v>3335</v>
      </c>
      <c r="Q17" s="7">
        <f t="shared" si="0"/>
        <v>-3</v>
      </c>
      <c r="R17" s="7">
        <f t="shared" si="1"/>
        <v>1</v>
      </c>
    </row>
    <row r="18" spans="1:18" ht="25.5" x14ac:dyDescent="0.2">
      <c r="A18" s="7" t="s">
        <v>347</v>
      </c>
      <c r="B18" s="21" t="s">
        <v>3327</v>
      </c>
      <c r="C18" s="7" t="s">
        <v>4032</v>
      </c>
      <c r="D18" s="21" t="s">
        <v>3425</v>
      </c>
      <c r="E18" s="7"/>
      <c r="F18" s="11" t="s">
        <v>3335</v>
      </c>
      <c r="G18" s="11">
        <f>COUNTIF($B$2:$B$496,"*reporting*")</f>
        <v>3</v>
      </c>
      <c r="H18" s="11">
        <f>COUNTIF($D$2:$D$496,"*reporting*")</f>
        <v>1</v>
      </c>
      <c r="K18" s="11" t="s">
        <v>1059</v>
      </c>
      <c r="L18" s="11">
        <f>COUNTIF($B$2:$B$496,"*funding*")</f>
        <v>0</v>
      </c>
      <c r="M18" s="11">
        <f>COUNTIF($D$2:$D$496,"*funding*")</f>
        <v>4</v>
      </c>
      <c r="P18" s="11" t="s">
        <v>1059</v>
      </c>
      <c r="Q18" s="7">
        <f t="shared" si="0"/>
        <v>0</v>
      </c>
      <c r="R18" s="7">
        <f t="shared" si="1"/>
        <v>4</v>
      </c>
    </row>
    <row r="19" spans="1:18" ht="63.75" x14ac:dyDescent="0.2">
      <c r="A19" s="7"/>
      <c r="C19" s="7" t="s">
        <v>361</v>
      </c>
      <c r="D19" s="21" t="s">
        <v>3395</v>
      </c>
      <c r="E19" s="7"/>
      <c r="F19" s="11" t="s">
        <v>1059</v>
      </c>
      <c r="G19" s="11">
        <f>COUNTIF($B$2:$B$496,"*funding*")</f>
        <v>0</v>
      </c>
      <c r="H19" s="11">
        <f>COUNTIF($D$2:$D$496,"*funding*")</f>
        <v>4</v>
      </c>
      <c r="K19" s="11" t="s">
        <v>1062</v>
      </c>
      <c r="L19" s="11">
        <f>COUNTIF($B$2:$B$496,"*recognition*")</f>
        <v>0</v>
      </c>
      <c r="M19" s="11">
        <f>COUNTIF($D$2:$D$496,"*recognition*")</f>
        <v>3</v>
      </c>
      <c r="P19" s="11" t="s">
        <v>1062</v>
      </c>
      <c r="Q19" s="7">
        <f t="shared" si="0"/>
        <v>0</v>
      </c>
      <c r="R19" s="7">
        <f t="shared" si="1"/>
        <v>3</v>
      </c>
    </row>
    <row r="20" spans="1:18" x14ac:dyDescent="0.2">
      <c r="A20" s="52"/>
      <c r="C20" s="52"/>
      <c r="E20" s="7"/>
      <c r="F20" s="11" t="s">
        <v>1062</v>
      </c>
      <c r="G20" s="11">
        <f>COUNTIF($B$2:$B$496,"*recognition*")</f>
        <v>0</v>
      </c>
      <c r="H20" s="11">
        <f>COUNTIF($D$2:$D$496,"*recognition*")</f>
        <v>3</v>
      </c>
      <c r="P20" s="11"/>
    </row>
    <row r="21" spans="1:18" x14ac:dyDescent="0.2">
      <c r="A21" s="52"/>
      <c r="C21" s="52"/>
      <c r="E21" s="7"/>
    </row>
    <row r="22" spans="1:18" x14ac:dyDescent="0.2">
      <c r="A22" s="7"/>
      <c r="C22" s="7"/>
      <c r="E22" s="7"/>
    </row>
    <row r="23" spans="1:18" x14ac:dyDescent="0.2">
      <c r="A23" s="7"/>
      <c r="C23" s="7"/>
      <c r="E23" s="7"/>
    </row>
    <row r="24" spans="1:18" ht="25.5" x14ac:dyDescent="0.2">
      <c r="A24" s="7" t="s">
        <v>399</v>
      </c>
      <c r="B24" s="21" t="s">
        <v>3379</v>
      </c>
      <c r="C24" s="7" t="s">
        <v>400</v>
      </c>
      <c r="D24" s="21" t="s">
        <v>3416</v>
      </c>
      <c r="E24" s="7"/>
    </row>
    <row r="25" spans="1:18" ht="25.5" x14ac:dyDescent="0.2">
      <c r="A25" s="7" t="s">
        <v>414</v>
      </c>
      <c r="B25" s="21" t="s">
        <v>3349</v>
      </c>
      <c r="C25" s="7" t="s">
        <v>415</v>
      </c>
      <c r="D25" s="21" t="s">
        <v>1498</v>
      </c>
      <c r="E25" s="7"/>
    </row>
    <row r="26" spans="1:18" x14ac:dyDescent="0.2">
      <c r="A26" s="7"/>
      <c r="C26" s="7"/>
      <c r="E26" s="7"/>
    </row>
    <row r="27" spans="1:18" x14ac:dyDescent="0.2">
      <c r="A27" s="7"/>
      <c r="C27" s="7" t="s">
        <v>442</v>
      </c>
      <c r="D27" s="21" t="s">
        <v>1498</v>
      </c>
      <c r="E27" s="7"/>
    </row>
    <row r="28" spans="1:18" ht="216.75" x14ac:dyDescent="0.2">
      <c r="A28" s="7" t="s">
        <v>4033</v>
      </c>
      <c r="B28" s="21" t="s">
        <v>3969</v>
      </c>
      <c r="C28" s="7" t="s">
        <v>459</v>
      </c>
      <c r="D28" s="21" t="s">
        <v>1431</v>
      </c>
      <c r="E28" s="7"/>
    </row>
    <row r="29" spans="1:18" x14ac:dyDescent="0.2">
      <c r="A29" s="7"/>
      <c r="C29" s="7" t="s">
        <v>473</v>
      </c>
      <c r="D29" s="21" t="s">
        <v>1498</v>
      </c>
      <c r="E29" s="7"/>
    </row>
    <row r="30" spans="1:18" ht="63.75" x14ac:dyDescent="0.2">
      <c r="A30" s="7" t="s">
        <v>490</v>
      </c>
      <c r="B30" s="21" t="s">
        <v>3350</v>
      </c>
      <c r="C30" s="7" t="s">
        <v>491</v>
      </c>
      <c r="D30" s="21" t="s">
        <v>1057</v>
      </c>
      <c r="E30" s="7"/>
    </row>
    <row r="31" spans="1:18" ht="25.5" x14ac:dyDescent="0.2">
      <c r="A31" s="7" t="s">
        <v>504</v>
      </c>
      <c r="B31" s="21" t="s">
        <v>1431</v>
      </c>
      <c r="C31" s="7" t="s">
        <v>3392</v>
      </c>
      <c r="D31" s="21" t="s">
        <v>1498</v>
      </c>
      <c r="E31" s="7"/>
    </row>
    <row r="32" spans="1:18" ht="25.5" x14ac:dyDescent="0.2">
      <c r="A32" s="7"/>
      <c r="C32" s="7" t="s">
        <v>515</v>
      </c>
      <c r="D32" s="21" t="s">
        <v>1053</v>
      </c>
      <c r="E32" s="7"/>
    </row>
    <row r="33" spans="1:5" x14ac:dyDescent="0.2">
      <c r="A33" s="7"/>
      <c r="C33" s="7"/>
      <c r="E33" s="7"/>
    </row>
    <row r="34" spans="1:5" ht="25.5" x14ac:dyDescent="0.2">
      <c r="A34" s="7" t="s">
        <v>536</v>
      </c>
      <c r="B34" s="21" t="s">
        <v>1041</v>
      </c>
      <c r="C34" s="7" t="s">
        <v>537</v>
      </c>
      <c r="D34" s="21" t="s">
        <v>3263</v>
      </c>
      <c r="E34" s="7"/>
    </row>
    <row r="35" spans="1:5" ht="25.5" x14ac:dyDescent="0.2">
      <c r="A35" s="7" t="s">
        <v>557</v>
      </c>
      <c r="B35" s="21" t="s">
        <v>1042</v>
      </c>
      <c r="C35" s="7" t="s">
        <v>558</v>
      </c>
      <c r="D35" s="21" t="s">
        <v>1059</v>
      </c>
      <c r="E35" s="7"/>
    </row>
    <row r="36" spans="1:5" ht="38.25" x14ac:dyDescent="0.2">
      <c r="A36" s="7" t="s">
        <v>575</v>
      </c>
      <c r="B36" s="21" t="s">
        <v>3970</v>
      </c>
      <c r="C36" s="7" t="s">
        <v>576</v>
      </c>
      <c r="D36" s="21" t="s">
        <v>1431</v>
      </c>
      <c r="E36" s="7"/>
    </row>
    <row r="37" spans="1:5" x14ac:dyDescent="0.2">
      <c r="A37" s="7" t="s">
        <v>591</v>
      </c>
      <c r="B37" s="21" t="s">
        <v>1043</v>
      </c>
      <c r="C37" s="7" t="s">
        <v>592</v>
      </c>
      <c r="D37" s="21" t="s">
        <v>1055</v>
      </c>
      <c r="E37" s="7"/>
    </row>
    <row r="38" spans="1:5" ht="165.75" x14ac:dyDescent="0.2">
      <c r="A38" s="7" t="s">
        <v>609</v>
      </c>
      <c r="B38" s="21" t="s">
        <v>3299</v>
      </c>
      <c r="C38" s="7" t="s">
        <v>610</v>
      </c>
      <c r="D38" s="21" t="s">
        <v>3394</v>
      </c>
      <c r="E38" s="7"/>
    </row>
    <row r="39" spans="1:5" ht="178.5" x14ac:dyDescent="0.2">
      <c r="A39" s="7" t="s">
        <v>3336</v>
      </c>
      <c r="B39" s="21" t="s">
        <v>3300</v>
      </c>
      <c r="C39" s="11" t="s">
        <v>4034</v>
      </c>
      <c r="D39" s="21" t="s">
        <v>3426</v>
      </c>
      <c r="E39" s="7"/>
    </row>
    <row r="40" spans="1:5" ht="38.25" x14ac:dyDescent="0.2">
      <c r="A40" s="7" t="s">
        <v>3337</v>
      </c>
      <c r="B40" s="21" t="s">
        <v>1049</v>
      </c>
      <c r="C40" s="11" t="s">
        <v>747</v>
      </c>
      <c r="D40" s="21" t="s">
        <v>3427</v>
      </c>
      <c r="E40" s="7"/>
    </row>
    <row r="41" spans="1:5" ht="89.25" x14ac:dyDescent="0.2">
      <c r="A41" s="7" t="s">
        <v>4035</v>
      </c>
      <c r="B41" s="21" t="s">
        <v>3971</v>
      </c>
      <c r="C41" s="7" t="s">
        <v>767</v>
      </c>
      <c r="D41" s="21" t="s">
        <v>3927</v>
      </c>
      <c r="E41" s="7"/>
    </row>
    <row r="42" spans="1:5" ht="63.75" x14ac:dyDescent="0.2">
      <c r="A42" s="7"/>
      <c r="C42" s="7" t="s">
        <v>779</v>
      </c>
      <c r="D42" s="21" t="s">
        <v>3428</v>
      </c>
      <c r="E42" s="7"/>
    </row>
    <row r="43" spans="1:5" x14ac:dyDescent="0.2">
      <c r="A43" s="7"/>
      <c r="C43" s="7"/>
      <c r="E43" s="7"/>
    </row>
    <row r="44" spans="1:5" ht="102" x14ac:dyDescent="0.2">
      <c r="A44" s="7" t="s">
        <v>4036</v>
      </c>
      <c r="B44" s="21" t="s">
        <v>3390</v>
      </c>
      <c r="C44" s="7" t="s">
        <v>802</v>
      </c>
      <c r="D44" s="21" t="s">
        <v>1053</v>
      </c>
      <c r="E44" s="7"/>
    </row>
    <row r="45" spans="1:5" x14ac:dyDescent="0.2">
      <c r="A45" s="33"/>
      <c r="C45" s="52"/>
      <c r="E45" s="7"/>
    </row>
    <row r="46" spans="1:5" x14ac:dyDescent="0.2">
      <c r="C46" s="7"/>
      <c r="E46" s="7"/>
    </row>
    <row r="47" spans="1:5" ht="51" x14ac:dyDescent="0.2">
      <c r="A47" s="7" t="s">
        <v>837</v>
      </c>
      <c r="B47" s="21" t="s">
        <v>3301</v>
      </c>
      <c r="C47" s="7"/>
      <c r="E47" s="7"/>
    </row>
    <row r="48" spans="1:5" ht="38.25" x14ac:dyDescent="0.2">
      <c r="A48" s="7" t="s">
        <v>853</v>
      </c>
      <c r="B48" s="21" t="s">
        <v>1043</v>
      </c>
      <c r="C48" s="7" t="s">
        <v>854</v>
      </c>
      <c r="D48" s="21" t="s">
        <v>3415</v>
      </c>
      <c r="E48" s="7"/>
    </row>
    <row r="49" spans="1:5" ht="25.5" x14ac:dyDescent="0.2">
      <c r="A49" s="7"/>
      <c r="C49" s="7" t="s">
        <v>864</v>
      </c>
      <c r="D49" s="21" t="s">
        <v>1057</v>
      </c>
      <c r="E49" s="7"/>
    </row>
    <row r="50" spans="1:5" ht="25.5" x14ac:dyDescent="0.2">
      <c r="A50" s="7" t="s">
        <v>877</v>
      </c>
      <c r="B50" s="21" t="s">
        <v>3302</v>
      </c>
      <c r="C50" s="7" t="s">
        <v>4037</v>
      </c>
      <c r="D50" s="21" t="s">
        <v>3429</v>
      </c>
      <c r="E50" s="7"/>
    </row>
    <row r="51" spans="1:5" ht="63.75" x14ac:dyDescent="0.2">
      <c r="A51" s="7" t="s">
        <v>890</v>
      </c>
      <c r="B51" s="21" t="s">
        <v>3331</v>
      </c>
      <c r="C51" s="7"/>
      <c r="E51" s="7"/>
    </row>
    <row r="52" spans="1:5" x14ac:dyDescent="0.2">
      <c r="A52" s="7" t="s">
        <v>898</v>
      </c>
      <c r="B52" s="21" t="s">
        <v>3052</v>
      </c>
      <c r="C52" s="7" t="s">
        <v>899</v>
      </c>
      <c r="D52" s="21" t="s">
        <v>1498</v>
      </c>
      <c r="E52" s="7"/>
    </row>
    <row r="53" spans="1:5" x14ac:dyDescent="0.2">
      <c r="A53" s="7"/>
      <c r="C53" s="7"/>
      <c r="E53" s="7"/>
    </row>
    <row r="54" spans="1:5" ht="38.25" x14ac:dyDescent="0.2">
      <c r="A54" s="7" t="s">
        <v>917</v>
      </c>
      <c r="B54" s="21" t="s">
        <v>1051</v>
      </c>
      <c r="C54" s="7" t="s">
        <v>918</v>
      </c>
      <c r="D54" s="21" t="s">
        <v>1498</v>
      </c>
      <c r="E54" s="7"/>
    </row>
    <row r="55" spans="1:5" x14ac:dyDescent="0.2">
      <c r="C55" s="7"/>
      <c r="E55" s="7"/>
    </row>
    <row r="56" spans="1:5" ht="63.75" x14ac:dyDescent="0.2">
      <c r="A56" s="7" t="s">
        <v>943</v>
      </c>
      <c r="B56" s="21" t="s">
        <v>1044</v>
      </c>
      <c r="C56" s="7" t="s">
        <v>944</v>
      </c>
      <c r="D56" s="21" t="s">
        <v>1060</v>
      </c>
      <c r="E56" s="7"/>
    </row>
    <row r="57" spans="1:5" ht="38.25" x14ac:dyDescent="0.2">
      <c r="A57" s="7" t="s">
        <v>959</v>
      </c>
      <c r="B57" s="21" t="s">
        <v>3303</v>
      </c>
      <c r="C57" s="7" t="s">
        <v>4038</v>
      </c>
      <c r="D57" s="21" t="s">
        <v>3430</v>
      </c>
      <c r="E57" s="7"/>
    </row>
    <row r="58" spans="1:5" x14ac:dyDescent="0.2">
      <c r="A58" s="7"/>
      <c r="C58" s="7"/>
      <c r="E58" s="7"/>
    </row>
    <row r="59" spans="1:5" ht="89.25" x14ac:dyDescent="0.2">
      <c r="A59" s="7" t="s">
        <v>1089</v>
      </c>
      <c r="B59" s="21" t="s">
        <v>3972</v>
      </c>
      <c r="C59" s="7" t="s">
        <v>1090</v>
      </c>
      <c r="D59" s="21" t="s">
        <v>1498</v>
      </c>
      <c r="E59" s="7"/>
    </row>
    <row r="60" spans="1:5" x14ac:dyDescent="0.2">
      <c r="C60" s="7"/>
      <c r="E60" s="7"/>
    </row>
    <row r="61" spans="1:5" x14ac:dyDescent="0.2">
      <c r="C61" s="7"/>
      <c r="E61" s="7"/>
    </row>
    <row r="62" spans="1:5" ht="38.25" x14ac:dyDescent="0.2">
      <c r="A62" s="7" t="s">
        <v>4039</v>
      </c>
      <c r="B62" s="21" t="s">
        <v>3973</v>
      </c>
      <c r="C62" s="7" t="s">
        <v>1307</v>
      </c>
      <c r="D62" s="21" t="s">
        <v>3396</v>
      </c>
      <c r="E62" s="7"/>
    </row>
    <row r="63" spans="1:5" ht="51" x14ac:dyDescent="0.2">
      <c r="A63" s="7" t="s">
        <v>1317</v>
      </c>
      <c r="B63" s="21" t="s">
        <v>3974</v>
      </c>
      <c r="C63" s="7" t="s">
        <v>899</v>
      </c>
      <c r="D63" s="21" t="s">
        <v>1498</v>
      </c>
      <c r="E63" s="7"/>
    </row>
    <row r="64" spans="1:5" ht="76.5" x14ac:dyDescent="0.2">
      <c r="A64" s="7" t="s">
        <v>1334</v>
      </c>
      <c r="B64" s="21" t="s">
        <v>3307</v>
      </c>
      <c r="C64" s="7" t="s">
        <v>4040</v>
      </c>
      <c r="D64" s="21" t="s">
        <v>3419</v>
      </c>
      <c r="E64" s="7"/>
    </row>
    <row r="65" spans="1:5" x14ac:dyDescent="0.2">
      <c r="A65" s="52"/>
      <c r="C65" s="52"/>
      <c r="E65" s="7"/>
    </row>
    <row r="66" spans="1:5" x14ac:dyDescent="0.2">
      <c r="A66" s="7" t="s">
        <v>1351</v>
      </c>
      <c r="B66" s="21" t="s">
        <v>899</v>
      </c>
      <c r="C66" s="7" t="s">
        <v>1352</v>
      </c>
      <c r="D66" s="21" t="s">
        <v>1498</v>
      </c>
      <c r="E66" s="7"/>
    </row>
    <row r="67" spans="1:5" x14ac:dyDescent="0.2">
      <c r="C67" s="7"/>
      <c r="E67" s="7"/>
    </row>
    <row r="68" spans="1:5" ht="25.5" x14ac:dyDescent="0.2">
      <c r="A68" s="7" t="s">
        <v>2852</v>
      </c>
      <c r="B68" s="21" t="s">
        <v>3329</v>
      </c>
      <c r="C68" s="7" t="s">
        <v>1371</v>
      </c>
      <c r="D68" s="21" t="s">
        <v>3439</v>
      </c>
      <c r="E68" s="7"/>
    </row>
    <row r="69" spans="1:5" x14ac:dyDescent="0.2">
      <c r="C69" s="7"/>
      <c r="E69" s="7"/>
    </row>
    <row r="70" spans="1:5" x14ac:dyDescent="0.2">
      <c r="C70" s="7"/>
      <c r="E70" s="7"/>
    </row>
    <row r="71" spans="1:5" ht="38.25" x14ac:dyDescent="0.2">
      <c r="A71" s="7" t="s">
        <v>2853</v>
      </c>
      <c r="B71" s="21" t="s">
        <v>1057</v>
      </c>
      <c r="C71" s="7" t="s">
        <v>1380</v>
      </c>
      <c r="D71" s="21" t="s">
        <v>3447</v>
      </c>
      <c r="E71" s="7"/>
    </row>
    <row r="72" spans="1:5" ht="38.25" x14ac:dyDescent="0.2">
      <c r="A72" s="11" t="s">
        <v>1388</v>
      </c>
      <c r="B72" s="21" t="s">
        <v>3308</v>
      </c>
      <c r="C72" s="7" t="s">
        <v>1389</v>
      </c>
      <c r="D72" s="21" t="s">
        <v>3397</v>
      </c>
      <c r="E72" s="7"/>
    </row>
    <row r="73" spans="1:5" ht="38.25" x14ac:dyDescent="0.2">
      <c r="C73" s="11" t="s">
        <v>1396</v>
      </c>
      <c r="D73" s="21" t="s">
        <v>1498</v>
      </c>
      <c r="E73" s="7"/>
    </row>
    <row r="74" spans="1:5" x14ac:dyDescent="0.2">
      <c r="A74" s="33"/>
      <c r="C74" s="33"/>
      <c r="E74" s="7"/>
    </row>
    <row r="75" spans="1:5" ht="25.5" x14ac:dyDescent="0.2">
      <c r="A75" s="11" t="s">
        <v>4041</v>
      </c>
      <c r="B75" s="21" t="s">
        <v>3350</v>
      </c>
      <c r="C75" s="11" t="s">
        <v>1408</v>
      </c>
      <c r="D75" s="21" t="s">
        <v>1498</v>
      </c>
      <c r="E75" s="7"/>
    </row>
    <row r="76" spans="1:5" x14ac:dyDescent="0.2">
      <c r="A76" s="33"/>
      <c r="C76" s="33"/>
      <c r="E76" s="7"/>
    </row>
    <row r="77" spans="1:5" x14ac:dyDescent="0.2">
      <c r="A77" s="11" t="s">
        <v>1419</v>
      </c>
      <c r="B77" s="21" t="s">
        <v>1044</v>
      </c>
      <c r="C77" s="28" t="s">
        <v>1420</v>
      </c>
      <c r="E77" s="7"/>
    </row>
    <row r="78" spans="1:5" x14ac:dyDescent="0.2">
      <c r="E78" s="7"/>
    </row>
    <row r="79" spans="1:5" x14ac:dyDescent="0.2">
      <c r="E79" s="7"/>
    </row>
    <row r="80" spans="1:5" ht="25.5" x14ac:dyDescent="0.2">
      <c r="A80" s="11" t="s">
        <v>1440</v>
      </c>
      <c r="B80" s="21" t="s">
        <v>1043</v>
      </c>
      <c r="C80" s="11" t="s">
        <v>1441</v>
      </c>
      <c r="D80" s="21" t="s">
        <v>1055</v>
      </c>
      <c r="E80" s="7"/>
    </row>
    <row r="81" spans="1:5" ht="38.25" x14ac:dyDescent="0.2">
      <c r="A81" s="11" t="s">
        <v>1450</v>
      </c>
      <c r="B81" s="21" t="s">
        <v>3351</v>
      </c>
      <c r="C81" s="11" t="s">
        <v>1451</v>
      </c>
      <c r="D81" s="21" t="s">
        <v>3928</v>
      </c>
      <c r="E81" s="7"/>
    </row>
    <row r="82" spans="1:5" x14ac:dyDescent="0.2">
      <c r="E82" s="7"/>
    </row>
    <row r="83" spans="1:5" ht="25.5" x14ac:dyDescent="0.2">
      <c r="A83" s="11" t="s">
        <v>1469</v>
      </c>
      <c r="B83" s="21" t="s">
        <v>3350</v>
      </c>
      <c r="C83" s="11" t="s">
        <v>1470</v>
      </c>
      <c r="D83" s="21" t="s">
        <v>3439</v>
      </c>
      <c r="E83" s="7"/>
    </row>
    <row r="84" spans="1:5" ht="51" x14ac:dyDescent="0.2">
      <c r="A84" s="11" t="s">
        <v>4042</v>
      </c>
      <c r="B84" s="21" t="s">
        <v>3319</v>
      </c>
      <c r="C84" s="11" t="s">
        <v>4043</v>
      </c>
      <c r="D84" s="21" t="s">
        <v>3448</v>
      </c>
      <c r="E84" s="7"/>
    </row>
    <row r="85" spans="1:5" x14ac:dyDescent="0.2">
      <c r="A85" s="11" t="s">
        <v>1497</v>
      </c>
      <c r="B85" s="21" t="s">
        <v>3309</v>
      </c>
      <c r="C85" s="11" t="s">
        <v>1498</v>
      </c>
      <c r="D85" s="21" t="s">
        <v>1498</v>
      </c>
      <c r="E85" s="7"/>
    </row>
    <row r="86" spans="1:5" ht="25.5" x14ac:dyDescent="0.2">
      <c r="A86" s="11" t="s">
        <v>1514</v>
      </c>
      <c r="B86" s="21" t="s">
        <v>3310</v>
      </c>
      <c r="C86" s="11" t="s">
        <v>1515</v>
      </c>
      <c r="E86" s="7"/>
    </row>
    <row r="87" spans="1:5" x14ac:dyDescent="0.2">
      <c r="A87" s="33"/>
      <c r="C87" s="33"/>
      <c r="E87" s="7"/>
    </row>
    <row r="88" spans="1:5" ht="114.75" x14ac:dyDescent="0.2">
      <c r="A88" s="11" t="s">
        <v>1526</v>
      </c>
      <c r="B88" s="21" t="s">
        <v>899</v>
      </c>
      <c r="C88" s="64" t="s">
        <v>1527</v>
      </c>
      <c r="E88" s="7"/>
    </row>
    <row r="89" spans="1:5" ht="25.5" x14ac:dyDescent="0.2">
      <c r="A89" s="11" t="s">
        <v>1532</v>
      </c>
      <c r="B89" s="21" t="s">
        <v>3311</v>
      </c>
      <c r="C89" s="11" t="s">
        <v>1533</v>
      </c>
      <c r="D89" s="21" t="s">
        <v>3431</v>
      </c>
      <c r="E89" s="7"/>
    </row>
    <row r="90" spans="1:5" ht="89.25" x14ac:dyDescent="0.2">
      <c r="A90" s="11" t="s">
        <v>1539</v>
      </c>
      <c r="B90" s="21" t="s">
        <v>3380</v>
      </c>
      <c r="C90" s="11" t="s">
        <v>1540</v>
      </c>
      <c r="D90" s="21" t="s">
        <v>3449</v>
      </c>
      <c r="E90" s="7"/>
    </row>
    <row r="91" spans="1:5" x14ac:dyDescent="0.2">
      <c r="A91" s="11" t="s">
        <v>1549</v>
      </c>
      <c r="B91" s="21" t="s">
        <v>1043</v>
      </c>
      <c r="C91" s="11" t="s">
        <v>1550</v>
      </c>
      <c r="D91" s="21" t="s">
        <v>3399</v>
      </c>
      <c r="E91" s="7"/>
    </row>
    <row r="92" spans="1:5" x14ac:dyDescent="0.2">
      <c r="A92" s="33"/>
      <c r="C92" s="33"/>
      <c r="E92" s="7"/>
    </row>
    <row r="93" spans="1:5" x14ac:dyDescent="0.2">
      <c r="E93" s="7"/>
    </row>
    <row r="94" spans="1:5" x14ac:dyDescent="0.2">
      <c r="E94" s="7"/>
    </row>
    <row r="95" spans="1:5" ht="140.25" x14ac:dyDescent="0.2">
      <c r="A95" s="11" t="s">
        <v>4044</v>
      </c>
      <c r="B95" s="21" t="s">
        <v>3975</v>
      </c>
      <c r="C95" s="11" t="s">
        <v>1566</v>
      </c>
      <c r="D95" s="21" t="s">
        <v>1039</v>
      </c>
      <c r="E95" s="7"/>
    </row>
    <row r="96" spans="1:5" ht="63.75" x14ac:dyDescent="0.2">
      <c r="A96" s="11" t="s">
        <v>1581</v>
      </c>
      <c r="B96" s="21" t="s">
        <v>3312</v>
      </c>
      <c r="C96" s="11" t="s">
        <v>1582</v>
      </c>
      <c r="D96" s="21" t="s">
        <v>3428</v>
      </c>
      <c r="E96" s="7"/>
    </row>
    <row r="97" spans="1:5" ht="25.5" x14ac:dyDescent="0.2">
      <c r="A97" s="11" t="s">
        <v>1592</v>
      </c>
      <c r="B97" s="21" t="s">
        <v>899</v>
      </c>
      <c r="C97" s="11" t="s">
        <v>4045</v>
      </c>
      <c r="D97" s="21" t="s">
        <v>3400</v>
      </c>
      <c r="E97" s="7"/>
    </row>
    <row r="98" spans="1:5" ht="25.5" x14ac:dyDescent="0.2">
      <c r="A98" s="11" t="s">
        <v>1607</v>
      </c>
      <c r="B98" s="21" t="s">
        <v>3340</v>
      </c>
      <c r="C98" s="11" t="s">
        <v>1608</v>
      </c>
      <c r="D98" s="21" t="s">
        <v>1057</v>
      </c>
      <c r="E98" s="7"/>
    </row>
    <row r="99" spans="1:5" ht="25.5" x14ac:dyDescent="0.2">
      <c r="C99" s="11" t="s">
        <v>3889</v>
      </c>
      <c r="D99" s="21" t="s">
        <v>3420</v>
      </c>
      <c r="E99" s="7"/>
    </row>
    <row r="100" spans="1:5" ht="25.5" x14ac:dyDescent="0.2">
      <c r="A100" s="11" t="s">
        <v>1626</v>
      </c>
      <c r="B100" s="21" t="s">
        <v>1061</v>
      </c>
      <c r="C100" s="11" t="s">
        <v>1627</v>
      </c>
      <c r="D100" s="21" t="s">
        <v>3415</v>
      </c>
      <c r="E100" s="7"/>
    </row>
    <row r="101" spans="1:5" x14ac:dyDescent="0.2">
      <c r="E101" s="7"/>
    </row>
    <row r="102" spans="1:5" ht="38.25" x14ac:dyDescent="0.2">
      <c r="A102" s="11" t="s">
        <v>1649</v>
      </c>
      <c r="B102" s="21" t="s">
        <v>3313</v>
      </c>
      <c r="C102" s="11" t="s">
        <v>1650</v>
      </c>
      <c r="D102" s="21" t="s">
        <v>1498</v>
      </c>
      <c r="E102" s="7"/>
    </row>
    <row r="103" spans="1:5" x14ac:dyDescent="0.2">
      <c r="E103" s="7"/>
    </row>
    <row r="104" spans="1:5" x14ac:dyDescent="0.2">
      <c r="E104" s="7"/>
    </row>
    <row r="105" spans="1:5" ht="25.5" x14ac:dyDescent="0.2">
      <c r="C105" s="11" t="s">
        <v>1662</v>
      </c>
      <c r="D105" s="21" t="s">
        <v>1498</v>
      </c>
      <c r="E105" s="7"/>
    </row>
    <row r="106" spans="1:5" ht="38.25" x14ac:dyDescent="0.2">
      <c r="A106" s="11" t="s">
        <v>1671</v>
      </c>
      <c r="B106" s="21" t="s">
        <v>1043</v>
      </c>
      <c r="C106" s="11" t="s">
        <v>1672</v>
      </c>
      <c r="D106" s="21" t="s">
        <v>1055</v>
      </c>
      <c r="E106" s="7"/>
    </row>
    <row r="107" spans="1:5" x14ac:dyDescent="0.2">
      <c r="E107" s="7"/>
    </row>
    <row r="108" spans="1:5" x14ac:dyDescent="0.2">
      <c r="A108" s="11" t="s">
        <v>1498</v>
      </c>
      <c r="B108" s="21" t="s">
        <v>899</v>
      </c>
      <c r="C108" s="11" t="s">
        <v>1676</v>
      </c>
      <c r="D108" s="21" t="s">
        <v>3432</v>
      </c>
      <c r="E108" s="7"/>
    </row>
    <row r="109" spans="1:5" x14ac:dyDescent="0.2">
      <c r="C109" s="11" t="s">
        <v>1690</v>
      </c>
      <c r="D109" s="21" t="s">
        <v>2707</v>
      </c>
      <c r="E109" s="7"/>
    </row>
    <row r="110" spans="1:5" ht="63.75" x14ac:dyDescent="0.2">
      <c r="C110" s="11" t="s">
        <v>1699</v>
      </c>
      <c r="D110" s="21" t="s">
        <v>3263</v>
      </c>
      <c r="E110" s="7"/>
    </row>
    <row r="111" spans="1:5" x14ac:dyDescent="0.2">
      <c r="E111" s="7"/>
    </row>
    <row r="112" spans="1:5" ht="25.5" x14ac:dyDescent="0.2">
      <c r="A112" s="11" t="s">
        <v>1714</v>
      </c>
      <c r="B112" s="21" t="s">
        <v>1053</v>
      </c>
      <c r="C112" s="11" t="s">
        <v>1715</v>
      </c>
      <c r="D112" s="21" t="s">
        <v>3335</v>
      </c>
      <c r="E112" s="7"/>
    </row>
    <row r="113" spans="1:5" ht="25.5" x14ac:dyDescent="0.2">
      <c r="C113" s="11" t="s">
        <v>1720</v>
      </c>
      <c r="D113" s="21" t="s">
        <v>3263</v>
      </c>
      <c r="E113" s="7"/>
    </row>
    <row r="114" spans="1:5" x14ac:dyDescent="0.2">
      <c r="A114" s="33"/>
      <c r="C114" s="33"/>
      <c r="E114" s="7"/>
    </row>
    <row r="115" spans="1:5" ht="25.5" x14ac:dyDescent="0.2">
      <c r="A115" s="11" t="s">
        <v>1727</v>
      </c>
      <c r="B115" s="21" t="s">
        <v>899</v>
      </c>
      <c r="C115" s="11" t="s">
        <v>1728</v>
      </c>
      <c r="D115" s="21" t="s">
        <v>1059</v>
      </c>
      <c r="E115" s="7"/>
    </row>
    <row r="116" spans="1:5" ht="51" x14ac:dyDescent="0.2">
      <c r="A116" s="11" t="s">
        <v>4046</v>
      </c>
      <c r="B116" s="21" t="s">
        <v>3976</v>
      </c>
      <c r="C116" s="11" t="s">
        <v>4047</v>
      </c>
      <c r="D116" s="21" t="s">
        <v>1431</v>
      </c>
      <c r="E116" s="7"/>
    </row>
    <row r="117" spans="1:5" x14ac:dyDescent="0.2">
      <c r="A117" s="11" t="s">
        <v>1746</v>
      </c>
      <c r="B117" s="21" t="s">
        <v>3273</v>
      </c>
      <c r="C117" s="11" t="s">
        <v>1746</v>
      </c>
      <c r="D117" s="21" t="s">
        <v>1498</v>
      </c>
      <c r="E117" s="7"/>
    </row>
    <row r="118" spans="1:5" x14ac:dyDescent="0.2">
      <c r="A118" s="11" t="s">
        <v>1757</v>
      </c>
      <c r="B118" s="21" t="s">
        <v>1044</v>
      </c>
      <c r="C118" s="11" t="s">
        <v>1758</v>
      </c>
      <c r="D118" s="21" t="s">
        <v>3403</v>
      </c>
      <c r="E118" s="7"/>
    </row>
    <row r="119" spans="1:5" ht="76.5" x14ac:dyDescent="0.2">
      <c r="A119" s="11" t="s">
        <v>3315</v>
      </c>
      <c r="B119" s="21" t="s">
        <v>3316</v>
      </c>
      <c r="C119" s="11" t="s">
        <v>1764</v>
      </c>
      <c r="D119" s="21" t="s">
        <v>1059</v>
      </c>
      <c r="E119" s="7"/>
    </row>
    <row r="120" spans="1:5" ht="25.5" x14ac:dyDescent="0.2">
      <c r="A120" s="11" t="s">
        <v>1776</v>
      </c>
      <c r="B120" s="21" t="s">
        <v>3317</v>
      </c>
      <c r="C120" s="11" t="s">
        <v>1777</v>
      </c>
      <c r="D120" s="21" t="s">
        <v>1498</v>
      </c>
      <c r="E120" s="7"/>
    </row>
    <row r="121" spans="1:5" x14ac:dyDescent="0.2">
      <c r="A121" s="11" t="s">
        <v>1785</v>
      </c>
      <c r="E121" s="7"/>
    </row>
    <row r="122" spans="1:5" ht="38.25" x14ac:dyDescent="0.2">
      <c r="A122" s="11" t="s">
        <v>1798</v>
      </c>
      <c r="B122" s="21" t="s">
        <v>3381</v>
      </c>
      <c r="C122" s="11" t="s">
        <v>4048</v>
      </c>
      <c r="D122" s="21" t="s">
        <v>1055</v>
      </c>
      <c r="E122" s="7"/>
    </row>
    <row r="123" spans="1:5" x14ac:dyDescent="0.2">
      <c r="E123" s="7"/>
    </row>
    <row r="124" spans="1:5" ht="76.5" x14ac:dyDescent="0.2">
      <c r="A124" s="11" t="s">
        <v>1815</v>
      </c>
      <c r="B124" s="21" t="s">
        <v>3977</v>
      </c>
      <c r="C124" s="11" t="s">
        <v>1816</v>
      </c>
      <c r="D124" s="21" t="s">
        <v>3404</v>
      </c>
      <c r="E124" s="7"/>
    </row>
    <row r="125" spans="1:5" ht="25.5" x14ac:dyDescent="0.2">
      <c r="A125" s="11" t="s">
        <v>1827</v>
      </c>
      <c r="B125" s="21" t="s">
        <v>3319</v>
      </c>
      <c r="C125" s="11" t="s">
        <v>1828</v>
      </c>
      <c r="D125" s="21" t="s">
        <v>3433</v>
      </c>
      <c r="E125" s="7"/>
    </row>
    <row r="126" spans="1:5" x14ac:dyDescent="0.2">
      <c r="E126" s="7"/>
    </row>
    <row r="127" spans="1:5" ht="102" x14ac:dyDescent="0.2">
      <c r="C127" s="11" t="s">
        <v>4049</v>
      </c>
      <c r="E127" s="7"/>
    </row>
    <row r="128" spans="1:5" ht="25.5" x14ac:dyDescent="0.2">
      <c r="A128" s="11" t="s">
        <v>1849</v>
      </c>
      <c r="B128" s="21" t="s">
        <v>3275</v>
      </c>
      <c r="C128" s="11" t="s">
        <v>1850</v>
      </c>
      <c r="D128" s="21" t="s">
        <v>3425</v>
      </c>
      <c r="E128" s="7"/>
    </row>
    <row r="129" spans="1:5" ht="51" x14ac:dyDescent="0.2">
      <c r="A129" s="11" t="s">
        <v>1862</v>
      </c>
      <c r="B129" s="21" t="s">
        <v>3321</v>
      </c>
      <c r="C129" s="11" t="s">
        <v>1863</v>
      </c>
      <c r="D129" s="21" t="s">
        <v>1055</v>
      </c>
    </row>
    <row r="130" spans="1:5" ht="38.25" x14ac:dyDescent="0.2">
      <c r="A130" s="11" t="s">
        <v>1874</v>
      </c>
      <c r="B130" s="21" t="s">
        <v>3976</v>
      </c>
      <c r="C130" s="11" t="s">
        <v>1875</v>
      </c>
      <c r="E130" s="7"/>
    </row>
    <row r="131" spans="1:5" ht="63.75" x14ac:dyDescent="0.2">
      <c r="A131" s="11" t="s">
        <v>3323</v>
      </c>
      <c r="B131" s="21" t="s">
        <v>3322</v>
      </c>
      <c r="C131" s="11" t="s">
        <v>1888</v>
      </c>
      <c r="D131" s="21" t="s">
        <v>1055</v>
      </c>
    </row>
    <row r="133" spans="1:5" x14ac:dyDescent="0.2">
      <c r="A133" s="11" t="s">
        <v>1901</v>
      </c>
      <c r="B133" s="21" t="s">
        <v>366</v>
      </c>
      <c r="C133" s="11" t="s">
        <v>1902</v>
      </c>
      <c r="D133" s="21" t="s">
        <v>1431</v>
      </c>
    </row>
    <row r="135" spans="1:5" ht="25.5" x14ac:dyDescent="0.2">
      <c r="A135" s="11" t="s">
        <v>4050</v>
      </c>
      <c r="B135" s="21" t="s">
        <v>1043</v>
      </c>
      <c r="C135" s="11" t="s">
        <v>1910</v>
      </c>
      <c r="D135" s="21" t="s">
        <v>3263</v>
      </c>
    </row>
    <row r="136" spans="1:5" ht="38.25" x14ac:dyDescent="0.2">
      <c r="A136" s="11" t="s">
        <v>2279</v>
      </c>
      <c r="B136" s="21" t="s">
        <v>3324</v>
      </c>
      <c r="C136" s="11" t="s">
        <v>2280</v>
      </c>
      <c r="D136" s="21" t="s">
        <v>1039</v>
      </c>
    </row>
    <row r="137" spans="1:5" ht="25.5" x14ac:dyDescent="0.2">
      <c r="C137" s="11" t="s">
        <v>2284</v>
      </c>
      <c r="D137" s="21" t="s">
        <v>1498</v>
      </c>
    </row>
    <row r="139" spans="1:5" x14ac:dyDescent="0.2">
      <c r="A139" s="33"/>
      <c r="C139" s="33"/>
    </row>
    <row r="140" spans="1:5" ht="63.75" x14ac:dyDescent="0.2">
      <c r="A140" s="11" t="s">
        <v>2290</v>
      </c>
      <c r="B140" s="21" t="s">
        <v>3321</v>
      </c>
      <c r="C140" s="11" t="s">
        <v>2291</v>
      </c>
      <c r="D140" s="21" t="s">
        <v>3275</v>
      </c>
    </row>
    <row r="142" spans="1:5" ht="25.5" x14ac:dyDescent="0.2">
      <c r="A142" s="11" t="s">
        <v>2296</v>
      </c>
      <c r="B142" s="21" t="s">
        <v>899</v>
      </c>
      <c r="C142" s="11" t="s">
        <v>4051</v>
      </c>
      <c r="D142" s="21" t="s">
        <v>3397</v>
      </c>
    </row>
    <row r="143" spans="1:5" x14ac:dyDescent="0.2">
      <c r="A143" s="33"/>
      <c r="C143" s="33"/>
    </row>
    <row r="145" spans="1:4" ht="25.5" x14ac:dyDescent="0.2">
      <c r="A145" s="11" t="s">
        <v>2302</v>
      </c>
      <c r="B145" s="21" t="s">
        <v>3388</v>
      </c>
      <c r="C145" s="11" t="s">
        <v>2303</v>
      </c>
      <c r="D145" s="21" t="s">
        <v>1039</v>
      </c>
    </row>
    <row r="146" spans="1:4" ht="76.5" x14ac:dyDescent="0.2">
      <c r="C146" s="11" t="s">
        <v>2308</v>
      </c>
      <c r="D146" s="21" t="s">
        <v>1057</v>
      </c>
    </row>
    <row r="149" spans="1:4" ht="25.5" x14ac:dyDescent="0.2">
      <c r="A149" s="11" t="s">
        <v>2314</v>
      </c>
      <c r="B149" s="21" t="s">
        <v>899</v>
      </c>
      <c r="C149" s="11" t="s">
        <v>2315</v>
      </c>
      <c r="D149" s="21" t="s">
        <v>148</v>
      </c>
    </row>
    <row r="150" spans="1:4" ht="89.25" x14ac:dyDescent="0.2">
      <c r="A150" s="11" t="s">
        <v>2319</v>
      </c>
      <c r="C150" s="11" t="s">
        <v>2320</v>
      </c>
    </row>
    <row r="151" spans="1:4" x14ac:dyDescent="0.2">
      <c r="A151" s="11" t="s">
        <v>2323</v>
      </c>
      <c r="B151" s="21" t="s">
        <v>1055</v>
      </c>
      <c r="C151" s="11" t="s">
        <v>899</v>
      </c>
      <c r="D151" s="21" t="s">
        <v>1498</v>
      </c>
    </row>
    <row r="152" spans="1:4" x14ac:dyDescent="0.2">
      <c r="A152" s="33"/>
      <c r="C152" s="33"/>
    </row>
    <row r="153" spans="1:4" ht="25.5" x14ac:dyDescent="0.2">
      <c r="A153" s="11" t="s">
        <v>2328</v>
      </c>
      <c r="B153" s="21" t="s">
        <v>3325</v>
      </c>
      <c r="C153" s="11" t="s">
        <v>2329</v>
      </c>
      <c r="D153" s="21" t="s">
        <v>3403</v>
      </c>
    </row>
    <row r="157" spans="1:4" ht="51" x14ac:dyDescent="0.2">
      <c r="A157" s="11" t="s">
        <v>2336</v>
      </c>
      <c r="B157" s="21" t="s">
        <v>3326</v>
      </c>
    </row>
    <row r="158" spans="1:4" ht="25.5" x14ac:dyDescent="0.2">
      <c r="C158" s="11" t="s">
        <v>2340</v>
      </c>
      <c r="D158" s="21" t="s">
        <v>3405</v>
      </c>
    </row>
    <row r="159" spans="1:4" x14ac:dyDescent="0.2">
      <c r="A159" s="11" t="s">
        <v>2344</v>
      </c>
      <c r="B159" s="21" t="s">
        <v>3327</v>
      </c>
    </row>
    <row r="160" spans="1:4" ht="25.5" x14ac:dyDescent="0.2">
      <c r="A160" s="11" t="s">
        <v>2345</v>
      </c>
      <c r="B160" s="21" t="s">
        <v>1055</v>
      </c>
      <c r="C160" s="11" t="s">
        <v>2346</v>
      </c>
      <c r="D160" s="21" t="s">
        <v>1431</v>
      </c>
    </row>
    <row r="161" spans="1:4" ht="165.75" x14ac:dyDescent="0.2">
      <c r="A161" s="11" t="s">
        <v>4052</v>
      </c>
      <c r="B161" s="21" t="s">
        <v>3978</v>
      </c>
      <c r="C161" s="11" t="s">
        <v>2350</v>
      </c>
      <c r="D161" s="21" t="s">
        <v>3263</v>
      </c>
    </row>
    <row r="162" spans="1:4" ht="25.5" x14ac:dyDescent="0.2">
      <c r="A162" s="11" t="s">
        <v>2355</v>
      </c>
      <c r="B162" s="21" t="s">
        <v>3330</v>
      </c>
      <c r="C162" s="11" t="s">
        <v>2356</v>
      </c>
      <c r="D162" s="21" t="s">
        <v>1498</v>
      </c>
    </row>
    <row r="163" spans="1:4" ht="38.25" x14ac:dyDescent="0.2">
      <c r="A163" s="11" t="s">
        <v>2362</v>
      </c>
      <c r="B163" s="21" t="s">
        <v>3342</v>
      </c>
      <c r="C163" s="11" t="s">
        <v>2363</v>
      </c>
      <c r="D163" s="21" t="s">
        <v>3406</v>
      </c>
    </row>
    <row r="164" spans="1:4" ht="89.25" x14ac:dyDescent="0.2">
      <c r="A164" s="11" t="s">
        <v>2367</v>
      </c>
      <c r="B164" s="21" t="s">
        <v>3275</v>
      </c>
      <c r="C164" s="11" t="s">
        <v>2368</v>
      </c>
    </row>
    <row r="165" spans="1:4" ht="25.5" x14ac:dyDescent="0.2">
      <c r="C165" s="11" t="s">
        <v>2370</v>
      </c>
      <c r="D165" s="21" t="s">
        <v>3406</v>
      </c>
    </row>
    <row r="166" spans="1:4" ht="63.75" x14ac:dyDescent="0.2">
      <c r="A166" s="11" t="s">
        <v>2375</v>
      </c>
      <c r="B166" s="21" t="s">
        <v>709</v>
      </c>
      <c r="C166" s="11" t="s">
        <v>2376</v>
      </c>
      <c r="D166" s="21" t="s">
        <v>1498</v>
      </c>
    </row>
    <row r="167" spans="1:4" ht="38.25" x14ac:dyDescent="0.2">
      <c r="A167" s="11" t="s">
        <v>2381</v>
      </c>
      <c r="B167" s="21" t="s">
        <v>3979</v>
      </c>
      <c r="C167" s="11" t="s">
        <v>2382</v>
      </c>
      <c r="D167" s="21" t="s">
        <v>3397</v>
      </c>
    </row>
    <row r="170" spans="1:4" ht="25.5" x14ac:dyDescent="0.2">
      <c r="A170" s="11" t="s">
        <v>2387</v>
      </c>
      <c r="B170" s="21" t="s">
        <v>1049</v>
      </c>
      <c r="C170" s="11" t="s">
        <v>2388</v>
      </c>
      <c r="D170" s="21" t="s">
        <v>3407</v>
      </c>
    </row>
    <row r="171" spans="1:4" x14ac:dyDescent="0.2">
      <c r="A171" s="11" t="s">
        <v>2393</v>
      </c>
      <c r="B171" s="21" t="s">
        <v>3309</v>
      </c>
      <c r="C171" s="11" t="s">
        <v>2394</v>
      </c>
      <c r="D171" s="21" t="s">
        <v>1498</v>
      </c>
    </row>
    <row r="172" spans="1:4" ht="89.25" x14ac:dyDescent="0.2">
      <c r="A172" s="11" t="s">
        <v>3333</v>
      </c>
      <c r="B172" s="21" t="s">
        <v>3332</v>
      </c>
      <c r="C172" s="11" t="s">
        <v>2398</v>
      </c>
      <c r="D172" s="21" t="s">
        <v>3434</v>
      </c>
    </row>
    <row r="173" spans="1:4" ht="89.25" x14ac:dyDescent="0.2">
      <c r="A173" s="19" t="s">
        <v>2402</v>
      </c>
      <c r="B173" s="21" t="s">
        <v>3334</v>
      </c>
      <c r="C173" s="11" t="s">
        <v>2403</v>
      </c>
      <c r="D173" s="21" t="s">
        <v>3417</v>
      </c>
    </row>
    <row r="174" spans="1:4" ht="38.25" x14ac:dyDescent="0.2">
      <c r="A174" s="11" t="s">
        <v>2408</v>
      </c>
      <c r="B174" s="21" t="s">
        <v>899</v>
      </c>
      <c r="C174" s="11" t="s">
        <v>2409</v>
      </c>
      <c r="D174" s="21" t="s">
        <v>1498</v>
      </c>
    </row>
    <row r="175" spans="1:4" ht="38.25" x14ac:dyDescent="0.2">
      <c r="A175" s="64" t="s">
        <v>2412</v>
      </c>
      <c r="B175" s="21" t="s">
        <v>3335</v>
      </c>
      <c r="C175" s="11" t="s">
        <v>2413</v>
      </c>
      <c r="D175" s="21" t="s">
        <v>1039</v>
      </c>
    </row>
    <row r="176" spans="1:4" ht="25.5" x14ac:dyDescent="0.2">
      <c r="A176" s="11" t="s">
        <v>4053</v>
      </c>
      <c r="B176" s="21" t="s">
        <v>899</v>
      </c>
      <c r="C176" s="11" t="s">
        <v>2421</v>
      </c>
      <c r="D176" s="21" t="s">
        <v>1498</v>
      </c>
    </row>
    <row r="178" spans="1:4" ht="25.5" x14ac:dyDescent="0.2">
      <c r="A178" s="11" t="s">
        <v>2426</v>
      </c>
      <c r="B178" s="21" t="s">
        <v>1040</v>
      </c>
      <c r="C178" s="11" t="s">
        <v>2427</v>
      </c>
      <c r="D178" s="21" t="s">
        <v>3428</v>
      </c>
    </row>
    <row r="179" spans="1:4" ht="63.75" x14ac:dyDescent="0.2">
      <c r="A179" s="11" t="s">
        <v>2430</v>
      </c>
      <c r="B179" s="21" t="s">
        <v>3382</v>
      </c>
      <c r="C179" s="11" t="s">
        <v>2431</v>
      </c>
      <c r="D179" s="21" t="s">
        <v>3425</v>
      </c>
    </row>
    <row r="180" spans="1:4" ht="38.25" x14ac:dyDescent="0.2">
      <c r="A180" s="11" t="s">
        <v>2436</v>
      </c>
      <c r="B180" s="21" t="s">
        <v>3352</v>
      </c>
      <c r="C180" s="11" t="s">
        <v>2437</v>
      </c>
      <c r="D180" s="21" t="s">
        <v>1498</v>
      </c>
    </row>
    <row r="181" spans="1:4" ht="25.5" x14ac:dyDescent="0.2">
      <c r="A181" s="11" t="s">
        <v>2442</v>
      </c>
      <c r="B181" s="21" t="s">
        <v>1055</v>
      </c>
      <c r="C181" s="11" t="s">
        <v>2443</v>
      </c>
      <c r="D181" s="21" t="s">
        <v>1055</v>
      </c>
    </row>
    <row r="183" spans="1:4" ht="51" x14ac:dyDescent="0.2">
      <c r="A183" s="11" t="s">
        <v>2448</v>
      </c>
      <c r="B183" s="21" t="s">
        <v>3970</v>
      </c>
      <c r="C183" s="11" t="s">
        <v>2449</v>
      </c>
      <c r="D183" s="21" t="s">
        <v>1431</v>
      </c>
    </row>
    <row r="184" spans="1:4" ht="63.75" x14ac:dyDescent="0.2">
      <c r="A184" s="11" t="s">
        <v>2454</v>
      </c>
      <c r="B184" s="21" t="s">
        <v>899</v>
      </c>
      <c r="C184" s="11" t="s">
        <v>2455</v>
      </c>
      <c r="D184" s="21" t="s">
        <v>1498</v>
      </c>
    </row>
    <row r="185" spans="1:4" x14ac:dyDescent="0.2">
      <c r="C185" s="11" t="s">
        <v>2459</v>
      </c>
      <c r="D185" s="21" t="s">
        <v>1055</v>
      </c>
    </row>
    <row r="187" spans="1:4" ht="51" x14ac:dyDescent="0.2">
      <c r="A187" s="11" t="s">
        <v>2462</v>
      </c>
      <c r="B187" s="21" t="s">
        <v>3339</v>
      </c>
      <c r="C187" s="11" t="s">
        <v>2463</v>
      </c>
    </row>
    <row r="190" spans="1:4" ht="25.5" x14ac:dyDescent="0.2">
      <c r="A190" s="11" t="s">
        <v>2467</v>
      </c>
      <c r="B190" s="21" t="s">
        <v>3970</v>
      </c>
    </row>
    <row r="191" spans="1:4" ht="25.5" x14ac:dyDescent="0.2">
      <c r="A191" s="11" t="s">
        <v>2469</v>
      </c>
      <c r="B191" s="21" t="s">
        <v>3327</v>
      </c>
      <c r="C191" s="11" t="s">
        <v>2470</v>
      </c>
      <c r="D191" s="21" t="s">
        <v>3408</v>
      </c>
    </row>
    <row r="192" spans="1:4" ht="89.25" x14ac:dyDescent="0.2">
      <c r="C192" s="11" t="s">
        <v>2472</v>
      </c>
      <c r="D192" s="21" t="s">
        <v>3417</v>
      </c>
    </row>
    <row r="194" spans="1:4" ht="38.25" x14ac:dyDescent="0.2">
      <c r="A194" s="11" t="s">
        <v>4054</v>
      </c>
      <c r="B194" s="21" t="s">
        <v>3370</v>
      </c>
      <c r="C194" s="11" t="s">
        <v>2475</v>
      </c>
      <c r="D194" s="21" t="s">
        <v>3406</v>
      </c>
    </row>
    <row r="195" spans="1:4" ht="25.5" x14ac:dyDescent="0.2">
      <c r="A195" s="11" t="s">
        <v>4055</v>
      </c>
      <c r="B195" s="21" t="s">
        <v>3383</v>
      </c>
      <c r="C195" s="11" t="s">
        <v>2477</v>
      </c>
      <c r="D195" s="21" t="s">
        <v>1059</v>
      </c>
    </row>
    <row r="196" spans="1:4" ht="38.25" x14ac:dyDescent="0.2">
      <c r="A196" s="11" t="s">
        <v>2500</v>
      </c>
      <c r="B196" s="21" t="s">
        <v>3340</v>
      </c>
      <c r="C196" s="11" t="s">
        <v>2501</v>
      </c>
      <c r="D196" s="21" t="s">
        <v>1431</v>
      </c>
    </row>
    <row r="197" spans="1:4" ht="38.25" x14ac:dyDescent="0.2">
      <c r="A197" s="11" t="s">
        <v>2513</v>
      </c>
      <c r="B197" s="21" t="s">
        <v>3384</v>
      </c>
      <c r="C197" s="11" t="s">
        <v>2514</v>
      </c>
    </row>
    <row r="198" spans="1:4" x14ac:dyDescent="0.2">
      <c r="A198" s="33"/>
      <c r="C198" s="33"/>
    </row>
    <row r="199" spans="1:4" x14ac:dyDescent="0.2">
      <c r="A199" s="33"/>
      <c r="C199" s="33"/>
    </row>
    <row r="201" spans="1:4" ht="102" x14ac:dyDescent="0.2">
      <c r="A201" s="11" t="s">
        <v>4056</v>
      </c>
      <c r="B201" s="21" t="s">
        <v>3341</v>
      </c>
      <c r="C201" s="11" t="s">
        <v>2538</v>
      </c>
      <c r="D201" s="21" t="s">
        <v>3450</v>
      </c>
    </row>
    <row r="202" spans="1:4" ht="38.25" x14ac:dyDescent="0.2">
      <c r="A202" s="11" t="s">
        <v>2543</v>
      </c>
      <c r="B202" s="21" t="s">
        <v>3342</v>
      </c>
      <c r="C202" s="11" t="s">
        <v>2544</v>
      </c>
      <c r="D202" s="21" t="s">
        <v>1055</v>
      </c>
    </row>
    <row r="203" spans="1:4" ht="89.25" x14ac:dyDescent="0.2">
      <c r="A203" s="11" t="s">
        <v>4057</v>
      </c>
      <c r="B203" s="21" t="s">
        <v>3343</v>
      </c>
      <c r="C203" s="11" t="s">
        <v>2555</v>
      </c>
      <c r="D203" s="21" t="s">
        <v>1498</v>
      </c>
    </row>
    <row r="207" spans="1:4" x14ac:dyDescent="0.2">
      <c r="A207" s="33"/>
      <c r="C207" s="33"/>
    </row>
    <row r="209" spans="1:4" x14ac:dyDescent="0.2">
      <c r="A209" s="11" t="s">
        <v>2570</v>
      </c>
      <c r="B209" s="21" t="s">
        <v>3970</v>
      </c>
      <c r="C209" s="11" t="s">
        <v>2571</v>
      </c>
      <c r="D209" s="21" t="s">
        <v>1498</v>
      </c>
    </row>
    <row r="210" spans="1:4" ht="51" x14ac:dyDescent="0.2">
      <c r="A210" s="11" t="s">
        <v>2582</v>
      </c>
      <c r="B210" s="21" t="s">
        <v>3980</v>
      </c>
      <c r="C210" s="11" t="s">
        <v>2583</v>
      </c>
      <c r="D210" s="21" t="s">
        <v>3428</v>
      </c>
    </row>
    <row r="211" spans="1:4" ht="25.5" x14ac:dyDescent="0.2">
      <c r="A211" s="11" t="s">
        <v>4058</v>
      </c>
      <c r="B211" s="21" t="s">
        <v>1049</v>
      </c>
      <c r="C211" s="11" t="s">
        <v>2592</v>
      </c>
    </row>
    <row r="212" spans="1:4" ht="63.75" x14ac:dyDescent="0.2">
      <c r="A212" s="11" t="s">
        <v>2611</v>
      </c>
      <c r="B212" s="21" t="s">
        <v>3344</v>
      </c>
      <c r="C212" s="11" t="s">
        <v>2612</v>
      </c>
      <c r="D212" s="21" t="s">
        <v>3409</v>
      </c>
    </row>
    <row r="213" spans="1:4" ht="114.75" x14ac:dyDescent="0.2">
      <c r="A213" s="11" t="s">
        <v>2627</v>
      </c>
      <c r="B213" s="21" t="s">
        <v>3981</v>
      </c>
      <c r="C213" s="11" t="s">
        <v>2628</v>
      </c>
      <c r="D213" s="21" t="s">
        <v>3428</v>
      </c>
    </row>
    <row r="214" spans="1:4" x14ac:dyDescent="0.2">
      <c r="C214" s="11" t="s">
        <v>2634</v>
      </c>
      <c r="D214" s="21" t="s">
        <v>1055</v>
      </c>
    </row>
    <row r="215" spans="1:4" ht="38.25" x14ac:dyDescent="0.2">
      <c r="A215" s="11" t="s">
        <v>2639</v>
      </c>
      <c r="B215" s="21" t="s">
        <v>3982</v>
      </c>
      <c r="C215" s="11" t="s">
        <v>164</v>
      </c>
      <c r="D215" s="21" t="s">
        <v>1431</v>
      </c>
    </row>
    <row r="216" spans="1:4" x14ac:dyDescent="0.2">
      <c r="A216" s="33"/>
      <c r="C216" s="33"/>
    </row>
    <row r="217" spans="1:4" ht="25.5" x14ac:dyDescent="0.2">
      <c r="A217" s="11" t="s">
        <v>2650</v>
      </c>
      <c r="B217" s="21" t="s">
        <v>1043</v>
      </c>
      <c r="C217" s="11" t="s">
        <v>2651</v>
      </c>
      <c r="D217" s="21" t="s">
        <v>3418</v>
      </c>
    </row>
    <row r="219" spans="1:4" ht="38.25" x14ac:dyDescent="0.2">
      <c r="A219" s="11" t="s">
        <v>2664</v>
      </c>
      <c r="B219" s="21" t="s">
        <v>3347</v>
      </c>
      <c r="C219" s="11" t="s">
        <v>2665</v>
      </c>
      <c r="D219" s="21" t="s">
        <v>1498</v>
      </c>
    </row>
    <row r="221" spans="1:4" ht="38.25" x14ac:dyDescent="0.2">
      <c r="A221" s="11" t="s">
        <v>2673</v>
      </c>
      <c r="B221" s="21" t="s">
        <v>1040</v>
      </c>
      <c r="C221" s="11" t="s">
        <v>4059</v>
      </c>
      <c r="D221" s="21" t="s">
        <v>3424</v>
      </c>
    </row>
    <row r="222" spans="1:4" x14ac:dyDescent="0.2">
      <c r="A222" s="11" t="s">
        <v>2679</v>
      </c>
      <c r="B222" s="21" t="s">
        <v>3348</v>
      </c>
      <c r="C222" s="11" t="s">
        <v>2680</v>
      </c>
      <c r="D222" s="21" t="s">
        <v>1498</v>
      </c>
    </row>
    <row r="223" spans="1:4" x14ac:dyDescent="0.2">
      <c r="C223" s="11" t="s">
        <v>2690</v>
      </c>
      <c r="D223" s="21" t="s">
        <v>3263</v>
      </c>
    </row>
    <row r="224" spans="1:4" x14ac:dyDescent="0.2">
      <c r="A224" s="33"/>
      <c r="C224" s="33"/>
    </row>
    <row r="225" spans="1:4" ht="89.25" x14ac:dyDescent="0.2">
      <c r="A225" s="11" t="s">
        <v>2703</v>
      </c>
      <c r="B225" s="21" t="s">
        <v>3353</v>
      </c>
      <c r="C225" s="11" t="s">
        <v>2704</v>
      </c>
    </row>
    <row r="226" spans="1:4" ht="38.25" x14ac:dyDescent="0.2">
      <c r="C226" s="11" t="s">
        <v>2716</v>
      </c>
      <c r="D226" s="21" t="s">
        <v>3428</v>
      </c>
    </row>
    <row r="227" spans="1:4" x14ac:dyDescent="0.2">
      <c r="A227" s="11" t="s">
        <v>2727</v>
      </c>
      <c r="B227" s="21" t="s">
        <v>3327</v>
      </c>
      <c r="C227" s="11" t="s">
        <v>2728</v>
      </c>
      <c r="D227" s="21" t="s">
        <v>3435</v>
      </c>
    </row>
    <row r="228" spans="1:4" ht="25.5" x14ac:dyDescent="0.2">
      <c r="A228" s="11" t="s">
        <v>2735</v>
      </c>
      <c r="B228" s="21" t="s">
        <v>3354</v>
      </c>
      <c r="C228" s="11" t="s">
        <v>2736</v>
      </c>
      <c r="D228" s="21" t="s">
        <v>3428</v>
      </c>
    </row>
    <row r="230" spans="1:4" ht="25.5" x14ac:dyDescent="0.2">
      <c r="C230" s="11" t="s">
        <v>4060</v>
      </c>
      <c r="D230" s="21" t="s">
        <v>3404</v>
      </c>
    </row>
    <row r="232" spans="1:4" ht="63.75" x14ac:dyDescent="0.2">
      <c r="A232" s="11" t="s">
        <v>2764</v>
      </c>
      <c r="B232" s="21" t="s">
        <v>3355</v>
      </c>
      <c r="C232" s="11" t="s">
        <v>2765</v>
      </c>
      <c r="D232" s="21" t="s">
        <v>3275</v>
      </c>
    </row>
    <row r="234" spans="1:4" ht="38.25" x14ac:dyDescent="0.2">
      <c r="C234" s="11" t="s">
        <v>2775</v>
      </c>
      <c r="D234" s="21" t="s">
        <v>3406</v>
      </c>
    </row>
    <row r="236" spans="1:4" ht="25.5" x14ac:dyDescent="0.2">
      <c r="A236" s="11" t="s">
        <v>2211</v>
      </c>
      <c r="B236" s="21" t="s">
        <v>3356</v>
      </c>
      <c r="C236" s="11" t="s">
        <v>2795</v>
      </c>
      <c r="D236" s="21" t="s">
        <v>2707</v>
      </c>
    </row>
    <row r="237" spans="1:4" ht="25.5" x14ac:dyDescent="0.2">
      <c r="A237" s="11" t="s">
        <v>2805</v>
      </c>
      <c r="B237" s="21" t="s">
        <v>3354</v>
      </c>
      <c r="C237" s="11" t="s">
        <v>2805</v>
      </c>
      <c r="D237" s="21" t="s">
        <v>3410</v>
      </c>
    </row>
    <row r="238" spans="1:4" ht="25.5" x14ac:dyDescent="0.2">
      <c r="A238" s="11" t="s">
        <v>2820</v>
      </c>
      <c r="B238" s="21" t="s">
        <v>3357</v>
      </c>
      <c r="C238" s="28" t="s">
        <v>2821</v>
      </c>
    </row>
    <row r="239" spans="1:4" ht="38.25" x14ac:dyDescent="0.2">
      <c r="A239" s="11" t="s">
        <v>2829</v>
      </c>
      <c r="B239" s="21" t="s">
        <v>3313</v>
      </c>
      <c r="C239" s="11" t="s">
        <v>2830</v>
      </c>
      <c r="D239" s="21" t="s">
        <v>3411</v>
      </c>
    </row>
    <row r="240" spans="1:4" x14ac:dyDescent="0.2">
      <c r="A240" s="11" t="s">
        <v>2839</v>
      </c>
      <c r="B240" s="21" t="s">
        <v>3970</v>
      </c>
      <c r="C240" s="11" t="s">
        <v>2840</v>
      </c>
      <c r="D240" s="21" t="s">
        <v>1055</v>
      </c>
    </row>
    <row r="241" spans="1:4" x14ac:dyDescent="0.2">
      <c r="A241" s="33"/>
      <c r="C241" s="33"/>
    </row>
    <row r="242" spans="1:4" ht="25.5" x14ac:dyDescent="0.2">
      <c r="A242" s="11" t="s">
        <v>2871</v>
      </c>
      <c r="B242" s="21" t="s">
        <v>3327</v>
      </c>
      <c r="C242" s="11" t="s">
        <v>2872</v>
      </c>
      <c r="D242" s="21" t="s">
        <v>3451</v>
      </c>
    </row>
    <row r="243" spans="1:4" ht="63.75" x14ac:dyDescent="0.2">
      <c r="C243" s="11" t="s">
        <v>2888</v>
      </c>
      <c r="D243" s="21" t="s">
        <v>1498</v>
      </c>
    </row>
    <row r="245" spans="1:4" ht="216.75" x14ac:dyDescent="0.2">
      <c r="A245" s="11" t="s">
        <v>2908</v>
      </c>
      <c r="B245" s="21" t="s">
        <v>3358</v>
      </c>
      <c r="C245" s="11" t="s">
        <v>4061</v>
      </c>
      <c r="D245" s="21" t="s">
        <v>3440</v>
      </c>
    </row>
    <row r="246" spans="1:4" ht="76.5" x14ac:dyDescent="0.2">
      <c r="A246" s="11" t="s">
        <v>2920</v>
      </c>
      <c r="B246" s="21" t="s">
        <v>3359</v>
      </c>
      <c r="C246" s="11" t="s">
        <v>2921</v>
      </c>
      <c r="D246" s="21" t="s">
        <v>3436</v>
      </c>
    </row>
    <row r="252" spans="1:4" ht="51" x14ac:dyDescent="0.2">
      <c r="A252" s="11" t="s">
        <v>4062</v>
      </c>
      <c r="B252" s="21" t="s">
        <v>3360</v>
      </c>
      <c r="C252" s="11" t="s">
        <v>2942</v>
      </c>
      <c r="D252" s="21" t="s">
        <v>1055</v>
      </c>
    </row>
    <row r="253" spans="1:4" ht="63.75" x14ac:dyDescent="0.2">
      <c r="A253" s="11" t="s">
        <v>4063</v>
      </c>
      <c r="B253" s="21" t="s">
        <v>3361</v>
      </c>
      <c r="C253" s="11" t="s">
        <v>4064</v>
      </c>
      <c r="D253" s="21" t="s">
        <v>3412</v>
      </c>
    </row>
    <row r="255" spans="1:4" ht="25.5" x14ac:dyDescent="0.2">
      <c r="A255" s="11" t="s">
        <v>2975</v>
      </c>
      <c r="B255" s="21" t="s">
        <v>3327</v>
      </c>
      <c r="C255" s="11" t="s">
        <v>2976</v>
      </c>
      <c r="D255" s="21" t="s">
        <v>1498</v>
      </c>
    </row>
    <row r="256" spans="1:4" x14ac:dyDescent="0.2">
      <c r="A256" s="33"/>
      <c r="C256" s="33"/>
    </row>
    <row r="257" spans="1:4" x14ac:dyDescent="0.2">
      <c r="A257" s="33"/>
      <c r="C257" s="33"/>
    </row>
    <row r="258" spans="1:4" ht="89.25" x14ac:dyDescent="0.2">
      <c r="A258" s="11" t="s">
        <v>2988</v>
      </c>
      <c r="B258" s="21" t="s">
        <v>3386</v>
      </c>
      <c r="C258" s="11" t="s">
        <v>2989</v>
      </c>
      <c r="D258" s="21" t="s">
        <v>1043</v>
      </c>
    </row>
    <row r="260" spans="1:4" ht="51" x14ac:dyDescent="0.2">
      <c r="A260" s="11" t="s">
        <v>3060</v>
      </c>
      <c r="B260" s="21" t="s">
        <v>3362</v>
      </c>
      <c r="C260" s="11" t="s">
        <v>3061</v>
      </c>
      <c r="D260" s="21" t="s">
        <v>3406</v>
      </c>
    </row>
    <row r="261" spans="1:4" ht="38.25" x14ac:dyDescent="0.2">
      <c r="C261" s="11" t="s">
        <v>3075</v>
      </c>
      <c r="D261" s="21" t="s">
        <v>1498</v>
      </c>
    </row>
    <row r="262" spans="1:4" ht="51" x14ac:dyDescent="0.2">
      <c r="A262" s="11" t="s">
        <v>3090</v>
      </c>
      <c r="B262" s="21" t="s">
        <v>3363</v>
      </c>
      <c r="C262" s="11" t="s">
        <v>3091</v>
      </c>
      <c r="D262" s="21" t="s">
        <v>3437</v>
      </c>
    </row>
    <row r="263" spans="1:4" ht="38.25" x14ac:dyDescent="0.2">
      <c r="A263" s="11" t="s">
        <v>3101</v>
      </c>
      <c r="B263" s="21" t="s">
        <v>3364</v>
      </c>
      <c r="C263" s="64" t="s">
        <v>3102</v>
      </c>
      <c r="D263" s="21" t="s">
        <v>3413</v>
      </c>
    </row>
    <row r="264" spans="1:4" ht="51" x14ac:dyDescent="0.2">
      <c r="A264" s="11" t="s">
        <v>3105</v>
      </c>
      <c r="B264" s="21" t="s">
        <v>3365</v>
      </c>
      <c r="C264" s="11" t="s">
        <v>3106</v>
      </c>
      <c r="D264" s="21" t="s">
        <v>1431</v>
      </c>
    </row>
    <row r="265" spans="1:4" ht="38.25" x14ac:dyDescent="0.2">
      <c r="A265" s="11" t="s">
        <v>3115</v>
      </c>
      <c r="B265" s="21" t="s">
        <v>3983</v>
      </c>
      <c r="C265" s="11" t="s">
        <v>3116</v>
      </c>
      <c r="D265" s="21" t="s">
        <v>3421</v>
      </c>
    </row>
    <row r="268" spans="1:4" ht="76.5" x14ac:dyDescent="0.2">
      <c r="A268" s="11" t="s">
        <v>3132</v>
      </c>
    </row>
    <row r="270" spans="1:4" x14ac:dyDescent="0.2">
      <c r="A270" s="11" t="s">
        <v>3148</v>
      </c>
      <c r="C270" s="11" t="s">
        <v>3149</v>
      </c>
      <c r="D270" s="21" t="s">
        <v>3406</v>
      </c>
    </row>
    <row r="271" spans="1:4" ht="25.5" x14ac:dyDescent="0.2">
      <c r="A271" s="11" t="s">
        <v>3160</v>
      </c>
      <c r="B271" s="21" t="s">
        <v>3367</v>
      </c>
      <c r="C271" s="11" t="s">
        <v>3161</v>
      </c>
      <c r="D271" s="21" t="s">
        <v>1055</v>
      </c>
    </row>
    <row r="272" spans="1:4" ht="63.75" x14ac:dyDescent="0.2">
      <c r="C272" s="11" t="s">
        <v>3171</v>
      </c>
      <c r="D272" s="21" t="s">
        <v>3410</v>
      </c>
    </row>
    <row r="273" spans="1:4" ht="25.5" x14ac:dyDescent="0.2">
      <c r="C273" s="11" t="s">
        <v>3178</v>
      </c>
      <c r="D273" s="21" t="s">
        <v>3414</v>
      </c>
    </row>
    <row r="274" spans="1:4" x14ac:dyDescent="0.2">
      <c r="A274" s="11" t="s">
        <v>4065</v>
      </c>
      <c r="B274" s="39" t="s">
        <v>899</v>
      </c>
    </row>
    <row r="275" spans="1:4" ht="51" x14ac:dyDescent="0.2">
      <c r="A275" s="11" t="s">
        <v>3591</v>
      </c>
      <c r="B275" s="39" t="s">
        <v>3396</v>
      </c>
      <c r="C275" s="11" t="s">
        <v>3592</v>
      </c>
      <c r="D275" s="21" t="s">
        <v>3403</v>
      </c>
    </row>
    <row r="276" spans="1:4" ht="51" x14ac:dyDescent="0.2">
      <c r="A276" s="11" t="s">
        <v>3598</v>
      </c>
      <c r="B276" s="39" t="s">
        <v>366</v>
      </c>
      <c r="C276" s="11" t="s">
        <v>3599</v>
      </c>
      <c r="D276" s="21" t="s">
        <v>3925</v>
      </c>
    </row>
    <row r="277" spans="1:4" ht="25.5" x14ac:dyDescent="0.2">
      <c r="A277" s="11" t="s">
        <v>4007</v>
      </c>
      <c r="B277" s="21" t="s">
        <v>709</v>
      </c>
      <c r="C277" s="11" t="s">
        <v>4008</v>
      </c>
      <c r="D277" s="21" t="s">
        <v>4011</v>
      </c>
    </row>
  </sheetData>
  <pageMargins left="0.5" right="0.5" top="1" bottom="1" header="0.5" footer="0.5"/>
  <pageSetup orientation="portrait" useFirstPageNumber="1" r:id="rId1"/>
  <headerFooter>
    <oddHeader>&amp;C&amp;"Times New Roman,Regular"&amp;12&amp;A</oddHeader>
    <oddFooter>&amp;C&amp;"Times New Roman,Regular"&amp;12Page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O62"/>
  <sheetViews>
    <sheetView zoomScale="85" zoomScaleNormal="85" workbookViewId="0">
      <pane ySplit="1" topLeftCell="A2" activePane="bottomLeft" state="frozen"/>
      <selection pane="bottomLeft"/>
    </sheetView>
  </sheetViews>
  <sheetFormatPr defaultColWidth="10.7109375" defaultRowHeight="12.95" customHeight="1" x14ac:dyDescent="0.2"/>
  <cols>
    <col min="1" max="1" width="5.7109375" style="1" customWidth="1"/>
    <col min="2" max="16384" width="10.7109375" style="1"/>
  </cols>
  <sheetData>
    <row r="1" spans="1:92" ht="12.95" customHeight="1" x14ac:dyDescent="0.2">
      <c r="B1" s="1" t="s">
        <v>0</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1" t="s">
        <v>57</v>
      </c>
      <c r="BH1" s="1" t="s">
        <v>58</v>
      </c>
      <c r="BI1" s="1" t="s">
        <v>59</v>
      </c>
      <c r="BJ1" s="1" t="s">
        <v>60</v>
      </c>
      <c r="BK1" s="1" t="s">
        <v>965</v>
      </c>
      <c r="BL1" s="1" t="s">
        <v>968</v>
      </c>
      <c r="BM1" s="1" t="s">
        <v>966</v>
      </c>
      <c r="BN1" s="1" t="s">
        <v>967</v>
      </c>
      <c r="BO1" s="1" t="s">
        <v>969</v>
      </c>
      <c r="BP1" s="1" t="s">
        <v>970</v>
      </c>
      <c r="BQ1" s="1" t="s">
        <v>971</v>
      </c>
      <c r="BR1" s="1" t="s">
        <v>972</v>
      </c>
      <c r="BS1" s="1" t="s">
        <v>973</v>
      </c>
      <c r="BT1" s="1" t="s">
        <v>974</v>
      </c>
      <c r="BU1" s="1" t="s">
        <v>975</v>
      </c>
      <c r="BV1" s="1" t="s">
        <v>976</v>
      </c>
      <c r="BW1" s="1" t="s">
        <v>61</v>
      </c>
      <c r="BX1" s="1" t="s">
        <v>62</v>
      </c>
      <c r="BY1" s="1" t="s">
        <v>63</v>
      </c>
      <c r="BZ1" s="1" t="s">
        <v>64</v>
      </c>
      <c r="CA1" s="1" t="s">
        <v>65</v>
      </c>
      <c r="CB1" s="1" t="s">
        <v>66</v>
      </c>
      <c r="CC1" s="1" t="s">
        <v>67</v>
      </c>
      <c r="CD1" s="1" t="s">
        <v>68</v>
      </c>
      <c r="CE1" s="1" t="s">
        <v>69</v>
      </c>
      <c r="CF1" s="1" t="s">
        <v>70</v>
      </c>
      <c r="CG1" s="1" t="s">
        <v>71</v>
      </c>
      <c r="CH1" s="1" t="s">
        <v>72</v>
      </c>
      <c r="CI1" s="1" t="s">
        <v>73</v>
      </c>
      <c r="CJ1" s="1" t="s">
        <v>74</v>
      </c>
      <c r="CK1" s="1" t="s">
        <v>75</v>
      </c>
      <c r="CL1" s="1" t="s">
        <v>76</v>
      </c>
      <c r="CM1" s="1" t="s">
        <v>77</v>
      </c>
      <c r="CN1" s="1" t="s">
        <v>78</v>
      </c>
    </row>
    <row r="2" spans="1:92" s="27" customFormat="1" ht="12.95" customHeight="1" x14ac:dyDescent="0.2">
      <c r="A2" s="27">
        <v>1</v>
      </c>
      <c r="B2" s="27">
        <v>6</v>
      </c>
      <c r="C2" s="27" t="s">
        <v>83</v>
      </c>
      <c r="D2" s="27">
        <v>11</v>
      </c>
      <c r="E2" s="27" t="s">
        <v>79</v>
      </c>
      <c r="F2" s="27">
        <v>974993653</v>
      </c>
      <c r="G2" s="27" t="s">
        <v>81</v>
      </c>
      <c r="H2" s="27" t="s">
        <v>84</v>
      </c>
      <c r="I2" s="27" t="s">
        <v>85</v>
      </c>
      <c r="K2" s="27" t="s">
        <v>84</v>
      </c>
      <c r="L2" s="27" t="s">
        <v>84</v>
      </c>
      <c r="M2" s="27" t="s">
        <v>86</v>
      </c>
      <c r="O2" s="27" t="s">
        <v>87</v>
      </c>
      <c r="P2" s="27">
        <v>40</v>
      </c>
      <c r="Q2" s="27" t="s">
        <v>88</v>
      </c>
      <c r="R2" s="27" t="s">
        <v>82</v>
      </c>
      <c r="T2" s="27" t="s">
        <v>82</v>
      </c>
      <c r="X2" s="27" t="s">
        <v>82</v>
      </c>
      <c r="Y2" s="27" t="s">
        <v>89</v>
      </c>
      <c r="Z2" s="27" t="s">
        <v>84</v>
      </c>
      <c r="AC2" s="27" t="s">
        <v>90</v>
      </c>
      <c r="AD2" s="27" t="s">
        <v>91</v>
      </c>
      <c r="AF2" s="27" t="s">
        <v>80</v>
      </c>
      <c r="AH2" s="27" t="s">
        <v>92</v>
      </c>
      <c r="AI2" s="27" t="s">
        <v>84</v>
      </c>
      <c r="AJ2" s="27" t="s">
        <v>80</v>
      </c>
      <c r="AK2" s="27" t="s">
        <v>93</v>
      </c>
      <c r="AL2" s="27" t="s">
        <v>93</v>
      </c>
      <c r="AM2" s="27" t="s">
        <v>82</v>
      </c>
      <c r="AN2" s="27" t="s">
        <v>82</v>
      </c>
      <c r="AO2" s="27" t="s">
        <v>84</v>
      </c>
      <c r="AP2" s="27" t="s">
        <v>84</v>
      </c>
      <c r="AQ2" s="27" t="s">
        <v>80</v>
      </c>
      <c r="AR2" s="27">
        <v>5</v>
      </c>
      <c r="AS2" s="27">
        <v>5</v>
      </c>
      <c r="AT2" s="27">
        <v>3</v>
      </c>
      <c r="AU2" s="27">
        <v>3</v>
      </c>
      <c r="AV2" s="27">
        <v>5</v>
      </c>
      <c r="AW2" s="27">
        <v>5</v>
      </c>
      <c r="AX2" s="27" t="s">
        <v>94</v>
      </c>
      <c r="AY2" s="27" t="s">
        <v>95</v>
      </c>
      <c r="AZ2" s="27" t="s">
        <v>96</v>
      </c>
      <c r="BA2" s="27" t="s">
        <v>97</v>
      </c>
      <c r="BB2" s="27" t="s">
        <v>84</v>
      </c>
      <c r="BD2" s="27" t="s">
        <v>84</v>
      </c>
      <c r="BE2" s="27" t="s">
        <v>98</v>
      </c>
      <c r="BG2" s="27" t="s">
        <v>82</v>
      </c>
      <c r="BI2" s="27" t="s">
        <v>84</v>
      </c>
      <c r="BJ2" s="27" t="s">
        <v>84</v>
      </c>
      <c r="BK2" s="27">
        <v>5</v>
      </c>
      <c r="BL2" s="27">
        <v>3</v>
      </c>
      <c r="BM2" s="27">
        <v>1</v>
      </c>
      <c r="BN2" s="27">
        <v>3</v>
      </c>
      <c r="BO2" s="27">
        <v>3</v>
      </c>
      <c r="BP2" s="27">
        <v>3</v>
      </c>
      <c r="BQ2" s="27">
        <v>1</v>
      </c>
      <c r="BR2" s="27">
        <v>3</v>
      </c>
      <c r="BS2" s="27">
        <v>1</v>
      </c>
      <c r="BT2" s="27">
        <v>3</v>
      </c>
      <c r="BU2" s="27">
        <v>3</v>
      </c>
      <c r="BV2" s="27">
        <v>3</v>
      </c>
      <c r="BW2" s="27" t="s">
        <v>99</v>
      </c>
      <c r="BX2" s="27" t="s">
        <v>84</v>
      </c>
      <c r="BZ2" s="27" t="s">
        <v>84</v>
      </c>
      <c r="CA2" s="27" t="s">
        <v>100</v>
      </c>
      <c r="CB2" s="27" t="s">
        <v>101</v>
      </c>
      <c r="CC2" s="27" t="s">
        <v>100</v>
      </c>
      <c r="CE2" s="27" t="s">
        <v>82</v>
      </c>
      <c r="CH2" s="27" t="s">
        <v>82</v>
      </c>
      <c r="CI2" s="27" t="s">
        <v>82</v>
      </c>
      <c r="CJ2" s="27" t="s">
        <v>82</v>
      </c>
      <c r="CL2" s="27" t="s">
        <v>102</v>
      </c>
      <c r="CM2" s="27" t="s">
        <v>103</v>
      </c>
      <c r="CN2" s="27" t="s">
        <v>104</v>
      </c>
    </row>
    <row r="3" spans="1:92" s="27" customFormat="1" ht="12.95" customHeight="1" x14ac:dyDescent="0.2">
      <c r="A3" s="27">
        <v>2</v>
      </c>
      <c r="B3" s="27">
        <v>8</v>
      </c>
      <c r="C3" s="27" t="s">
        <v>83</v>
      </c>
      <c r="D3" s="27">
        <v>11</v>
      </c>
      <c r="E3" s="27" t="s">
        <v>79</v>
      </c>
      <c r="F3" s="27">
        <v>1378646409</v>
      </c>
      <c r="G3" s="27" t="s">
        <v>81</v>
      </c>
      <c r="H3" s="27" t="s">
        <v>84</v>
      </c>
      <c r="I3" s="27" t="s">
        <v>107</v>
      </c>
      <c r="K3" s="27" t="s">
        <v>84</v>
      </c>
      <c r="L3" s="27" t="s">
        <v>84</v>
      </c>
      <c r="M3" s="27" t="s">
        <v>108</v>
      </c>
      <c r="O3" s="27" t="s">
        <v>87</v>
      </c>
      <c r="P3" s="27" t="s">
        <v>109</v>
      </c>
      <c r="Q3" s="27" t="s">
        <v>110</v>
      </c>
      <c r="R3" s="27" t="s">
        <v>82</v>
      </c>
      <c r="T3" s="27" t="s">
        <v>82</v>
      </c>
      <c r="X3" s="27" t="s">
        <v>82</v>
      </c>
      <c r="Z3" s="27" t="s">
        <v>84</v>
      </c>
      <c r="AC3" s="27" t="s">
        <v>90</v>
      </c>
      <c r="AD3" s="27" t="s">
        <v>111</v>
      </c>
      <c r="AF3" s="27" t="s">
        <v>80</v>
      </c>
      <c r="AI3" s="27" t="s">
        <v>84</v>
      </c>
      <c r="AJ3" s="27" t="s">
        <v>80</v>
      </c>
      <c r="AK3" s="27" t="s">
        <v>112</v>
      </c>
      <c r="AL3" s="27" t="s">
        <v>113</v>
      </c>
      <c r="AM3" s="27" t="s">
        <v>82</v>
      </c>
      <c r="AN3" s="27" t="s">
        <v>82</v>
      </c>
      <c r="AO3" s="27" t="s">
        <v>84</v>
      </c>
      <c r="AP3" s="27" t="s">
        <v>84</v>
      </c>
      <c r="AQ3" s="27" t="s">
        <v>80</v>
      </c>
      <c r="AR3" s="27">
        <v>1</v>
      </c>
      <c r="AS3" s="27">
        <v>1</v>
      </c>
      <c r="AT3" s="27">
        <v>1</v>
      </c>
      <c r="AU3" s="27">
        <v>1</v>
      </c>
      <c r="AV3" s="27">
        <v>1</v>
      </c>
      <c r="AW3" s="27">
        <v>1</v>
      </c>
      <c r="AX3" s="27" t="s">
        <v>114</v>
      </c>
      <c r="AY3" s="27" t="s">
        <v>115</v>
      </c>
      <c r="AZ3" s="27" t="s">
        <v>116</v>
      </c>
      <c r="BA3" s="27" t="s">
        <v>97</v>
      </c>
      <c r="BB3" s="27" t="s">
        <v>84</v>
      </c>
      <c r="BC3" s="27" t="s">
        <v>117</v>
      </c>
      <c r="BD3" s="27" t="s">
        <v>82</v>
      </c>
      <c r="BG3" s="27" t="s">
        <v>82</v>
      </c>
      <c r="BI3" s="27" t="s">
        <v>84</v>
      </c>
      <c r="BJ3" s="27" t="s">
        <v>84</v>
      </c>
      <c r="BK3" s="27">
        <v>5</v>
      </c>
      <c r="BL3" s="27">
        <v>3</v>
      </c>
      <c r="BM3" s="27">
        <v>1</v>
      </c>
      <c r="BN3" s="27">
        <v>3</v>
      </c>
      <c r="BO3" s="27">
        <v>1</v>
      </c>
      <c r="BP3" s="27">
        <v>3</v>
      </c>
      <c r="BQ3" s="27">
        <v>1</v>
      </c>
      <c r="BR3" s="27">
        <v>3</v>
      </c>
      <c r="BS3" s="27">
        <v>2</v>
      </c>
      <c r="BT3" s="27">
        <v>3</v>
      </c>
      <c r="BU3" s="27">
        <v>1</v>
      </c>
      <c r="BV3" s="27">
        <v>3</v>
      </c>
      <c r="BW3" s="27" t="s">
        <v>118</v>
      </c>
      <c r="BX3" s="27" t="s">
        <v>84</v>
      </c>
      <c r="BZ3" s="27" t="s">
        <v>84</v>
      </c>
      <c r="CA3" s="27" t="s">
        <v>113</v>
      </c>
      <c r="CC3" s="27" t="s">
        <v>93</v>
      </c>
      <c r="CE3" s="27" t="s">
        <v>82</v>
      </c>
      <c r="CH3" s="27" t="s">
        <v>84</v>
      </c>
      <c r="CI3" s="27" t="s">
        <v>84</v>
      </c>
      <c r="CJ3" s="27" t="s">
        <v>84</v>
      </c>
    </row>
    <row r="4" spans="1:92" s="27" customFormat="1" ht="12.95" customHeight="1" x14ac:dyDescent="0.2">
      <c r="A4" s="27">
        <v>3</v>
      </c>
      <c r="B4" s="27">
        <v>9</v>
      </c>
      <c r="C4" s="27" t="s">
        <v>83</v>
      </c>
      <c r="D4" s="27">
        <v>11</v>
      </c>
      <c r="E4" s="27" t="s">
        <v>79</v>
      </c>
      <c r="F4" s="27">
        <v>290453393</v>
      </c>
      <c r="G4" s="27" t="s">
        <v>81</v>
      </c>
      <c r="H4" s="27" t="s">
        <v>84</v>
      </c>
      <c r="I4" s="27" t="s">
        <v>119</v>
      </c>
      <c r="J4" s="27" t="s">
        <v>120</v>
      </c>
      <c r="K4" s="27" t="s">
        <v>84</v>
      </c>
      <c r="L4" s="27" t="s">
        <v>84</v>
      </c>
      <c r="M4" s="27" t="s">
        <v>86</v>
      </c>
      <c r="N4" s="27" t="s">
        <v>121</v>
      </c>
      <c r="O4" s="27" t="s">
        <v>87</v>
      </c>
      <c r="P4" s="27">
        <v>20</v>
      </c>
      <c r="Q4" s="27" t="s">
        <v>122</v>
      </c>
      <c r="R4" s="27" t="s">
        <v>82</v>
      </c>
      <c r="T4" s="27" t="s">
        <v>82</v>
      </c>
      <c r="X4" s="27" t="s">
        <v>84</v>
      </c>
      <c r="Y4" s="27" t="s">
        <v>123</v>
      </c>
      <c r="Z4" s="27" t="s">
        <v>84</v>
      </c>
      <c r="AA4" s="27" t="s">
        <v>124</v>
      </c>
      <c r="AB4" s="27" t="s">
        <v>125</v>
      </c>
      <c r="AC4" s="27" t="s">
        <v>126</v>
      </c>
      <c r="AD4" s="27" t="s">
        <v>111</v>
      </c>
      <c r="AF4" s="27" t="s">
        <v>80</v>
      </c>
      <c r="AG4" s="27" t="s">
        <v>127</v>
      </c>
      <c r="AI4" s="27" t="s">
        <v>84</v>
      </c>
      <c r="AJ4" s="27" t="s">
        <v>80</v>
      </c>
      <c r="AK4" s="27" t="s">
        <v>100</v>
      </c>
      <c r="AL4" s="27" t="s">
        <v>100</v>
      </c>
      <c r="AM4" s="27" t="s">
        <v>82</v>
      </c>
      <c r="AN4" s="27" t="s">
        <v>84</v>
      </c>
      <c r="AO4" s="27" t="s">
        <v>84</v>
      </c>
      <c r="AP4" s="27" t="s">
        <v>84</v>
      </c>
      <c r="AQ4" s="27" t="s">
        <v>80</v>
      </c>
      <c r="AR4" s="27">
        <v>5</v>
      </c>
      <c r="AS4" s="27">
        <v>3</v>
      </c>
      <c r="AT4" s="27">
        <v>1</v>
      </c>
      <c r="AU4" s="27">
        <v>1</v>
      </c>
      <c r="AV4" s="27">
        <v>5</v>
      </c>
      <c r="AW4" s="27">
        <v>3</v>
      </c>
      <c r="AX4" s="27" t="s">
        <v>128</v>
      </c>
      <c r="AY4" s="27" t="s">
        <v>129</v>
      </c>
      <c r="AZ4" s="27" t="s">
        <v>130</v>
      </c>
      <c r="BA4" s="27" t="s">
        <v>97</v>
      </c>
      <c r="BB4" s="27" t="s">
        <v>84</v>
      </c>
      <c r="BC4" s="27" t="s">
        <v>131</v>
      </c>
      <c r="BD4" s="27" t="s">
        <v>82</v>
      </c>
      <c r="BF4" s="27" t="s">
        <v>132</v>
      </c>
      <c r="BG4" s="27" t="s">
        <v>82</v>
      </c>
      <c r="BI4" s="27" t="s">
        <v>82</v>
      </c>
      <c r="BJ4" s="27" t="s">
        <v>82</v>
      </c>
      <c r="BK4" s="27">
        <v>2</v>
      </c>
      <c r="BL4" s="27">
        <v>3</v>
      </c>
      <c r="BM4" s="27">
        <v>4</v>
      </c>
      <c r="BN4" s="27">
        <v>3</v>
      </c>
      <c r="BO4" s="27">
        <v>3</v>
      </c>
      <c r="BP4" s="27">
        <v>3</v>
      </c>
      <c r="BQ4" s="27">
        <v>2</v>
      </c>
      <c r="BR4" s="27">
        <v>3</v>
      </c>
      <c r="BS4" s="27">
        <v>4</v>
      </c>
      <c r="BT4" s="27">
        <v>3</v>
      </c>
      <c r="BU4" s="27">
        <v>4</v>
      </c>
      <c r="BV4" s="27">
        <v>3</v>
      </c>
      <c r="BW4" s="27" t="s">
        <v>97</v>
      </c>
      <c r="BX4" s="27" t="s">
        <v>106</v>
      </c>
      <c r="BZ4" s="27" t="s">
        <v>82</v>
      </c>
      <c r="CA4" s="27" t="s">
        <v>112</v>
      </c>
      <c r="CB4" s="27" t="s">
        <v>133</v>
      </c>
      <c r="CC4" s="27" t="s">
        <v>113</v>
      </c>
      <c r="CE4" s="27" t="s">
        <v>82</v>
      </c>
      <c r="CG4" s="27" t="s">
        <v>134</v>
      </c>
      <c r="CH4" s="27" t="s">
        <v>82</v>
      </c>
      <c r="CI4" s="27" t="s">
        <v>82</v>
      </c>
      <c r="CJ4" s="27" t="s">
        <v>82</v>
      </c>
      <c r="CM4" s="27" t="s">
        <v>135</v>
      </c>
      <c r="CN4" s="27" t="s">
        <v>136</v>
      </c>
    </row>
    <row r="5" spans="1:92" s="27" customFormat="1" ht="12.95" customHeight="1" x14ac:dyDescent="0.2">
      <c r="A5" s="27">
        <v>4</v>
      </c>
      <c r="B5" s="27">
        <v>10</v>
      </c>
      <c r="C5" s="27" t="s">
        <v>83</v>
      </c>
      <c r="D5" s="27">
        <v>11</v>
      </c>
      <c r="E5" s="27" t="s">
        <v>79</v>
      </c>
      <c r="F5" s="27">
        <v>1235743373</v>
      </c>
      <c r="G5" s="27" t="s">
        <v>81</v>
      </c>
      <c r="H5" s="27" t="s">
        <v>84</v>
      </c>
      <c r="I5" s="27" t="s">
        <v>119</v>
      </c>
      <c r="J5" s="27" t="s">
        <v>137</v>
      </c>
      <c r="K5" s="27" t="s">
        <v>84</v>
      </c>
      <c r="L5" s="27" t="s">
        <v>84</v>
      </c>
      <c r="M5" s="27" t="s">
        <v>138</v>
      </c>
      <c r="O5" s="27" t="s">
        <v>87</v>
      </c>
      <c r="P5" s="27">
        <v>10</v>
      </c>
      <c r="Q5" s="27" t="s">
        <v>139</v>
      </c>
      <c r="R5" s="27" t="s">
        <v>82</v>
      </c>
      <c r="T5" s="27" t="s">
        <v>82</v>
      </c>
      <c r="X5" s="27" t="s">
        <v>82</v>
      </c>
      <c r="Z5" s="27" t="s">
        <v>84</v>
      </c>
      <c r="AC5" s="27" t="s">
        <v>140</v>
      </c>
      <c r="AD5" s="27" t="s">
        <v>91</v>
      </c>
      <c r="AF5" s="27" t="s">
        <v>80</v>
      </c>
      <c r="AH5" s="27" t="s">
        <v>141</v>
      </c>
      <c r="AI5" s="27" t="s">
        <v>84</v>
      </c>
      <c r="AJ5" s="27" t="s">
        <v>80</v>
      </c>
      <c r="AK5" s="27" t="s">
        <v>93</v>
      </c>
      <c r="AL5" s="27" t="s">
        <v>113</v>
      </c>
      <c r="AM5" s="27" t="s">
        <v>84</v>
      </c>
      <c r="AN5" s="27" t="s">
        <v>84</v>
      </c>
      <c r="AO5" s="27" t="s">
        <v>84</v>
      </c>
      <c r="AP5" s="27" t="s">
        <v>84</v>
      </c>
      <c r="AQ5" s="27" t="s">
        <v>80</v>
      </c>
      <c r="AR5" s="27">
        <v>5</v>
      </c>
      <c r="AS5" s="27">
        <v>5</v>
      </c>
      <c r="AT5" s="27">
        <v>2</v>
      </c>
      <c r="AU5" s="27">
        <v>1</v>
      </c>
      <c r="AV5" s="27">
        <v>5</v>
      </c>
      <c r="AW5" s="27">
        <v>5</v>
      </c>
      <c r="AX5" s="27" t="s">
        <v>142</v>
      </c>
      <c r="AY5" s="27" t="s">
        <v>143</v>
      </c>
      <c r="AZ5" s="27" t="s">
        <v>144</v>
      </c>
      <c r="BA5" s="27" t="s">
        <v>99</v>
      </c>
      <c r="BB5" s="27" t="s">
        <v>80</v>
      </c>
      <c r="BC5" s="27" t="s">
        <v>145</v>
      </c>
      <c r="BD5" s="27" t="s">
        <v>82</v>
      </c>
      <c r="BG5" s="27" t="s">
        <v>82</v>
      </c>
      <c r="BI5" s="27" t="s">
        <v>84</v>
      </c>
      <c r="BJ5" s="27" t="s">
        <v>84</v>
      </c>
      <c r="BK5" s="27">
        <v>5</v>
      </c>
      <c r="BL5" s="27">
        <v>5</v>
      </c>
      <c r="BM5" s="27">
        <v>3</v>
      </c>
      <c r="BN5" s="27">
        <v>2</v>
      </c>
      <c r="BO5" s="27">
        <v>1</v>
      </c>
      <c r="BP5" s="27">
        <v>1</v>
      </c>
      <c r="BQ5" s="27">
        <v>3</v>
      </c>
      <c r="BR5" s="27">
        <v>3</v>
      </c>
      <c r="BS5" s="27">
        <v>4</v>
      </c>
      <c r="BT5" s="27">
        <v>2</v>
      </c>
      <c r="BU5" s="27">
        <v>1</v>
      </c>
      <c r="BV5" s="27">
        <v>1</v>
      </c>
      <c r="BW5" s="27" t="s">
        <v>99</v>
      </c>
      <c r="BX5" s="27" t="s">
        <v>84</v>
      </c>
      <c r="BZ5" s="27" t="s">
        <v>84</v>
      </c>
      <c r="CA5" s="27" t="s">
        <v>113</v>
      </c>
      <c r="CB5" s="27" t="s">
        <v>146</v>
      </c>
      <c r="CC5" s="27" t="s">
        <v>113</v>
      </c>
      <c r="CE5" s="27" t="s">
        <v>82</v>
      </c>
      <c r="CG5" s="27" t="s">
        <v>147</v>
      </c>
      <c r="CH5" s="27" t="s">
        <v>82</v>
      </c>
      <c r="CI5" s="27" t="s">
        <v>82</v>
      </c>
      <c r="CJ5" s="27" t="s">
        <v>82</v>
      </c>
      <c r="CL5" s="27" t="s">
        <v>148</v>
      </c>
      <c r="CM5" s="27" t="s">
        <v>149</v>
      </c>
      <c r="CN5" s="27" t="s">
        <v>150</v>
      </c>
    </row>
    <row r="6" spans="1:92" s="27" customFormat="1" ht="12.95" customHeight="1" x14ac:dyDescent="0.2">
      <c r="A6" s="27">
        <v>5</v>
      </c>
      <c r="B6" s="27">
        <v>11</v>
      </c>
      <c r="C6" s="27" t="s">
        <v>83</v>
      </c>
      <c r="D6" s="27">
        <v>11</v>
      </c>
      <c r="E6" s="27" t="s">
        <v>79</v>
      </c>
      <c r="F6" s="27">
        <v>2026422996</v>
      </c>
      <c r="G6" s="27" t="s">
        <v>81</v>
      </c>
      <c r="H6" s="27" t="s">
        <v>84</v>
      </c>
      <c r="I6" s="27" t="s">
        <v>107</v>
      </c>
      <c r="K6" s="27" t="s">
        <v>84</v>
      </c>
      <c r="L6" s="27" t="s">
        <v>84</v>
      </c>
      <c r="M6" s="27" t="s">
        <v>106</v>
      </c>
      <c r="N6" s="27" t="s">
        <v>151</v>
      </c>
      <c r="O6" s="27" t="s">
        <v>87</v>
      </c>
      <c r="P6" s="27">
        <v>20</v>
      </c>
      <c r="Q6" s="27" t="s">
        <v>152</v>
      </c>
      <c r="R6" s="27" t="s">
        <v>82</v>
      </c>
      <c r="T6" s="27" t="s">
        <v>82</v>
      </c>
      <c r="X6" s="27" t="s">
        <v>82</v>
      </c>
      <c r="Z6" s="27" t="s">
        <v>84</v>
      </c>
      <c r="AB6" s="27" t="s">
        <v>153</v>
      </c>
      <c r="AC6" s="27" t="s">
        <v>126</v>
      </c>
      <c r="AD6" s="27" t="s">
        <v>111</v>
      </c>
      <c r="AF6" s="27" t="s">
        <v>80</v>
      </c>
      <c r="AG6" s="27" t="s">
        <v>154</v>
      </c>
      <c r="AI6" s="27" t="s">
        <v>84</v>
      </c>
      <c r="AJ6" s="27" t="s">
        <v>80</v>
      </c>
      <c r="AK6" s="27" t="s">
        <v>113</v>
      </c>
      <c r="AL6" s="27" t="s">
        <v>113</v>
      </c>
      <c r="AM6" s="27" t="s">
        <v>84</v>
      </c>
      <c r="AN6" s="27" t="s">
        <v>84</v>
      </c>
      <c r="AO6" s="27" t="s">
        <v>84</v>
      </c>
      <c r="AP6" s="27" t="s">
        <v>84</v>
      </c>
      <c r="AQ6" s="27" t="s">
        <v>80</v>
      </c>
      <c r="AR6" s="27">
        <v>3</v>
      </c>
      <c r="AS6" s="27">
        <v>2</v>
      </c>
      <c r="AT6" s="27">
        <v>2</v>
      </c>
      <c r="AU6" s="27">
        <v>1</v>
      </c>
      <c r="AV6" s="27">
        <v>2</v>
      </c>
      <c r="AW6" s="27">
        <v>2</v>
      </c>
      <c r="AX6" s="27" t="s">
        <v>155</v>
      </c>
      <c r="AY6" s="27" t="s">
        <v>156</v>
      </c>
      <c r="AZ6" s="27" t="s">
        <v>157</v>
      </c>
      <c r="BA6" s="27" t="s">
        <v>97</v>
      </c>
      <c r="BB6" s="27" t="s">
        <v>84</v>
      </c>
      <c r="BD6" s="27" t="s">
        <v>82</v>
      </c>
      <c r="BF6" s="27" t="s">
        <v>158</v>
      </c>
      <c r="BG6" s="27" t="s">
        <v>82</v>
      </c>
      <c r="BI6" s="27" t="s">
        <v>84</v>
      </c>
      <c r="BJ6" s="27" t="s">
        <v>82</v>
      </c>
      <c r="BK6" s="27">
        <v>2</v>
      </c>
      <c r="BL6" s="27">
        <v>2</v>
      </c>
      <c r="BM6" s="27">
        <v>3</v>
      </c>
      <c r="BN6" s="27">
        <v>3</v>
      </c>
      <c r="BO6" s="27">
        <v>2</v>
      </c>
      <c r="BP6" s="27">
        <v>2</v>
      </c>
      <c r="BQ6" s="27">
        <v>2</v>
      </c>
      <c r="BR6" s="27">
        <v>2</v>
      </c>
      <c r="BS6" s="27">
        <v>2</v>
      </c>
      <c r="BT6" s="27">
        <v>2</v>
      </c>
      <c r="BU6" s="27">
        <v>2</v>
      </c>
      <c r="BV6" s="27">
        <v>2</v>
      </c>
      <c r="BW6" s="27" t="s">
        <v>97</v>
      </c>
      <c r="BX6" s="27" t="s">
        <v>106</v>
      </c>
      <c r="BZ6" s="27" t="s">
        <v>84</v>
      </c>
      <c r="CA6" s="27" t="s">
        <v>100</v>
      </c>
      <c r="CB6" s="27" t="s">
        <v>159</v>
      </c>
      <c r="CC6" s="27" t="s">
        <v>100</v>
      </c>
      <c r="CE6" s="27" t="s">
        <v>84</v>
      </c>
      <c r="CH6" s="27" t="s">
        <v>84</v>
      </c>
      <c r="CI6" s="27" t="s">
        <v>84</v>
      </c>
      <c r="CJ6" s="27" t="s">
        <v>82</v>
      </c>
      <c r="CL6" s="27" t="s">
        <v>160</v>
      </c>
    </row>
    <row r="7" spans="1:92" s="27" customFormat="1" ht="12.95" customHeight="1" x14ac:dyDescent="0.2">
      <c r="A7" s="27">
        <v>6</v>
      </c>
      <c r="B7" s="27">
        <v>14</v>
      </c>
      <c r="C7" s="27" t="s">
        <v>83</v>
      </c>
      <c r="D7" s="27">
        <v>11</v>
      </c>
      <c r="E7" s="27" t="s">
        <v>79</v>
      </c>
      <c r="F7" s="27">
        <v>1504654463</v>
      </c>
      <c r="G7" s="27" t="s">
        <v>81</v>
      </c>
      <c r="H7" s="27" t="s">
        <v>84</v>
      </c>
      <c r="I7" s="27" t="s">
        <v>161</v>
      </c>
      <c r="K7" s="27" t="s">
        <v>84</v>
      </c>
      <c r="L7" s="27" t="s">
        <v>84</v>
      </c>
      <c r="M7" s="27" t="s">
        <v>108</v>
      </c>
      <c r="O7" s="27" t="s">
        <v>87</v>
      </c>
      <c r="P7" s="27">
        <v>10</v>
      </c>
      <c r="Q7" s="27" t="s">
        <v>162</v>
      </c>
      <c r="R7" s="27" t="s">
        <v>82</v>
      </c>
      <c r="T7" s="27" t="s">
        <v>82</v>
      </c>
      <c r="X7" s="27" t="s">
        <v>84</v>
      </c>
      <c r="Y7" s="27" t="s">
        <v>163</v>
      </c>
      <c r="Z7" s="27" t="s">
        <v>84</v>
      </c>
      <c r="AB7" s="27" t="s">
        <v>164</v>
      </c>
      <c r="AC7" s="27" t="s">
        <v>126</v>
      </c>
      <c r="AD7" s="27" t="s">
        <v>91</v>
      </c>
      <c r="AF7" s="27" t="s">
        <v>80</v>
      </c>
      <c r="AH7" s="27" t="s">
        <v>165</v>
      </c>
      <c r="AI7" s="27" t="s">
        <v>84</v>
      </c>
      <c r="AJ7" s="27" t="s">
        <v>80</v>
      </c>
      <c r="AK7" s="27" t="s">
        <v>93</v>
      </c>
      <c r="AL7" s="27" t="s">
        <v>93</v>
      </c>
      <c r="AM7" s="27" t="s">
        <v>82</v>
      </c>
      <c r="AN7" s="27" t="s">
        <v>84</v>
      </c>
      <c r="AO7" s="27" t="s">
        <v>84</v>
      </c>
      <c r="AP7" s="27" t="s">
        <v>84</v>
      </c>
      <c r="AQ7" s="27" t="s">
        <v>80</v>
      </c>
      <c r="AR7" s="27">
        <v>2</v>
      </c>
      <c r="AS7" s="27">
        <v>2</v>
      </c>
      <c r="AT7" s="27">
        <v>1</v>
      </c>
      <c r="AU7" s="27">
        <v>1</v>
      </c>
      <c r="AV7" s="27">
        <v>3</v>
      </c>
      <c r="AW7" s="27">
        <v>3</v>
      </c>
      <c r="AX7" s="27" t="s">
        <v>166</v>
      </c>
      <c r="AY7" s="27" t="s">
        <v>167</v>
      </c>
      <c r="AZ7" s="27" t="s">
        <v>168</v>
      </c>
      <c r="BA7" s="27" t="s">
        <v>99</v>
      </c>
      <c r="BB7" s="27" t="s">
        <v>80</v>
      </c>
      <c r="BC7" s="27" t="s">
        <v>169</v>
      </c>
      <c r="BD7" s="27" t="s">
        <v>84</v>
      </c>
      <c r="BE7" s="27" t="s">
        <v>170</v>
      </c>
      <c r="BG7" s="27" t="s">
        <v>84</v>
      </c>
      <c r="BH7" s="27" t="s">
        <v>171</v>
      </c>
      <c r="BI7" s="27" t="s">
        <v>84</v>
      </c>
      <c r="BJ7" s="27" t="s">
        <v>84</v>
      </c>
      <c r="BK7" s="27">
        <v>4</v>
      </c>
      <c r="BL7" s="27">
        <v>4</v>
      </c>
      <c r="BM7" s="27">
        <v>2</v>
      </c>
      <c r="BN7" s="27">
        <v>4</v>
      </c>
      <c r="BO7" s="27">
        <v>4</v>
      </c>
      <c r="BP7" s="27">
        <v>2</v>
      </c>
      <c r="BQ7" s="27">
        <v>2</v>
      </c>
      <c r="BR7" s="27">
        <v>4</v>
      </c>
      <c r="BS7" s="27">
        <v>3</v>
      </c>
      <c r="BT7" s="27">
        <v>2</v>
      </c>
      <c r="BU7" s="27">
        <v>2</v>
      </c>
      <c r="BV7" s="27">
        <v>4</v>
      </c>
      <c r="BW7" s="27" t="s">
        <v>118</v>
      </c>
      <c r="BX7" s="27" t="s">
        <v>84</v>
      </c>
      <c r="BZ7" s="27" t="s">
        <v>84</v>
      </c>
      <c r="CA7" s="27" t="s">
        <v>113</v>
      </c>
      <c r="CB7" s="27" t="s">
        <v>172</v>
      </c>
      <c r="CC7" s="27" t="s">
        <v>113</v>
      </c>
      <c r="CD7" s="27" t="s">
        <v>173</v>
      </c>
      <c r="CE7" s="27" t="s">
        <v>82</v>
      </c>
      <c r="CH7" s="27" t="s">
        <v>82</v>
      </c>
      <c r="CI7" s="27" t="s">
        <v>82</v>
      </c>
      <c r="CJ7" s="27" t="s">
        <v>82</v>
      </c>
      <c r="CL7" s="27" t="s">
        <v>174</v>
      </c>
      <c r="CM7" s="27" t="s">
        <v>175</v>
      </c>
      <c r="CN7" s="27" t="s">
        <v>176</v>
      </c>
    </row>
    <row r="8" spans="1:92" s="27" customFormat="1" ht="12.95" customHeight="1" x14ac:dyDescent="0.2">
      <c r="A8" s="27">
        <v>7</v>
      </c>
      <c r="B8" s="27">
        <v>16</v>
      </c>
      <c r="C8" s="27" t="s">
        <v>83</v>
      </c>
      <c r="D8" s="27">
        <v>11</v>
      </c>
      <c r="E8" s="27" t="s">
        <v>79</v>
      </c>
      <c r="F8" s="27">
        <v>638332105</v>
      </c>
      <c r="G8" s="27" t="s">
        <v>81</v>
      </c>
      <c r="H8" s="27" t="s">
        <v>84</v>
      </c>
      <c r="I8" s="27" t="s">
        <v>119</v>
      </c>
      <c r="J8" s="27" t="s">
        <v>177</v>
      </c>
      <c r="K8" s="27" t="s">
        <v>82</v>
      </c>
      <c r="L8" s="27" t="s">
        <v>84</v>
      </c>
      <c r="M8" s="27" t="s">
        <v>106</v>
      </c>
      <c r="N8" s="27" t="s">
        <v>178</v>
      </c>
      <c r="O8" s="27" t="s">
        <v>87</v>
      </c>
      <c r="P8" s="27">
        <v>3</v>
      </c>
      <c r="Q8" s="27" t="s">
        <v>179</v>
      </c>
      <c r="R8" s="27" t="s">
        <v>82</v>
      </c>
      <c r="T8" s="27" t="s">
        <v>82</v>
      </c>
      <c r="X8" s="27" t="s">
        <v>84</v>
      </c>
      <c r="Z8" s="27" t="s">
        <v>84</v>
      </c>
      <c r="AA8" s="27" t="s">
        <v>180</v>
      </c>
      <c r="AB8" s="27" t="s">
        <v>181</v>
      </c>
      <c r="AC8" s="27" t="s">
        <v>126</v>
      </c>
      <c r="AD8" s="27" t="s">
        <v>111</v>
      </c>
      <c r="AF8" s="27" t="s">
        <v>80</v>
      </c>
      <c r="AI8" s="27" t="s">
        <v>84</v>
      </c>
      <c r="AJ8" s="27" t="s">
        <v>80</v>
      </c>
      <c r="AK8" s="27" t="s">
        <v>100</v>
      </c>
      <c r="AL8" s="27" t="s">
        <v>93</v>
      </c>
      <c r="AM8" s="27" t="s">
        <v>82</v>
      </c>
      <c r="AN8" s="27" t="s">
        <v>84</v>
      </c>
      <c r="AO8" s="27" t="s">
        <v>84</v>
      </c>
      <c r="AP8" s="27" t="s">
        <v>84</v>
      </c>
      <c r="AQ8" s="27" t="s">
        <v>80</v>
      </c>
      <c r="AR8" s="27">
        <v>5</v>
      </c>
      <c r="AS8" s="27">
        <v>5</v>
      </c>
      <c r="AT8" s="27">
        <v>1</v>
      </c>
      <c r="AU8" s="27">
        <v>1</v>
      </c>
      <c r="AV8" s="27">
        <v>5</v>
      </c>
      <c r="AW8" s="27">
        <v>5</v>
      </c>
      <c r="AX8" s="27" t="s">
        <v>182</v>
      </c>
      <c r="AY8" s="27" t="s">
        <v>183</v>
      </c>
      <c r="AZ8" s="27" t="s">
        <v>184</v>
      </c>
      <c r="BA8" s="27" t="s">
        <v>99</v>
      </c>
      <c r="BB8" s="27" t="s">
        <v>80</v>
      </c>
      <c r="BC8" s="27" t="s">
        <v>185</v>
      </c>
      <c r="BD8" s="27" t="s">
        <v>84</v>
      </c>
      <c r="BE8" s="27" t="s">
        <v>186</v>
      </c>
      <c r="BG8" s="27" t="s">
        <v>84</v>
      </c>
      <c r="BH8" s="27" t="s">
        <v>187</v>
      </c>
      <c r="BI8" s="27" t="s">
        <v>84</v>
      </c>
      <c r="BJ8" s="27" t="s">
        <v>84</v>
      </c>
      <c r="BK8" s="27">
        <v>5</v>
      </c>
      <c r="BL8" s="27">
        <v>5</v>
      </c>
      <c r="BM8" s="27">
        <v>1</v>
      </c>
      <c r="BN8" s="27">
        <v>1</v>
      </c>
      <c r="BO8" s="27">
        <v>1</v>
      </c>
      <c r="BP8" s="27">
        <v>1</v>
      </c>
      <c r="BQ8" s="27">
        <v>1</v>
      </c>
      <c r="BR8" s="27">
        <v>1</v>
      </c>
      <c r="BS8" s="27">
        <v>1</v>
      </c>
      <c r="BT8" s="27">
        <v>1</v>
      </c>
      <c r="BU8" s="27">
        <v>1</v>
      </c>
      <c r="BV8" s="27">
        <v>1</v>
      </c>
      <c r="BW8" s="27" t="s">
        <v>118</v>
      </c>
      <c r="BX8" s="27" t="s">
        <v>84</v>
      </c>
      <c r="BZ8" s="27" t="s">
        <v>84</v>
      </c>
      <c r="CA8" s="27" t="s">
        <v>112</v>
      </c>
      <c r="CB8" s="27" t="s">
        <v>188</v>
      </c>
      <c r="CC8" s="27" t="s">
        <v>100</v>
      </c>
      <c r="CD8" s="27" t="s">
        <v>189</v>
      </c>
      <c r="CE8" s="27" t="s">
        <v>82</v>
      </c>
      <c r="CG8" s="27" t="s">
        <v>190</v>
      </c>
      <c r="CH8" s="27" t="s">
        <v>84</v>
      </c>
      <c r="CI8" s="27" t="s">
        <v>84</v>
      </c>
      <c r="CJ8" s="27" t="s">
        <v>82</v>
      </c>
      <c r="CL8" s="27" t="s">
        <v>191</v>
      </c>
      <c r="CM8" s="27" t="s">
        <v>192</v>
      </c>
      <c r="CN8" s="27" t="s">
        <v>193</v>
      </c>
    </row>
    <row r="9" spans="1:92" s="27" customFormat="1" ht="12.95" customHeight="1" x14ac:dyDescent="0.2">
      <c r="A9" s="27">
        <v>8</v>
      </c>
      <c r="B9" s="27">
        <v>17</v>
      </c>
      <c r="C9" s="27" t="s">
        <v>83</v>
      </c>
      <c r="D9" s="27">
        <v>11</v>
      </c>
      <c r="E9" s="27" t="s">
        <v>79</v>
      </c>
      <c r="F9" s="27">
        <v>1374688652</v>
      </c>
      <c r="G9" s="27" t="s">
        <v>81</v>
      </c>
      <c r="H9" s="27" t="s">
        <v>84</v>
      </c>
      <c r="I9" s="27" t="s">
        <v>119</v>
      </c>
      <c r="J9" s="27" t="s">
        <v>194</v>
      </c>
      <c r="K9" s="27" t="s">
        <v>84</v>
      </c>
      <c r="L9" s="27" t="s">
        <v>84</v>
      </c>
      <c r="M9" s="27" t="s">
        <v>108</v>
      </c>
      <c r="O9" s="27" t="s">
        <v>195</v>
      </c>
      <c r="P9" s="27">
        <v>10</v>
      </c>
      <c r="Q9" s="27" t="s">
        <v>196</v>
      </c>
      <c r="R9" s="27" t="s">
        <v>82</v>
      </c>
      <c r="T9" s="27" t="s">
        <v>84</v>
      </c>
      <c r="U9" s="27" t="s">
        <v>119</v>
      </c>
      <c r="V9" s="27" t="s">
        <v>196</v>
      </c>
      <c r="W9" s="27" t="s">
        <v>197</v>
      </c>
      <c r="X9" s="27" t="s">
        <v>80</v>
      </c>
      <c r="Z9" s="27" t="s">
        <v>84</v>
      </c>
      <c r="AB9" s="27" t="s">
        <v>198</v>
      </c>
      <c r="AC9" s="27" t="s">
        <v>126</v>
      </c>
      <c r="AD9" s="27" t="s">
        <v>91</v>
      </c>
      <c r="AF9" s="27" t="s">
        <v>80</v>
      </c>
      <c r="AH9" s="27" t="s">
        <v>199</v>
      </c>
      <c r="AI9" s="27" t="s">
        <v>84</v>
      </c>
      <c r="AJ9" s="27" t="s">
        <v>80</v>
      </c>
      <c r="AK9" s="27" t="s">
        <v>100</v>
      </c>
      <c r="AL9" s="27" t="s">
        <v>113</v>
      </c>
      <c r="AM9" s="27" t="s">
        <v>82</v>
      </c>
      <c r="AN9" s="27" t="s">
        <v>84</v>
      </c>
      <c r="AO9" s="27" t="s">
        <v>84</v>
      </c>
      <c r="AP9" s="27" t="s">
        <v>84</v>
      </c>
      <c r="AQ9" s="27" t="s">
        <v>80</v>
      </c>
      <c r="AR9" s="27">
        <v>3</v>
      </c>
      <c r="AS9" s="27">
        <v>5</v>
      </c>
      <c r="AT9" s="27">
        <v>3</v>
      </c>
      <c r="AU9" s="27">
        <v>5</v>
      </c>
      <c r="AV9" s="27">
        <v>3</v>
      </c>
      <c r="AW9" s="27">
        <v>5</v>
      </c>
      <c r="AX9" s="27" t="s">
        <v>200</v>
      </c>
      <c r="AY9" s="27" t="s">
        <v>201</v>
      </c>
      <c r="AZ9" s="27" t="s">
        <v>202</v>
      </c>
      <c r="BA9" s="27" t="s">
        <v>99</v>
      </c>
      <c r="BB9" s="27" t="s">
        <v>80</v>
      </c>
      <c r="BD9" s="27" t="s">
        <v>84</v>
      </c>
      <c r="BG9" s="27" t="s">
        <v>84</v>
      </c>
      <c r="BH9" s="27" t="s">
        <v>203</v>
      </c>
      <c r="BI9" s="27" t="s">
        <v>84</v>
      </c>
      <c r="BJ9" s="27" t="s">
        <v>84</v>
      </c>
      <c r="BK9" s="27">
        <v>5</v>
      </c>
      <c r="BL9" s="27">
        <v>5</v>
      </c>
      <c r="BM9" s="27">
        <v>4</v>
      </c>
      <c r="BN9" s="27">
        <v>5</v>
      </c>
      <c r="BO9" s="27">
        <v>5</v>
      </c>
      <c r="BP9" s="27">
        <v>5</v>
      </c>
      <c r="BQ9" s="27">
        <v>5</v>
      </c>
      <c r="BR9" s="27">
        <v>5</v>
      </c>
      <c r="BS9" s="27">
        <v>5</v>
      </c>
      <c r="BT9" s="27">
        <v>5</v>
      </c>
      <c r="BU9" s="27">
        <v>3</v>
      </c>
      <c r="BV9" s="27">
        <v>4</v>
      </c>
      <c r="BW9" s="27" t="s">
        <v>97</v>
      </c>
      <c r="BX9" s="27" t="s">
        <v>82</v>
      </c>
      <c r="BZ9" s="27" t="s">
        <v>84</v>
      </c>
      <c r="CA9" s="27" t="s">
        <v>100</v>
      </c>
      <c r="CC9" s="27" t="s">
        <v>113</v>
      </c>
      <c r="CE9" s="27" t="s">
        <v>84</v>
      </c>
      <c r="CH9" s="27" t="s">
        <v>84</v>
      </c>
      <c r="CI9" s="27" t="s">
        <v>84</v>
      </c>
      <c r="CJ9" s="27" t="s">
        <v>84</v>
      </c>
    </row>
    <row r="10" spans="1:92" s="27" customFormat="1" ht="12.95" customHeight="1" x14ac:dyDescent="0.2">
      <c r="A10" s="27">
        <v>9</v>
      </c>
      <c r="B10" s="27">
        <v>18</v>
      </c>
      <c r="C10" s="27" t="s">
        <v>83</v>
      </c>
      <c r="D10" s="27">
        <v>11</v>
      </c>
      <c r="E10" s="27" t="s">
        <v>79</v>
      </c>
      <c r="F10" s="27">
        <v>1207479008</v>
      </c>
      <c r="G10" s="27" t="s">
        <v>81</v>
      </c>
      <c r="H10" s="27" t="s">
        <v>84</v>
      </c>
      <c r="I10" s="27" t="s">
        <v>107</v>
      </c>
      <c r="K10" s="27" t="s">
        <v>82</v>
      </c>
      <c r="L10" s="27" t="s">
        <v>84</v>
      </c>
      <c r="M10" s="27" t="s">
        <v>108</v>
      </c>
      <c r="O10" s="27" t="s">
        <v>87</v>
      </c>
      <c r="P10" s="27">
        <v>70</v>
      </c>
      <c r="Q10" s="27" t="s">
        <v>204</v>
      </c>
      <c r="R10" s="27" t="s">
        <v>82</v>
      </c>
      <c r="T10" s="27" t="s">
        <v>84</v>
      </c>
      <c r="U10" s="27" t="s">
        <v>119</v>
      </c>
      <c r="V10" s="27" t="s">
        <v>205</v>
      </c>
      <c r="W10" s="27" t="s">
        <v>206</v>
      </c>
      <c r="X10" s="27" t="s">
        <v>80</v>
      </c>
      <c r="Z10" s="27" t="s">
        <v>84</v>
      </c>
      <c r="AB10" s="27" t="s">
        <v>207</v>
      </c>
      <c r="AC10" s="27" t="s">
        <v>126</v>
      </c>
      <c r="AD10" s="27" t="s">
        <v>111</v>
      </c>
      <c r="AF10" s="27" t="s">
        <v>80</v>
      </c>
      <c r="AG10" s="27" t="s">
        <v>208</v>
      </c>
      <c r="AI10" s="27" t="s">
        <v>84</v>
      </c>
      <c r="AJ10" s="27" t="s">
        <v>80</v>
      </c>
      <c r="AK10" s="27" t="s">
        <v>100</v>
      </c>
      <c r="AL10" s="27" t="s">
        <v>100</v>
      </c>
      <c r="AM10" s="27" t="s">
        <v>82</v>
      </c>
      <c r="AN10" s="27" t="s">
        <v>84</v>
      </c>
      <c r="AO10" s="27" t="s">
        <v>84</v>
      </c>
      <c r="AP10" s="27" t="s">
        <v>84</v>
      </c>
      <c r="AQ10" s="27" t="s">
        <v>80</v>
      </c>
      <c r="AR10" s="27">
        <v>1</v>
      </c>
      <c r="AS10" s="27">
        <v>3</v>
      </c>
      <c r="AT10" s="27">
        <v>4</v>
      </c>
      <c r="AU10" s="27">
        <v>5</v>
      </c>
      <c r="AV10" s="27">
        <v>1</v>
      </c>
      <c r="AW10" s="27">
        <v>3</v>
      </c>
      <c r="AX10" s="27" t="s">
        <v>209</v>
      </c>
      <c r="AY10" s="27" t="s">
        <v>210</v>
      </c>
      <c r="AZ10" s="27" t="s">
        <v>211</v>
      </c>
      <c r="BA10" s="27" t="s">
        <v>97</v>
      </c>
      <c r="BB10" s="27" t="s">
        <v>84</v>
      </c>
      <c r="BC10" s="27" t="s">
        <v>212</v>
      </c>
      <c r="BD10" s="27" t="s">
        <v>82</v>
      </c>
      <c r="BF10" s="27" t="s">
        <v>213</v>
      </c>
      <c r="BG10" s="27" t="s">
        <v>82</v>
      </c>
      <c r="BI10" s="27" t="s">
        <v>84</v>
      </c>
      <c r="BJ10" s="27" t="s">
        <v>82</v>
      </c>
      <c r="BK10" s="27">
        <v>2</v>
      </c>
      <c r="BL10" s="27">
        <v>3</v>
      </c>
      <c r="BM10" s="27">
        <v>3</v>
      </c>
      <c r="BN10" s="27">
        <v>3</v>
      </c>
      <c r="BO10" s="27">
        <v>4</v>
      </c>
      <c r="BP10" s="27">
        <v>3</v>
      </c>
      <c r="BQ10" s="27">
        <v>4</v>
      </c>
      <c r="BR10" s="27">
        <v>4</v>
      </c>
      <c r="BS10" s="27">
        <v>2</v>
      </c>
      <c r="BT10" s="27">
        <v>4</v>
      </c>
      <c r="BU10" s="27">
        <v>3</v>
      </c>
      <c r="BV10" s="27">
        <v>3</v>
      </c>
      <c r="BW10" s="27" t="s">
        <v>97</v>
      </c>
      <c r="BX10" s="27" t="s">
        <v>82</v>
      </c>
      <c r="BY10" s="27" t="s">
        <v>214</v>
      </c>
      <c r="BZ10" s="27" t="s">
        <v>84</v>
      </c>
      <c r="CA10" s="27" t="s">
        <v>100</v>
      </c>
      <c r="CB10" s="27" t="s">
        <v>215</v>
      </c>
      <c r="CC10" s="27" t="s">
        <v>113</v>
      </c>
      <c r="CD10" s="27" t="s">
        <v>216</v>
      </c>
      <c r="CE10" s="27" t="s">
        <v>82</v>
      </c>
      <c r="CG10" s="27" t="s">
        <v>217</v>
      </c>
      <c r="CH10" s="27" t="s">
        <v>82</v>
      </c>
      <c r="CI10" s="27" t="s">
        <v>82</v>
      </c>
      <c r="CJ10" s="27" t="s">
        <v>84</v>
      </c>
      <c r="CK10" s="27" t="s">
        <v>218</v>
      </c>
      <c r="CL10" s="27" t="s">
        <v>219</v>
      </c>
      <c r="CM10" s="27" t="s">
        <v>220</v>
      </c>
      <c r="CN10" s="27" t="s">
        <v>221</v>
      </c>
    </row>
    <row r="11" spans="1:92" s="27" customFormat="1" ht="12.95" customHeight="1" x14ac:dyDescent="0.2">
      <c r="A11" s="27">
        <v>10</v>
      </c>
      <c r="B11" s="27">
        <v>19</v>
      </c>
      <c r="C11" s="27" t="s">
        <v>83</v>
      </c>
      <c r="D11" s="27">
        <v>11</v>
      </c>
      <c r="E11" s="27" t="s">
        <v>79</v>
      </c>
      <c r="F11" s="27">
        <v>1719153545</v>
      </c>
      <c r="G11" s="27" t="s">
        <v>81</v>
      </c>
      <c r="H11" s="27" t="s">
        <v>84</v>
      </c>
      <c r="I11" s="27" t="s">
        <v>119</v>
      </c>
      <c r="J11" s="27" t="s">
        <v>222</v>
      </c>
      <c r="K11" s="27" t="s">
        <v>84</v>
      </c>
      <c r="L11" s="27" t="s">
        <v>84</v>
      </c>
      <c r="M11" s="27" t="s">
        <v>108</v>
      </c>
      <c r="O11" s="27" t="s">
        <v>87</v>
      </c>
      <c r="P11" s="27">
        <v>60</v>
      </c>
      <c r="Q11" s="27" t="s">
        <v>223</v>
      </c>
      <c r="R11" s="27" t="s">
        <v>82</v>
      </c>
      <c r="T11" s="27" t="s">
        <v>82</v>
      </c>
      <c r="X11" s="27" t="s">
        <v>84</v>
      </c>
      <c r="Y11" s="27" t="s">
        <v>224</v>
      </c>
      <c r="Z11" s="27" t="s">
        <v>84</v>
      </c>
      <c r="AB11" s="27" t="s">
        <v>225</v>
      </c>
      <c r="AC11" s="27" t="s">
        <v>126</v>
      </c>
      <c r="AD11" s="27" t="s">
        <v>111</v>
      </c>
      <c r="AF11" s="27" t="s">
        <v>80</v>
      </c>
      <c r="AG11" s="27" t="s">
        <v>226</v>
      </c>
      <c r="AI11" s="27" t="s">
        <v>84</v>
      </c>
      <c r="AJ11" s="27" t="s">
        <v>80</v>
      </c>
      <c r="AK11" s="27" t="s">
        <v>113</v>
      </c>
      <c r="AL11" s="27" t="s">
        <v>113</v>
      </c>
      <c r="AM11" s="27" t="s">
        <v>84</v>
      </c>
      <c r="AN11" s="27" t="s">
        <v>84</v>
      </c>
      <c r="AO11" s="27" t="s">
        <v>84</v>
      </c>
      <c r="AP11" s="27" t="s">
        <v>84</v>
      </c>
      <c r="AQ11" s="27" t="s">
        <v>80</v>
      </c>
      <c r="AR11" s="27">
        <v>3</v>
      </c>
      <c r="AS11" s="27">
        <v>1</v>
      </c>
      <c r="AT11" s="27">
        <v>1</v>
      </c>
      <c r="AU11" s="27">
        <v>1</v>
      </c>
      <c r="AV11" s="27">
        <v>3</v>
      </c>
      <c r="AW11" s="27">
        <v>2</v>
      </c>
      <c r="AX11" s="27" t="s">
        <v>209</v>
      </c>
      <c r="AY11" s="27" t="s">
        <v>227</v>
      </c>
      <c r="AZ11" s="27" t="s">
        <v>228</v>
      </c>
      <c r="BA11" s="27" t="s">
        <v>97</v>
      </c>
      <c r="BB11" s="27" t="s">
        <v>84</v>
      </c>
      <c r="BC11" s="27" t="s">
        <v>229</v>
      </c>
      <c r="BD11" s="27" t="s">
        <v>82</v>
      </c>
      <c r="BF11" s="27" t="s">
        <v>230</v>
      </c>
      <c r="BG11" s="27" t="s">
        <v>84</v>
      </c>
      <c r="BH11" s="27" t="s">
        <v>231</v>
      </c>
      <c r="BI11" s="27" t="s">
        <v>84</v>
      </c>
      <c r="BJ11" s="27" t="s">
        <v>84</v>
      </c>
      <c r="BK11" s="27">
        <v>2</v>
      </c>
      <c r="BL11" s="27">
        <v>1</v>
      </c>
      <c r="BM11" s="27">
        <v>3</v>
      </c>
      <c r="BN11" s="27">
        <v>1</v>
      </c>
      <c r="BO11" s="27">
        <v>1</v>
      </c>
      <c r="BP11" s="27">
        <v>1</v>
      </c>
      <c r="BQ11" s="27">
        <v>3</v>
      </c>
      <c r="BR11" s="27">
        <v>1</v>
      </c>
      <c r="BS11" s="27">
        <v>3</v>
      </c>
      <c r="BT11" s="27">
        <v>1</v>
      </c>
      <c r="BU11" s="27">
        <v>3</v>
      </c>
      <c r="BV11" s="27">
        <v>1</v>
      </c>
      <c r="BW11" s="27" t="s">
        <v>97</v>
      </c>
      <c r="BX11" s="27" t="s">
        <v>82</v>
      </c>
      <c r="BY11" s="27" t="s">
        <v>232</v>
      </c>
      <c r="BZ11" s="27" t="s">
        <v>84</v>
      </c>
      <c r="CA11" s="27" t="s">
        <v>112</v>
      </c>
      <c r="CB11" s="27" t="s">
        <v>233</v>
      </c>
      <c r="CC11" s="27" t="s">
        <v>113</v>
      </c>
      <c r="CD11" s="27" t="s">
        <v>234</v>
      </c>
      <c r="CE11" s="27" t="s">
        <v>82</v>
      </c>
      <c r="CG11" s="27" t="s">
        <v>235</v>
      </c>
      <c r="CH11" s="27" t="s">
        <v>82</v>
      </c>
      <c r="CI11" s="27" t="s">
        <v>84</v>
      </c>
      <c r="CJ11" s="27" t="s">
        <v>82</v>
      </c>
      <c r="CL11" s="27" t="s">
        <v>236</v>
      </c>
      <c r="CM11" s="27" t="s">
        <v>237</v>
      </c>
      <c r="CN11" s="27" t="s">
        <v>238</v>
      </c>
    </row>
    <row r="12" spans="1:92" s="27" customFormat="1" ht="12.95" customHeight="1" x14ac:dyDescent="0.2">
      <c r="A12" s="27">
        <v>11</v>
      </c>
      <c r="B12" s="27">
        <v>20</v>
      </c>
      <c r="C12" s="27" t="s">
        <v>83</v>
      </c>
      <c r="D12" s="27">
        <v>11</v>
      </c>
      <c r="E12" s="27" t="s">
        <v>79</v>
      </c>
      <c r="F12" s="27">
        <v>1380209230</v>
      </c>
      <c r="G12" s="27" t="s">
        <v>81</v>
      </c>
      <c r="H12" s="27" t="s">
        <v>84</v>
      </c>
      <c r="I12" s="27" t="s">
        <v>107</v>
      </c>
      <c r="K12" s="27" t="s">
        <v>82</v>
      </c>
      <c r="L12" s="27" t="s">
        <v>84</v>
      </c>
      <c r="M12" s="27" t="s">
        <v>108</v>
      </c>
      <c r="O12" s="27" t="s">
        <v>87</v>
      </c>
      <c r="P12" s="27">
        <v>58</v>
      </c>
      <c r="Q12" s="27" t="s">
        <v>239</v>
      </c>
      <c r="R12" s="27" t="s">
        <v>82</v>
      </c>
      <c r="T12" s="27" t="s">
        <v>84</v>
      </c>
      <c r="U12" s="27" t="s">
        <v>119</v>
      </c>
      <c r="V12" s="27" t="s">
        <v>240</v>
      </c>
      <c r="W12" s="27" t="s">
        <v>241</v>
      </c>
      <c r="X12" s="27" t="s">
        <v>80</v>
      </c>
      <c r="Z12" s="27" t="s">
        <v>84</v>
      </c>
      <c r="AB12" s="27" t="s">
        <v>242</v>
      </c>
      <c r="AC12" s="27" t="s">
        <v>126</v>
      </c>
      <c r="AD12" s="27" t="s">
        <v>111</v>
      </c>
      <c r="AF12" s="27" t="s">
        <v>80</v>
      </c>
      <c r="AG12" s="27" t="s">
        <v>243</v>
      </c>
      <c r="AI12" s="27" t="s">
        <v>84</v>
      </c>
      <c r="AJ12" s="27" t="s">
        <v>80</v>
      </c>
      <c r="AK12" s="27" t="s">
        <v>100</v>
      </c>
      <c r="AL12" s="27" t="s">
        <v>113</v>
      </c>
      <c r="AM12" s="27" t="s">
        <v>84</v>
      </c>
      <c r="AN12" s="27" t="s">
        <v>84</v>
      </c>
      <c r="AO12" s="27" t="s">
        <v>82</v>
      </c>
      <c r="AP12" s="27" t="s">
        <v>84</v>
      </c>
      <c r="AQ12" s="27" t="s">
        <v>80</v>
      </c>
      <c r="AR12" s="27">
        <v>3</v>
      </c>
      <c r="AS12" s="27">
        <v>4</v>
      </c>
      <c r="AT12" s="27">
        <v>4</v>
      </c>
      <c r="AU12" s="27">
        <v>4</v>
      </c>
      <c r="AV12" s="27">
        <v>2</v>
      </c>
      <c r="AW12" s="27">
        <v>2</v>
      </c>
      <c r="AX12" s="27" t="s">
        <v>97</v>
      </c>
      <c r="AY12" s="27" t="s">
        <v>244</v>
      </c>
      <c r="AZ12" s="27" t="s">
        <v>245</v>
      </c>
      <c r="BA12" s="27" t="s">
        <v>97</v>
      </c>
      <c r="BB12" s="27" t="s">
        <v>84</v>
      </c>
      <c r="BC12" s="27" t="s">
        <v>97</v>
      </c>
      <c r="BD12" s="27" t="s">
        <v>82</v>
      </c>
      <c r="BF12" s="27" t="s">
        <v>246</v>
      </c>
      <c r="BG12" s="27" t="s">
        <v>82</v>
      </c>
      <c r="BI12" s="27" t="s">
        <v>82</v>
      </c>
      <c r="BJ12" s="27" t="s">
        <v>82</v>
      </c>
      <c r="BK12" s="27">
        <v>4</v>
      </c>
      <c r="BL12" s="27">
        <v>2</v>
      </c>
      <c r="BM12" s="27">
        <v>2</v>
      </c>
      <c r="BN12" s="27">
        <v>2</v>
      </c>
      <c r="BO12" s="27">
        <v>4</v>
      </c>
      <c r="BP12" s="27">
        <v>4</v>
      </c>
      <c r="BQ12" s="27">
        <v>4</v>
      </c>
      <c r="BR12" s="27">
        <v>4</v>
      </c>
      <c r="BS12" s="27">
        <v>2</v>
      </c>
      <c r="BT12" s="27">
        <v>2</v>
      </c>
      <c r="BU12" s="27">
        <v>3</v>
      </c>
      <c r="BV12" s="27">
        <v>4</v>
      </c>
      <c r="BW12" s="27" t="s">
        <v>97</v>
      </c>
      <c r="BX12" s="27" t="s">
        <v>106</v>
      </c>
      <c r="BZ12" s="27" t="s">
        <v>84</v>
      </c>
      <c r="CA12" s="27" t="s">
        <v>100</v>
      </c>
      <c r="CB12" s="27" t="s">
        <v>247</v>
      </c>
      <c r="CC12" s="27" t="s">
        <v>100</v>
      </c>
      <c r="CE12" s="27" t="s">
        <v>82</v>
      </c>
      <c r="CG12" s="27" t="s">
        <v>246</v>
      </c>
      <c r="CH12" s="27" t="s">
        <v>82</v>
      </c>
      <c r="CI12" s="27" t="s">
        <v>84</v>
      </c>
      <c r="CJ12" s="27" t="s">
        <v>82</v>
      </c>
      <c r="CL12" s="27" t="s">
        <v>248</v>
      </c>
      <c r="CM12" s="27" t="s">
        <v>249</v>
      </c>
      <c r="CN12" s="27" t="s">
        <v>250</v>
      </c>
    </row>
    <row r="13" spans="1:92" s="27" customFormat="1" ht="12.95" customHeight="1" x14ac:dyDescent="0.2">
      <c r="A13" s="27">
        <v>12</v>
      </c>
      <c r="B13" s="27">
        <v>22</v>
      </c>
      <c r="C13" s="27" t="s">
        <v>83</v>
      </c>
      <c r="D13" s="27">
        <v>11</v>
      </c>
      <c r="E13" s="27" t="s">
        <v>79</v>
      </c>
      <c r="F13" s="27">
        <v>2126284924</v>
      </c>
      <c r="G13" s="27" t="s">
        <v>81</v>
      </c>
      <c r="H13" s="27" t="s">
        <v>84</v>
      </c>
      <c r="I13" s="27" t="s">
        <v>119</v>
      </c>
      <c r="J13" s="27" t="s">
        <v>251</v>
      </c>
      <c r="K13" s="27" t="s">
        <v>84</v>
      </c>
      <c r="L13" s="27" t="s">
        <v>84</v>
      </c>
      <c r="M13" s="27" t="s">
        <v>86</v>
      </c>
      <c r="N13" s="27" t="s">
        <v>252</v>
      </c>
      <c r="O13" s="27" t="s">
        <v>253</v>
      </c>
      <c r="P13" s="27" t="s">
        <v>254</v>
      </c>
      <c r="Q13" s="27" t="s">
        <v>255</v>
      </c>
      <c r="R13" s="27" t="s">
        <v>84</v>
      </c>
      <c r="S13" s="27" t="s">
        <v>256</v>
      </c>
      <c r="T13" s="27" t="s">
        <v>82</v>
      </c>
      <c r="X13" s="27" t="s">
        <v>84</v>
      </c>
      <c r="Y13" s="27" t="s">
        <v>257</v>
      </c>
      <c r="Z13" s="27" t="s">
        <v>82</v>
      </c>
      <c r="AA13" s="27" t="s">
        <v>258</v>
      </c>
      <c r="AC13" s="27" t="s">
        <v>90</v>
      </c>
      <c r="AD13" s="27" t="s">
        <v>91</v>
      </c>
      <c r="AF13" s="27" t="s">
        <v>80</v>
      </c>
      <c r="AH13" s="27" t="s">
        <v>259</v>
      </c>
      <c r="AI13" s="27" t="s">
        <v>84</v>
      </c>
      <c r="AJ13" s="27" t="s">
        <v>80</v>
      </c>
      <c r="AK13" s="27" t="s">
        <v>93</v>
      </c>
      <c r="AL13" s="27" t="s">
        <v>93</v>
      </c>
      <c r="AM13" s="27" t="s">
        <v>82</v>
      </c>
      <c r="AN13" s="27" t="s">
        <v>84</v>
      </c>
      <c r="AO13" s="27" t="s">
        <v>84</v>
      </c>
      <c r="AP13" s="27" t="s">
        <v>84</v>
      </c>
      <c r="AQ13" s="27" t="s">
        <v>80</v>
      </c>
      <c r="AR13" s="27">
        <v>1</v>
      </c>
      <c r="AS13" s="27">
        <v>1</v>
      </c>
      <c r="AT13" s="27">
        <v>1</v>
      </c>
      <c r="AU13" s="27">
        <v>1</v>
      </c>
      <c r="AV13" s="27">
        <v>3</v>
      </c>
      <c r="AW13" s="27">
        <v>3</v>
      </c>
      <c r="AX13" s="27" t="s">
        <v>260</v>
      </c>
      <c r="AY13" s="27" t="s">
        <v>261</v>
      </c>
      <c r="AZ13" s="27" t="s">
        <v>262</v>
      </c>
      <c r="BA13" s="27" t="s">
        <v>99</v>
      </c>
      <c r="BB13" s="27" t="s">
        <v>80</v>
      </c>
      <c r="BC13" s="27" t="s">
        <v>263</v>
      </c>
      <c r="BD13" s="27" t="s">
        <v>84</v>
      </c>
      <c r="BE13" s="27" t="s">
        <v>264</v>
      </c>
      <c r="BG13" s="27" t="s">
        <v>84</v>
      </c>
      <c r="BH13" s="27" t="s">
        <v>265</v>
      </c>
      <c r="BI13" s="27" t="s">
        <v>84</v>
      </c>
      <c r="BJ13" s="27" t="s">
        <v>84</v>
      </c>
      <c r="BK13" s="27">
        <v>3</v>
      </c>
      <c r="BL13" s="27">
        <v>1</v>
      </c>
      <c r="BM13" s="27">
        <v>1</v>
      </c>
      <c r="BN13" s="27">
        <v>1</v>
      </c>
      <c r="BO13" s="27">
        <v>1</v>
      </c>
      <c r="BP13" s="27">
        <v>1</v>
      </c>
      <c r="BQ13" s="27">
        <v>1</v>
      </c>
      <c r="BR13" s="27">
        <v>1</v>
      </c>
      <c r="BS13" s="27">
        <v>1</v>
      </c>
      <c r="BT13" s="27">
        <v>1</v>
      </c>
      <c r="BU13" s="27">
        <v>1</v>
      </c>
      <c r="BV13" s="27">
        <v>1</v>
      </c>
      <c r="BW13" s="27" t="s">
        <v>99</v>
      </c>
      <c r="BX13" s="27" t="s">
        <v>84</v>
      </c>
      <c r="BZ13" s="27" t="s">
        <v>84</v>
      </c>
      <c r="CA13" s="27" t="s">
        <v>93</v>
      </c>
      <c r="CB13" s="27" t="s">
        <v>266</v>
      </c>
      <c r="CC13" s="27" t="s">
        <v>113</v>
      </c>
      <c r="CD13" s="27" t="s">
        <v>267</v>
      </c>
      <c r="CE13" s="27" t="s">
        <v>84</v>
      </c>
      <c r="CH13" s="27" t="s">
        <v>84</v>
      </c>
      <c r="CI13" s="27" t="s">
        <v>84</v>
      </c>
      <c r="CJ13" s="27" t="s">
        <v>84</v>
      </c>
      <c r="CK13" s="27" t="s">
        <v>268</v>
      </c>
      <c r="CL13" s="27" t="s">
        <v>269</v>
      </c>
      <c r="CM13" s="27" t="s">
        <v>270</v>
      </c>
      <c r="CN13" s="27" t="s">
        <v>271</v>
      </c>
    </row>
    <row r="14" spans="1:92" s="27" customFormat="1" ht="12.95" customHeight="1" x14ac:dyDescent="0.2">
      <c r="A14" s="27">
        <v>13</v>
      </c>
      <c r="B14" s="27">
        <v>23</v>
      </c>
      <c r="C14" s="27" t="s">
        <v>83</v>
      </c>
      <c r="D14" s="27">
        <v>11</v>
      </c>
      <c r="E14" s="27" t="s">
        <v>79</v>
      </c>
      <c r="F14" s="27">
        <v>826254165</v>
      </c>
      <c r="G14" s="27" t="s">
        <v>81</v>
      </c>
      <c r="H14" s="27" t="s">
        <v>84</v>
      </c>
      <c r="I14" s="27" t="s">
        <v>105</v>
      </c>
      <c r="K14" s="27" t="s">
        <v>82</v>
      </c>
      <c r="L14" s="27" t="s">
        <v>84</v>
      </c>
      <c r="M14" s="27" t="s">
        <v>108</v>
      </c>
      <c r="N14" s="27" t="s">
        <v>272</v>
      </c>
      <c r="O14" s="27" t="s">
        <v>87</v>
      </c>
      <c r="P14" s="27">
        <v>150</v>
      </c>
      <c r="Q14" s="27" t="s">
        <v>273</v>
      </c>
      <c r="R14" s="27" t="s">
        <v>84</v>
      </c>
      <c r="S14" s="27" t="s">
        <v>274</v>
      </c>
      <c r="T14" s="27" t="s">
        <v>82</v>
      </c>
      <c r="X14" s="27" t="s">
        <v>84</v>
      </c>
      <c r="Y14" s="27" t="s">
        <v>275</v>
      </c>
      <c r="Z14" s="27" t="s">
        <v>84</v>
      </c>
      <c r="AB14" s="27" t="s">
        <v>276</v>
      </c>
      <c r="AC14" s="27" t="s">
        <v>126</v>
      </c>
      <c r="AD14" s="27" t="s">
        <v>111</v>
      </c>
      <c r="AF14" s="27" t="s">
        <v>80</v>
      </c>
      <c r="AG14" s="27" t="s">
        <v>277</v>
      </c>
      <c r="AI14" s="27" t="s">
        <v>84</v>
      </c>
      <c r="AJ14" s="27" t="s">
        <v>80</v>
      </c>
      <c r="AK14" s="27" t="s">
        <v>113</v>
      </c>
      <c r="AL14" s="27" t="s">
        <v>100</v>
      </c>
      <c r="AM14" s="27" t="s">
        <v>84</v>
      </c>
      <c r="AN14" s="27" t="s">
        <v>82</v>
      </c>
      <c r="AO14" s="27" t="s">
        <v>84</v>
      </c>
      <c r="AP14" s="27" t="s">
        <v>84</v>
      </c>
      <c r="AQ14" s="27" t="s">
        <v>80</v>
      </c>
      <c r="AR14" s="27">
        <v>3</v>
      </c>
      <c r="AS14" s="27">
        <v>2</v>
      </c>
      <c r="AT14" s="27">
        <v>2</v>
      </c>
      <c r="AU14" s="27">
        <v>1</v>
      </c>
      <c r="AV14" s="27">
        <v>3</v>
      </c>
      <c r="AW14" s="27">
        <v>3</v>
      </c>
      <c r="AX14" s="27" t="s">
        <v>278</v>
      </c>
      <c r="AY14" s="27" t="s">
        <v>279</v>
      </c>
      <c r="AZ14" s="27" t="s">
        <v>280</v>
      </c>
      <c r="BA14" s="27" t="s">
        <v>97</v>
      </c>
      <c r="BB14" s="27" t="s">
        <v>84</v>
      </c>
      <c r="BC14" s="27" t="s">
        <v>281</v>
      </c>
      <c r="BD14" s="27" t="s">
        <v>82</v>
      </c>
      <c r="BF14" s="27" t="s">
        <v>282</v>
      </c>
      <c r="BG14" s="27" t="s">
        <v>82</v>
      </c>
      <c r="BI14" s="27" t="s">
        <v>82</v>
      </c>
      <c r="BJ14" s="27" t="s">
        <v>82</v>
      </c>
      <c r="BK14" s="27">
        <v>2</v>
      </c>
      <c r="BL14" s="27">
        <v>2</v>
      </c>
      <c r="BM14" s="27">
        <v>4</v>
      </c>
      <c r="BN14" s="27">
        <v>1</v>
      </c>
      <c r="BO14" s="27">
        <v>2</v>
      </c>
      <c r="BP14" s="27">
        <v>2</v>
      </c>
      <c r="BQ14" s="27">
        <v>3</v>
      </c>
      <c r="BR14" s="27">
        <v>1</v>
      </c>
      <c r="BS14" s="27">
        <v>5</v>
      </c>
      <c r="BT14" s="27">
        <v>1</v>
      </c>
      <c r="BU14" s="27">
        <v>4</v>
      </c>
      <c r="BV14" s="27">
        <v>2</v>
      </c>
      <c r="BW14" s="27" t="s">
        <v>97</v>
      </c>
      <c r="BX14" s="27" t="s">
        <v>106</v>
      </c>
      <c r="BZ14" s="27" t="s">
        <v>84</v>
      </c>
      <c r="CA14" s="27" t="s">
        <v>112</v>
      </c>
      <c r="CB14" s="27" t="s">
        <v>283</v>
      </c>
      <c r="CC14" s="27" t="s">
        <v>100</v>
      </c>
      <c r="CD14" s="27" t="s">
        <v>284</v>
      </c>
      <c r="CE14" s="27" t="s">
        <v>82</v>
      </c>
      <c r="CG14" s="27" t="s">
        <v>285</v>
      </c>
      <c r="CH14" s="27" t="s">
        <v>82</v>
      </c>
      <c r="CI14" s="27" t="s">
        <v>82</v>
      </c>
      <c r="CJ14" s="27" t="s">
        <v>82</v>
      </c>
      <c r="CL14" s="27" t="s">
        <v>286</v>
      </c>
      <c r="CM14" s="27" t="s">
        <v>287</v>
      </c>
      <c r="CN14" s="27" t="s">
        <v>288</v>
      </c>
    </row>
    <row r="15" spans="1:92" s="27" customFormat="1" ht="12.95" customHeight="1" x14ac:dyDescent="0.2">
      <c r="A15" s="27">
        <v>14</v>
      </c>
      <c r="B15" s="27">
        <v>24</v>
      </c>
      <c r="C15" s="27" t="s">
        <v>83</v>
      </c>
      <c r="D15" s="27">
        <v>11</v>
      </c>
      <c r="E15" s="27" t="s">
        <v>79</v>
      </c>
      <c r="F15" s="27">
        <v>1273388862</v>
      </c>
      <c r="G15" s="27" t="s">
        <v>81</v>
      </c>
      <c r="H15" s="27" t="s">
        <v>84</v>
      </c>
      <c r="I15" s="27" t="s">
        <v>119</v>
      </c>
      <c r="J15" s="27" t="s">
        <v>289</v>
      </c>
      <c r="K15" s="27" t="s">
        <v>84</v>
      </c>
      <c r="L15" s="27" t="s">
        <v>82</v>
      </c>
      <c r="M15" s="27" t="s">
        <v>86</v>
      </c>
      <c r="O15" s="27" t="s">
        <v>290</v>
      </c>
      <c r="P15" s="27" t="s">
        <v>291</v>
      </c>
      <c r="Q15" s="27" t="s">
        <v>292</v>
      </c>
      <c r="R15" s="27" t="s">
        <v>82</v>
      </c>
      <c r="T15" s="27" t="s">
        <v>82</v>
      </c>
      <c r="X15" s="27" t="s">
        <v>82</v>
      </c>
      <c r="Y15" s="27" t="s">
        <v>293</v>
      </c>
      <c r="Z15" s="27" t="s">
        <v>84</v>
      </c>
      <c r="AA15" s="27" t="s">
        <v>294</v>
      </c>
      <c r="AB15" s="27" t="s">
        <v>295</v>
      </c>
      <c r="AC15" s="27" t="s">
        <v>296</v>
      </c>
      <c r="AD15" s="27" t="s">
        <v>91</v>
      </c>
      <c r="AF15" s="27" t="s">
        <v>80</v>
      </c>
      <c r="AH15" s="27" t="s">
        <v>297</v>
      </c>
      <c r="AI15" s="27" t="s">
        <v>84</v>
      </c>
      <c r="AJ15" s="27" t="s">
        <v>80</v>
      </c>
      <c r="AK15" s="27" t="s">
        <v>113</v>
      </c>
      <c r="AL15" s="27" t="s">
        <v>93</v>
      </c>
      <c r="AM15" s="27" t="s">
        <v>82</v>
      </c>
      <c r="AN15" s="27" t="s">
        <v>82</v>
      </c>
      <c r="AO15" s="27" t="s">
        <v>84</v>
      </c>
      <c r="AP15" s="27" t="s">
        <v>84</v>
      </c>
      <c r="AQ15" s="27" t="s">
        <v>80</v>
      </c>
      <c r="AR15" s="27">
        <v>4</v>
      </c>
      <c r="AS15" s="27">
        <v>4</v>
      </c>
      <c r="AT15" s="27">
        <v>1</v>
      </c>
      <c r="AU15" s="27">
        <v>1</v>
      </c>
      <c r="AV15" s="27">
        <v>5</v>
      </c>
      <c r="AW15" s="27">
        <v>5</v>
      </c>
      <c r="AX15" s="27" t="s">
        <v>298</v>
      </c>
      <c r="AY15" s="27" t="s">
        <v>299</v>
      </c>
      <c r="AZ15" s="27" t="s">
        <v>300</v>
      </c>
      <c r="BA15" s="27" t="s">
        <v>99</v>
      </c>
      <c r="BB15" s="27" t="s">
        <v>80</v>
      </c>
      <c r="BC15" s="27" t="s">
        <v>301</v>
      </c>
      <c r="BD15" s="27" t="s">
        <v>84</v>
      </c>
      <c r="BE15" s="27" t="s">
        <v>302</v>
      </c>
      <c r="BG15" s="27" t="s">
        <v>82</v>
      </c>
      <c r="BI15" s="27" t="s">
        <v>84</v>
      </c>
      <c r="BJ15" s="27" t="s">
        <v>84</v>
      </c>
      <c r="BK15" s="27">
        <v>5</v>
      </c>
      <c r="BL15" s="27">
        <v>5</v>
      </c>
      <c r="BM15" s="27">
        <v>1</v>
      </c>
      <c r="BN15" s="27">
        <v>1</v>
      </c>
      <c r="BO15" s="27">
        <v>3</v>
      </c>
      <c r="BP15" s="27">
        <v>2</v>
      </c>
      <c r="BQ15" s="27">
        <v>1</v>
      </c>
      <c r="BR15" s="27">
        <v>1</v>
      </c>
      <c r="BS15" s="27">
        <v>1</v>
      </c>
      <c r="BT15" s="27">
        <v>1</v>
      </c>
      <c r="BU15" s="27">
        <v>1</v>
      </c>
      <c r="BV15" s="27">
        <v>1</v>
      </c>
      <c r="BW15" s="27" t="s">
        <v>99</v>
      </c>
      <c r="BX15" s="27" t="s">
        <v>82</v>
      </c>
      <c r="BY15" s="27" t="s">
        <v>303</v>
      </c>
      <c r="BZ15" s="27" t="s">
        <v>84</v>
      </c>
      <c r="CA15" s="27" t="s">
        <v>100</v>
      </c>
      <c r="CB15" s="27" t="s">
        <v>304</v>
      </c>
      <c r="CC15" s="27" t="s">
        <v>113</v>
      </c>
      <c r="CE15" s="27" t="s">
        <v>84</v>
      </c>
      <c r="CH15" s="27" t="s">
        <v>82</v>
      </c>
      <c r="CI15" s="27" t="s">
        <v>84</v>
      </c>
      <c r="CJ15" s="27" t="s">
        <v>84</v>
      </c>
      <c r="CK15" s="27" t="s">
        <v>305</v>
      </c>
      <c r="CL15" s="27" t="s">
        <v>306</v>
      </c>
      <c r="CM15" s="27" t="s">
        <v>307</v>
      </c>
      <c r="CN15" s="27" t="s">
        <v>308</v>
      </c>
    </row>
    <row r="16" spans="1:92" s="27" customFormat="1" ht="12.95" customHeight="1" x14ac:dyDescent="0.2">
      <c r="A16" s="27">
        <v>15</v>
      </c>
      <c r="B16" s="27">
        <v>25</v>
      </c>
      <c r="C16" s="27" t="s">
        <v>83</v>
      </c>
      <c r="D16" s="27">
        <v>11</v>
      </c>
      <c r="E16" s="27" t="s">
        <v>79</v>
      </c>
      <c r="F16" s="27">
        <v>472111929</v>
      </c>
      <c r="G16" s="27" t="s">
        <v>81</v>
      </c>
      <c r="H16" s="27" t="s">
        <v>84</v>
      </c>
      <c r="I16" s="27" t="s">
        <v>119</v>
      </c>
      <c r="J16" s="27" t="s">
        <v>309</v>
      </c>
      <c r="K16" s="27" t="s">
        <v>84</v>
      </c>
      <c r="L16" s="27" t="s">
        <v>84</v>
      </c>
      <c r="M16" s="27" t="s">
        <v>108</v>
      </c>
      <c r="O16" s="27" t="s">
        <v>253</v>
      </c>
      <c r="P16" s="27">
        <v>125</v>
      </c>
      <c r="Q16" s="27" t="s">
        <v>310</v>
      </c>
      <c r="R16" s="27" t="s">
        <v>84</v>
      </c>
      <c r="S16" s="27" t="s">
        <v>311</v>
      </c>
      <c r="T16" s="27" t="s">
        <v>82</v>
      </c>
      <c r="X16" s="27" t="s">
        <v>84</v>
      </c>
      <c r="Y16" s="27" t="s">
        <v>312</v>
      </c>
      <c r="Z16" s="27" t="s">
        <v>84</v>
      </c>
      <c r="AB16" s="27" t="s">
        <v>313</v>
      </c>
      <c r="AC16" s="27" t="s">
        <v>126</v>
      </c>
      <c r="AD16" s="27" t="s">
        <v>91</v>
      </c>
      <c r="AF16" s="27" t="s">
        <v>80</v>
      </c>
      <c r="AH16" s="27" t="s">
        <v>314</v>
      </c>
      <c r="AI16" s="27" t="s">
        <v>84</v>
      </c>
      <c r="AJ16" s="27" t="s">
        <v>80</v>
      </c>
      <c r="AK16" s="27" t="s">
        <v>93</v>
      </c>
      <c r="AL16" s="27" t="s">
        <v>113</v>
      </c>
      <c r="AM16" s="27" t="s">
        <v>84</v>
      </c>
      <c r="AN16" s="27" t="s">
        <v>84</v>
      </c>
      <c r="AO16" s="27" t="s">
        <v>84</v>
      </c>
      <c r="AP16" s="27" t="s">
        <v>84</v>
      </c>
      <c r="AQ16" s="27" t="s">
        <v>80</v>
      </c>
      <c r="AR16" s="27">
        <v>3</v>
      </c>
      <c r="AS16" s="27">
        <v>1</v>
      </c>
      <c r="AT16" s="27">
        <v>3</v>
      </c>
      <c r="AU16" s="27">
        <v>1</v>
      </c>
      <c r="AV16" s="27">
        <v>3</v>
      </c>
      <c r="AW16" s="27">
        <v>1</v>
      </c>
      <c r="AX16" s="27" t="s">
        <v>209</v>
      </c>
      <c r="AY16" s="27" t="s">
        <v>315</v>
      </c>
      <c r="AZ16" s="27" t="s">
        <v>316</v>
      </c>
      <c r="BA16" s="27" t="s">
        <v>97</v>
      </c>
      <c r="BB16" s="27" t="s">
        <v>84</v>
      </c>
      <c r="BC16" s="27" t="s">
        <v>80</v>
      </c>
      <c r="BD16" s="27" t="s">
        <v>82</v>
      </c>
      <c r="BF16" s="27" t="s">
        <v>317</v>
      </c>
      <c r="BG16" s="27" t="s">
        <v>82</v>
      </c>
      <c r="BI16" s="27" t="s">
        <v>84</v>
      </c>
      <c r="BJ16" s="27" t="s">
        <v>82</v>
      </c>
      <c r="BK16" s="27">
        <v>2</v>
      </c>
      <c r="BL16" s="27">
        <v>1</v>
      </c>
      <c r="BM16" s="27">
        <v>3</v>
      </c>
      <c r="BN16" s="27">
        <v>1</v>
      </c>
      <c r="BO16" s="27">
        <v>3</v>
      </c>
      <c r="BP16" s="27">
        <v>1</v>
      </c>
      <c r="BQ16" s="27">
        <v>3</v>
      </c>
      <c r="BR16" s="27">
        <v>1</v>
      </c>
      <c r="BS16" s="27">
        <v>4</v>
      </c>
      <c r="BT16" s="27">
        <v>1</v>
      </c>
      <c r="BU16" s="27">
        <v>4</v>
      </c>
      <c r="BV16" s="27">
        <v>1</v>
      </c>
      <c r="BW16" s="27" t="s">
        <v>97</v>
      </c>
      <c r="BX16" s="27" t="s">
        <v>106</v>
      </c>
      <c r="BZ16" s="27" t="s">
        <v>84</v>
      </c>
      <c r="CA16" s="27" t="s">
        <v>100</v>
      </c>
      <c r="CB16" s="27" t="s">
        <v>318</v>
      </c>
      <c r="CC16" s="27" t="s">
        <v>113</v>
      </c>
      <c r="CD16" s="27" t="s">
        <v>319</v>
      </c>
      <c r="CE16" s="27" t="s">
        <v>84</v>
      </c>
      <c r="CF16" s="27" t="s">
        <v>320</v>
      </c>
      <c r="CH16" s="27" t="s">
        <v>84</v>
      </c>
      <c r="CI16" s="27" t="s">
        <v>82</v>
      </c>
      <c r="CJ16" s="27" t="s">
        <v>82</v>
      </c>
      <c r="CL16" s="27" t="s">
        <v>321</v>
      </c>
      <c r="CM16" s="27" t="s">
        <v>322</v>
      </c>
      <c r="CN16" s="27" t="s">
        <v>323</v>
      </c>
    </row>
    <row r="17" spans="1:92" s="27" customFormat="1" ht="12.95" customHeight="1" x14ac:dyDescent="0.2">
      <c r="A17" s="27">
        <v>16</v>
      </c>
      <c r="B17" s="27">
        <v>27</v>
      </c>
      <c r="C17" s="27" t="s">
        <v>83</v>
      </c>
      <c r="D17" s="27">
        <v>11</v>
      </c>
      <c r="E17" s="27" t="s">
        <v>79</v>
      </c>
      <c r="F17" s="27">
        <v>1733851933</v>
      </c>
      <c r="G17" s="27" t="s">
        <v>81</v>
      </c>
      <c r="H17" s="27" t="s">
        <v>84</v>
      </c>
      <c r="I17" s="27" t="s">
        <v>324</v>
      </c>
      <c r="K17" s="27" t="s">
        <v>84</v>
      </c>
      <c r="L17" s="27" t="s">
        <v>84</v>
      </c>
      <c r="M17" s="27" t="s">
        <v>108</v>
      </c>
      <c r="O17" s="27" t="s">
        <v>253</v>
      </c>
      <c r="P17" s="27">
        <v>50</v>
      </c>
      <c r="Q17" s="27" t="s">
        <v>325</v>
      </c>
      <c r="R17" s="27" t="s">
        <v>84</v>
      </c>
      <c r="T17" s="27" t="s">
        <v>82</v>
      </c>
      <c r="X17" s="27" t="s">
        <v>84</v>
      </c>
      <c r="Y17" s="27" t="s">
        <v>326</v>
      </c>
      <c r="Z17" s="27" t="s">
        <v>84</v>
      </c>
      <c r="AC17" s="27" t="s">
        <v>126</v>
      </c>
      <c r="AD17" s="27" t="s">
        <v>111</v>
      </c>
      <c r="AF17" s="27" t="s">
        <v>80</v>
      </c>
      <c r="AI17" s="27" t="s">
        <v>84</v>
      </c>
      <c r="AJ17" s="27" t="s">
        <v>80</v>
      </c>
      <c r="AK17" s="27" t="s">
        <v>113</v>
      </c>
      <c r="AL17" s="27" t="s">
        <v>113</v>
      </c>
      <c r="AM17" s="27" t="s">
        <v>84</v>
      </c>
      <c r="AN17" s="27" t="s">
        <v>84</v>
      </c>
      <c r="AO17" s="27" t="s">
        <v>84</v>
      </c>
      <c r="AP17" s="27" t="s">
        <v>84</v>
      </c>
      <c r="AQ17" s="27" t="s">
        <v>80</v>
      </c>
      <c r="AR17" s="27">
        <v>3</v>
      </c>
      <c r="AS17" s="27">
        <v>4</v>
      </c>
      <c r="AT17" s="27">
        <v>1</v>
      </c>
      <c r="AU17" s="27">
        <v>1</v>
      </c>
      <c r="AV17" s="27">
        <v>5</v>
      </c>
      <c r="AW17" s="27">
        <v>4</v>
      </c>
      <c r="AX17" s="27" t="s">
        <v>327</v>
      </c>
      <c r="AY17" s="27" t="s">
        <v>328</v>
      </c>
      <c r="AZ17" s="27" t="s">
        <v>329</v>
      </c>
      <c r="BA17" s="27" t="s">
        <v>99</v>
      </c>
      <c r="BB17" s="27" t="s">
        <v>80</v>
      </c>
      <c r="BD17" s="27" t="s">
        <v>84</v>
      </c>
      <c r="BE17" s="27" t="s">
        <v>330</v>
      </c>
      <c r="BG17" s="27" t="s">
        <v>82</v>
      </c>
      <c r="BI17" s="27" t="s">
        <v>84</v>
      </c>
      <c r="BJ17" s="27" t="s">
        <v>84</v>
      </c>
      <c r="BK17" s="27">
        <v>5</v>
      </c>
      <c r="BL17" s="27">
        <v>5</v>
      </c>
      <c r="BM17" s="27">
        <v>1</v>
      </c>
      <c r="BN17" s="27">
        <v>2</v>
      </c>
      <c r="BO17" s="27">
        <v>3</v>
      </c>
      <c r="BP17" s="27">
        <v>3</v>
      </c>
      <c r="BQ17" s="27">
        <v>1</v>
      </c>
      <c r="BR17" s="27">
        <v>3</v>
      </c>
      <c r="BS17" s="27">
        <v>1</v>
      </c>
      <c r="BT17" s="27">
        <v>5</v>
      </c>
      <c r="BU17" s="27">
        <v>2</v>
      </c>
      <c r="BV17" s="27">
        <v>2</v>
      </c>
      <c r="BW17" s="27" t="s">
        <v>118</v>
      </c>
      <c r="BX17" s="27" t="s">
        <v>84</v>
      </c>
      <c r="BZ17" s="27" t="s">
        <v>84</v>
      </c>
      <c r="CA17" s="27" t="s">
        <v>113</v>
      </c>
      <c r="CB17" s="27" t="s">
        <v>84</v>
      </c>
      <c r="CC17" s="27" t="s">
        <v>100</v>
      </c>
      <c r="CD17" s="27" t="s">
        <v>331</v>
      </c>
      <c r="CE17" s="27" t="s">
        <v>82</v>
      </c>
      <c r="CG17" s="27" t="s">
        <v>332</v>
      </c>
      <c r="CH17" s="27" t="s">
        <v>82</v>
      </c>
      <c r="CI17" s="27" t="s">
        <v>82</v>
      </c>
      <c r="CJ17" s="27" t="s">
        <v>82</v>
      </c>
      <c r="CL17" s="27" t="s">
        <v>333</v>
      </c>
      <c r="CM17" s="27" t="s">
        <v>334</v>
      </c>
      <c r="CN17" s="27" t="s">
        <v>335</v>
      </c>
    </row>
    <row r="18" spans="1:92" s="27" customFormat="1" ht="12.95" customHeight="1" x14ac:dyDescent="0.2">
      <c r="A18" s="27">
        <v>17</v>
      </c>
      <c r="B18" s="27">
        <v>28</v>
      </c>
      <c r="C18" s="27" t="s">
        <v>83</v>
      </c>
      <c r="D18" s="27">
        <v>11</v>
      </c>
      <c r="E18" s="27" t="s">
        <v>79</v>
      </c>
      <c r="F18" s="27">
        <v>1535614309</v>
      </c>
      <c r="G18" s="27" t="s">
        <v>81</v>
      </c>
      <c r="H18" s="27" t="s">
        <v>84</v>
      </c>
      <c r="I18" s="27" t="s">
        <v>336</v>
      </c>
      <c r="K18" s="27" t="s">
        <v>82</v>
      </c>
      <c r="L18" s="27" t="s">
        <v>84</v>
      </c>
      <c r="M18" s="27" t="s">
        <v>106</v>
      </c>
      <c r="O18" s="27" t="s">
        <v>87</v>
      </c>
      <c r="P18" s="27" t="s">
        <v>337</v>
      </c>
      <c r="Q18" s="27" t="s">
        <v>338</v>
      </c>
      <c r="R18" s="27" t="s">
        <v>82</v>
      </c>
      <c r="T18" s="27" t="s">
        <v>82</v>
      </c>
      <c r="X18" s="27" t="s">
        <v>82</v>
      </c>
      <c r="Z18" s="27" t="s">
        <v>82</v>
      </c>
      <c r="AC18" s="27" t="s">
        <v>126</v>
      </c>
      <c r="AD18" s="27" t="s">
        <v>82</v>
      </c>
      <c r="AE18" s="27" t="s">
        <v>339</v>
      </c>
      <c r="AF18" s="27" t="s">
        <v>82</v>
      </c>
      <c r="AI18" s="27" t="s">
        <v>82</v>
      </c>
      <c r="AJ18" s="27" t="s">
        <v>82</v>
      </c>
      <c r="AK18" s="27" t="s">
        <v>340</v>
      </c>
      <c r="AL18" s="27" t="s">
        <v>100</v>
      </c>
      <c r="AM18" s="27" t="s">
        <v>82</v>
      </c>
      <c r="AN18" s="27" t="s">
        <v>84</v>
      </c>
      <c r="AO18" s="27" t="s">
        <v>82</v>
      </c>
      <c r="AP18" s="27" t="s">
        <v>84</v>
      </c>
      <c r="AQ18" s="27" t="s">
        <v>80</v>
      </c>
      <c r="AR18" s="27">
        <v>3</v>
      </c>
      <c r="AS18" s="27">
        <v>3</v>
      </c>
      <c r="AT18" s="27">
        <v>3</v>
      </c>
      <c r="AU18" s="27">
        <v>3</v>
      </c>
      <c r="AV18" s="27">
        <v>3</v>
      </c>
      <c r="AW18" s="27">
        <v>3</v>
      </c>
      <c r="AX18" s="27" t="s">
        <v>341</v>
      </c>
      <c r="AY18" s="27" t="s">
        <v>342</v>
      </c>
      <c r="AZ18" s="27" t="s">
        <v>343</v>
      </c>
      <c r="BA18" s="27" t="s">
        <v>97</v>
      </c>
      <c r="BB18" s="27" t="s">
        <v>82</v>
      </c>
      <c r="BD18" s="27" t="s">
        <v>82</v>
      </c>
      <c r="BG18" s="27" t="s">
        <v>82</v>
      </c>
      <c r="BI18" s="27" t="s">
        <v>82</v>
      </c>
      <c r="BJ18" s="27" t="s">
        <v>82</v>
      </c>
      <c r="BK18" s="27">
        <v>3</v>
      </c>
      <c r="BL18" s="27">
        <v>3</v>
      </c>
      <c r="BM18" s="27">
        <v>3</v>
      </c>
      <c r="BN18" s="27">
        <v>3</v>
      </c>
      <c r="BO18" s="27">
        <v>3</v>
      </c>
      <c r="BP18" s="27">
        <v>3</v>
      </c>
      <c r="BQ18" s="27">
        <v>3</v>
      </c>
      <c r="BR18" s="27">
        <v>3</v>
      </c>
      <c r="BS18" s="27">
        <v>3</v>
      </c>
      <c r="BT18" s="27">
        <v>3</v>
      </c>
      <c r="BU18" s="27">
        <v>3</v>
      </c>
      <c r="BV18" s="27">
        <v>3</v>
      </c>
      <c r="BW18" s="27" t="s">
        <v>97</v>
      </c>
      <c r="BX18" s="27" t="s">
        <v>82</v>
      </c>
      <c r="BY18" s="27" t="s">
        <v>344</v>
      </c>
      <c r="BZ18" s="27" t="s">
        <v>82</v>
      </c>
      <c r="CA18" s="27" t="s">
        <v>100</v>
      </c>
      <c r="CC18" s="27" t="s">
        <v>100</v>
      </c>
      <c r="CD18" s="27" t="s">
        <v>345</v>
      </c>
      <c r="CE18" s="27" t="s">
        <v>82</v>
      </c>
      <c r="CH18" s="27" t="s">
        <v>82</v>
      </c>
      <c r="CI18" s="27" t="s">
        <v>84</v>
      </c>
      <c r="CJ18" s="27" t="s">
        <v>84</v>
      </c>
      <c r="CK18" s="27" t="s">
        <v>346</v>
      </c>
      <c r="CL18" s="27" t="s">
        <v>347</v>
      </c>
      <c r="CM18" s="27" t="s">
        <v>348</v>
      </c>
      <c r="CN18" s="27" t="s">
        <v>349</v>
      </c>
    </row>
    <row r="19" spans="1:92" s="27" customFormat="1" ht="12.95" customHeight="1" x14ac:dyDescent="0.2">
      <c r="A19" s="27">
        <v>18</v>
      </c>
      <c r="B19" s="27">
        <v>30</v>
      </c>
      <c r="C19" s="27" t="s">
        <v>83</v>
      </c>
      <c r="D19" s="27">
        <v>11</v>
      </c>
      <c r="E19" s="27" t="s">
        <v>79</v>
      </c>
      <c r="F19" s="27">
        <v>2003745750</v>
      </c>
      <c r="G19" s="27" t="s">
        <v>81</v>
      </c>
      <c r="H19" s="27" t="s">
        <v>84</v>
      </c>
      <c r="I19" s="27" t="s">
        <v>324</v>
      </c>
      <c r="K19" s="27" t="s">
        <v>82</v>
      </c>
      <c r="L19" s="27" t="s">
        <v>82</v>
      </c>
      <c r="M19" s="27" t="s">
        <v>108</v>
      </c>
      <c r="O19" s="27" t="s">
        <v>87</v>
      </c>
      <c r="P19" s="27">
        <v>20</v>
      </c>
      <c r="Q19" s="27" t="s">
        <v>350</v>
      </c>
      <c r="R19" s="27" t="s">
        <v>84</v>
      </c>
      <c r="S19" s="27" t="s">
        <v>351</v>
      </c>
      <c r="T19" s="27" t="s">
        <v>82</v>
      </c>
      <c r="X19" s="27" t="s">
        <v>84</v>
      </c>
      <c r="Z19" s="27" t="s">
        <v>84</v>
      </c>
      <c r="AA19" s="27" t="s">
        <v>352</v>
      </c>
      <c r="AB19" s="27" t="s">
        <v>353</v>
      </c>
      <c r="AC19" s="27" t="s">
        <v>140</v>
      </c>
      <c r="AD19" s="27" t="s">
        <v>111</v>
      </c>
      <c r="AF19" s="27" t="s">
        <v>80</v>
      </c>
      <c r="AG19" s="27" t="s">
        <v>354</v>
      </c>
      <c r="AI19" s="27" t="s">
        <v>84</v>
      </c>
      <c r="AJ19" s="27" t="s">
        <v>80</v>
      </c>
      <c r="AK19" s="27" t="s">
        <v>100</v>
      </c>
      <c r="AL19" s="27" t="s">
        <v>113</v>
      </c>
      <c r="AM19" s="27" t="s">
        <v>82</v>
      </c>
      <c r="AN19" s="27" t="s">
        <v>82</v>
      </c>
      <c r="AO19" s="27" t="s">
        <v>84</v>
      </c>
      <c r="AP19" s="27" t="s">
        <v>84</v>
      </c>
      <c r="AQ19" s="27" t="s">
        <v>80</v>
      </c>
      <c r="AR19" s="27">
        <v>5</v>
      </c>
      <c r="AS19" s="27">
        <v>5</v>
      </c>
      <c r="AT19" s="27">
        <v>1</v>
      </c>
      <c r="AU19" s="27">
        <v>1</v>
      </c>
      <c r="AV19" s="27">
        <v>5</v>
      </c>
      <c r="AW19" s="27">
        <v>5</v>
      </c>
      <c r="AX19" s="27" t="s">
        <v>355</v>
      </c>
      <c r="AY19" s="27" t="s">
        <v>356</v>
      </c>
      <c r="AZ19" s="27" t="s">
        <v>357</v>
      </c>
      <c r="BA19" s="27" t="s">
        <v>97</v>
      </c>
      <c r="BB19" s="27" t="s">
        <v>82</v>
      </c>
      <c r="BD19" s="27" t="s">
        <v>82</v>
      </c>
      <c r="BF19" s="27" t="s">
        <v>358</v>
      </c>
      <c r="BG19" s="27" t="s">
        <v>82</v>
      </c>
      <c r="BI19" s="27" t="s">
        <v>84</v>
      </c>
      <c r="BJ19" s="27" t="s">
        <v>84</v>
      </c>
      <c r="BK19" s="27">
        <v>5</v>
      </c>
      <c r="BL19" s="27">
        <v>3</v>
      </c>
      <c r="BM19" s="27">
        <v>4</v>
      </c>
      <c r="BN19" s="27">
        <v>3</v>
      </c>
      <c r="BO19" s="27">
        <v>1</v>
      </c>
      <c r="BP19" s="27">
        <v>1</v>
      </c>
      <c r="BQ19" s="27">
        <v>1</v>
      </c>
      <c r="BR19" s="27">
        <v>1</v>
      </c>
      <c r="BS19" s="27">
        <v>3</v>
      </c>
      <c r="BT19" s="27">
        <v>2</v>
      </c>
      <c r="BU19" s="27">
        <v>1</v>
      </c>
      <c r="BV19" s="27">
        <v>1</v>
      </c>
      <c r="BW19" s="27" t="s">
        <v>99</v>
      </c>
      <c r="BX19" s="27" t="s">
        <v>106</v>
      </c>
      <c r="BZ19" s="27" t="s">
        <v>84</v>
      </c>
      <c r="CA19" s="27" t="s">
        <v>100</v>
      </c>
      <c r="CC19" s="27" t="s">
        <v>112</v>
      </c>
      <c r="CE19" s="27" t="s">
        <v>82</v>
      </c>
      <c r="CG19" s="27" t="s">
        <v>359</v>
      </c>
      <c r="CH19" s="27" t="s">
        <v>82</v>
      </c>
      <c r="CI19" s="27" t="s">
        <v>82</v>
      </c>
      <c r="CJ19" s="27" t="s">
        <v>84</v>
      </c>
      <c r="CK19" s="27" t="s">
        <v>360</v>
      </c>
      <c r="CM19" s="27" t="s">
        <v>361</v>
      </c>
      <c r="CN19" s="27" t="s">
        <v>362</v>
      </c>
    </row>
    <row r="20" spans="1:92" s="34" customFormat="1" ht="12.95" customHeight="1" x14ac:dyDescent="0.2">
      <c r="A20" s="27">
        <v>19</v>
      </c>
      <c r="B20" s="34">
        <v>34</v>
      </c>
      <c r="D20" s="34">
        <v>7</v>
      </c>
      <c r="E20" s="34" t="s">
        <v>79</v>
      </c>
      <c r="F20" s="34">
        <v>187591378</v>
      </c>
      <c r="G20" s="34" t="s">
        <v>81</v>
      </c>
      <c r="H20" s="34" t="s">
        <v>84</v>
      </c>
      <c r="I20" s="34" t="s">
        <v>363</v>
      </c>
      <c r="K20" s="34" t="s">
        <v>82</v>
      </c>
      <c r="L20" s="34" t="s">
        <v>84</v>
      </c>
      <c r="M20" s="34" t="s">
        <v>106</v>
      </c>
      <c r="O20" s="34" t="s">
        <v>87</v>
      </c>
      <c r="P20" s="34">
        <v>30</v>
      </c>
      <c r="Q20" s="34" t="s">
        <v>364</v>
      </c>
      <c r="R20" s="34" t="s">
        <v>84</v>
      </c>
      <c r="T20" s="34" t="s">
        <v>82</v>
      </c>
      <c r="X20" s="34" t="s">
        <v>84</v>
      </c>
      <c r="Z20" s="34" t="s">
        <v>84</v>
      </c>
      <c r="AB20" s="34" t="s">
        <v>365</v>
      </c>
      <c r="AC20" s="34" t="s">
        <v>126</v>
      </c>
      <c r="AD20" s="34" t="s">
        <v>111</v>
      </c>
      <c r="AF20" s="34" t="s">
        <v>80</v>
      </c>
      <c r="AG20" s="34" t="s">
        <v>366</v>
      </c>
      <c r="AI20" s="34" t="s">
        <v>82</v>
      </c>
      <c r="AJ20" s="34" t="s">
        <v>82</v>
      </c>
      <c r="AK20" s="34" t="s">
        <v>113</v>
      </c>
      <c r="AL20" s="34" t="s">
        <v>113</v>
      </c>
      <c r="AM20" s="34" t="s">
        <v>82</v>
      </c>
      <c r="AN20" s="34" t="s">
        <v>84</v>
      </c>
      <c r="AO20" s="34" t="s">
        <v>82</v>
      </c>
      <c r="AP20" s="34" t="s">
        <v>84</v>
      </c>
      <c r="AQ20" s="34" t="s">
        <v>80</v>
      </c>
      <c r="AR20" s="34">
        <v>3</v>
      </c>
      <c r="AS20" s="34">
        <v>1</v>
      </c>
      <c r="AT20" s="34">
        <v>3</v>
      </c>
      <c r="AU20" s="34">
        <v>1</v>
      </c>
      <c r="AV20" s="34">
        <v>3</v>
      </c>
      <c r="AW20" s="34">
        <v>1</v>
      </c>
      <c r="BB20" s="34" t="s">
        <v>80</v>
      </c>
      <c r="BD20" s="34" t="s">
        <v>80</v>
      </c>
      <c r="BG20" s="34" t="s">
        <v>80</v>
      </c>
      <c r="BI20" s="34" t="s">
        <v>80</v>
      </c>
      <c r="BJ20" s="34" t="s">
        <v>80</v>
      </c>
      <c r="BZ20" s="34" t="s">
        <v>80</v>
      </c>
      <c r="CE20" s="34" t="s">
        <v>80</v>
      </c>
      <c r="CH20" s="34" t="s">
        <v>80</v>
      </c>
      <c r="CI20" s="34" t="s">
        <v>80</v>
      </c>
      <c r="CJ20" s="34" t="s">
        <v>80</v>
      </c>
    </row>
    <row r="21" spans="1:92" s="34" customFormat="1" ht="12.95" customHeight="1" x14ac:dyDescent="0.2">
      <c r="A21" s="27">
        <v>20</v>
      </c>
      <c r="B21" s="34">
        <v>35</v>
      </c>
      <c r="D21" s="34">
        <v>7</v>
      </c>
      <c r="E21" s="34" t="s">
        <v>79</v>
      </c>
      <c r="F21" s="34">
        <v>1392454204</v>
      </c>
      <c r="G21" s="34" t="s">
        <v>81</v>
      </c>
      <c r="H21" s="34" t="s">
        <v>84</v>
      </c>
      <c r="I21" s="34" t="s">
        <v>119</v>
      </c>
      <c r="J21" s="34" t="s">
        <v>367</v>
      </c>
      <c r="K21" s="34" t="s">
        <v>84</v>
      </c>
      <c r="L21" s="34" t="s">
        <v>84</v>
      </c>
      <c r="M21" s="34" t="s">
        <v>106</v>
      </c>
      <c r="O21" s="34" t="s">
        <v>253</v>
      </c>
      <c r="P21" s="34" t="s">
        <v>109</v>
      </c>
      <c r="Q21" s="34" t="s">
        <v>368</v>
      </c>
      <c r="R21" s="34" t="s">
        <v>82</v>
      </c>
      <c r="T21" s="34" t="s">
        <v>82</v>
      </c>
      <c r="X21" s="34" t="s">
        <v>82</v>
      </c>
      <c r="Y21" s="34" t="s">
        <v>369</v>
      </c>
      <c r="Z21" s="34" t="s">
        <v>84</v>
      </c>
      <c r="AB21" s="34" t="s">
        <v>370</v>
      </c>
      <c r="AC21" s="34" t="s">
        <v>126</v>
      </c>
      <c r="AD21" s="34" t="s">
        <v>91</v>
      </c>
      <c r="AF21" s="34" t="s">
        <v>80</v>
      </c>
      <c r="AH21" s="34" t="s">
        <v>371</v>
      </c>
      <c r="AI21" s="34" t="s">
        <v>84</v>
      </c>
      <c r="AJ21" s="34" t="s">
        <v>80</v>
      </c>
      <c r="AK21" s="34" t="s">
        <v>113</v>
      </c>
      <c r="AL21" s="34" t="s">
        <v>93</v>
      </c>
      <c r="AM21" s="34" t="s">
        <v>82</v>
      </c>
      <c r="AN21" s="34" t="s">
        <v>84</v>
      </c>
      <c r="AO21" s="34" t="s">
        <v>84</v>
      </c>
      <c r="AP21" s="34" t="s">
        <v>84</v>
      </c>
      <c r="AQ21" s="34" t="s">
        <v>80</v>
      </c>
      <c r="AR21" s="34">
        <v>1</v>
      </c>
      <c r="AS21" s="34">
        <v>1</v>
      </c>
      <c r="AT21" s="34">
        <v>1</v>
      </c>
      <c r="AU21" s="34">
        <v>1</v>
      </c>
      <c r="AV21" s="34">
        <v>3</v>
      </c>
      <c r="AW21" s="34">
        <v>3</v>
      </c>
      <c r="BB21" s="34" t="s">
        <v>80</v>
      </c>
      <c r="BD21" s="34" t="s">
        <v>80</v>
      </c>
      <c r="BG21" s="34" t="s">
        <v>80</v>
      </c>
      <c r="BI21" s="34" t="s">
        <v>80</v>
      </c>
      <c r="BJ21" s="34" t="s">
        <v>80</v>
      </c>
      <c r="BZ21" s="34" t="s">
        <v>80</v>
      </c>
      <c r="CE21" s="34" t="s">
        <v>80</v>
      </c>
      <c r="CH21" s="34" t="s">
        <v>80</v>
      </c>
      <c r="CI21" s="34" t="s">
        <v>80</v>
      </c>
      <c r="CJ21" s="34" t="s">
        <v>80</v>
      </c>
    </row>
    <row r="22" spans="1:92" s="27" customFormat="1" ht="12.95" customHeight="1" x14ac:dyDescent="0.2">
      <c r="A22" s="27">
        <v>21</v>
      </c>
      <c r="B22" s="27">
        <v>37</v>
      </c>
      <c r="C22" s="27" t="s">
        <v>83</v>
      </c>
      <c r="D22" s="27">
        <v>11</v>
      </c>
      <c r="E22" s="27" t="s">
        <v>79</v>
      </c>
      <c r="F22" s="27">
        <v>1701569037</v>
      </c>
      <c r="G22" s="27" t="s">
        <v>81</v>
      </c>
      <c r="H22" s="27" t="s">
        <v>84</v>
      </c>
      <c r="I22" s="27" t="s">
        <v>363</v>
      </c>
      <c r="K22" s="27" t="s">
        <v>84</v>
      </c>
      <c r="L22" s="27" t="s">
        <v>82</v>
      </c>
      <c r="M22" s="27" t="s">
        <v>86</v>
      </c>
      <c r="O22" s="27" t="s">
        <v>87</v>
      </c>
      <c r="P22" s="27">
        <v>40</v>
      </c>
      <c r="Q22" s="27" t="s">
        <v>372</v>
      </c>
      <c r="R22" s="27" t="s">
        <v>82</v>
      </c>
      <c r="T22" s="27" t="s">
        <v>82</v>
      </c>
      <c r="X22" s="27" t="s">
        <v>84</v>
      </c>
      <c r="Z22" s="27" t="s">
        <v>84</v>
      </c>
      <c r="AC22" s="27" t="s">
        <v>140</v>
      </c>
      <c r="AD22" s="27" t="s">
        <v>91</v>
      </c>
      <c r="AF22" s="27" t="s">
        <v>80</v>
      </c>
      <c r="AH22" s="27" t="s">
        <v>373</v>
      </c>
      <c r="AI22" s="27" t="s">
        <v>84</v>
      </c>
      <c r="AJ22" s="27" t="s">
        <v>80</v>
      </c>
      <c r="AK22" s="27" t="s">
        <v>100</v>
      </c>
      <c r="AL22" s="27" t="s">
        <v>93</v>
      </c>
      <c r="AM22" s="27" t="s">
        <v>82</v>
      </c>
      <c r="AN22" s="27" t="s">
        <v>84</v>
      </c>
      <c r="AO22" s="27" t="s">
        <v>84</v>
      </c>
      <c r="AP22" s="27" t="s">
        <v>84</v>
      </c>
      <c r="AQ22" s="27" t="s">
        <v>80</v>
      </c>
      <c r="AR22" s="27">
        <v>2</v>
      </c>
      <c r="AS22" s="27">
        <v>2</v>
      </c>
      <c r="AT22" s="27">
        <v>1</v>
      </c>
      <c r="AU22" s="27">
        <v>1</v>
      </c>
      <c r="AV22" s="27">
        <v>2</v>
      </c>
      <c r="AW22" s="27">
        <v>2</v>
      </c>
      <c r="AX22" s="27" t="s">
        <v>374</v>
      </c>
      <c r="AY22" s="27" t="s">
        <v>375</v>
      </c>
      <c r="AZ22" s="27" t="s">
        <v>376</v>
      </c>
      <c r="BA22" s="27" t="s">
        <v>97</v>
      </c>
      <c r="BB22" s="27" t="s">
        <v>82</v>
      </c>
      <c r="BD22" s="27" t="s">
        <v>82</v>
      </c>
      <c r="BG22" s="27" t="s">
        <v>82</v>
      </c>
      <c r="BI22" s="27" t="s">
        <v>84</v>
      </c>
      <c r="BJ22" s="27" t="s">
        <v>84</v>
      </c>
      <c r="BK22" s="27">
        <v>2</v>
      </c>
      <c r="BL22" s="27">
        <v>2</v>
      </c>
      <c r="BM22" s="27">
        <v>1</v>
      </c>
      <c r="BN22" s="27">
        <v>1</v>
      </c>
      <c r="BO22" s="27">
        <v>1</v>
      </c>
      <c r="BP22" s="27">
        <v>1</v>
      </c>
      <c r="BQ22" s="27">
        <v>2</v>
      </c>
      <c r="BR22" s="27">
        <v>2</v>
      </c>
      <c r="BS22" s="27">
        <v>1</v>
      </c>
      <c r="BT22" s="27">
        <v>1</v>
      </c>
      <c r="BU22" s="27">
        <v>1</v>
      </c>
      <c r="BV22" s="27">
        <v>1</v>
      </c>
      <c r="BW22" s="27" t="s">
        <v>99</v>
      </c>
      <c r="BX22" s="27" t="s">
        <v>82</v>
      </c>
      <c r="BZ22" s="27" t="s">
        <v>84</v>
      </c>
      <c r="CA22" s="27" t="s">
        <v>113</v>
      </c>
      <c r="CC22" s="27" t="s">
        <v>113</v>
      </c>
      <c r="CE22" s="27" t="s">
        <v>84</v>
      </c>
      <c r="CH22" s="27" t="s">
        <v>84</v>
      </c>
      <c r="CI22" s="27" t="s">
        <v>84</v>
      </c>
      <c r="CJ22" s="27" t="s">
        <v>84</v>
      </c>
    </row>
    <row r="23" spans="1:92" s="27" customFormat="1" ht="12.95" customHeight="1" x14ac:dyDescent="0.2">
      <c r="A23" s="27">
        <v>22</v>
      </c>
      <c r="B23" s="27">
        <v>38</v>
      </c>
      <c r="C23" s="27" t="s">
        <v>83</v>
      </c>
      <c r="D23" s="27">
        <v>11</v>
      </c>
      <c r="E23" s="27" t="s">
        <v>79</v>
      </c>
      <c r="F23" s="27">
        <v>501354842</v>
      </c>
      <c r="G23" s="27" t="s">
        <v>81</v>
      </c>
      <c r="H23" s="27" t="s">
        <v>84</v>
      </c>
      <c r="I23" s="27" t="s">
        <v>377</v>
      </c>
      <c r="K23" s="27" t="s">
        <v>84</v>
      </c>
      <c r="L23" s="27" t="s">
        <v>82</v>
      </c>
      <c r="M23" s="27" t="s">
        <v>86</v>
      </c>
      <c r="O23" s="27" t="s">
        <v>253</v>
      </c>
      <c r="P23" s="27">
        <v>15</v>
      </c>
      <c r="Q23" s="27" t="s">
        <v>378</v>
      </c>
      <c r="R23" s="27" t="s">
        <v>84</v>
      </c>
      <c r="S23" s="27" t="s">
        <v>379</v>
      </c>
      <c r="T23" s="27" t="s">
        <v>82</v>
      </c>
      <c r="X23" s="27" t="s">
        <v>84</v>
      </c>
      <c r="Z23" s="27" t="s">
        <v>82</v>
      </c>
      <c r="AC23" s="27" t="s">
        <v>140</v>
      </c>
      <c r="AD23" s="27" t="s">
        <v>91</v>
      </c>
      <c r="AF23" s="27" t="s">
        <v>80</v>
      </c>
      <c r="AH23" s="27" t="s">
        <v>380</v>
      </c>
      <c r="AI23" s="27" t="s">
        <v>84</v>
      </c>
      <c r="AJ23" s="27" t="s">
        <v>80</v>
      </c>
      <c r="AK23" s="27" t="s">
        <v>100</v>
      </c>
      <c r="AL23" s="27" t="s">
        <v>100</v>
      </c>
      <c r="AM23" s="27" t="s">
        <v>82</v>
      </c>
      <c r="AN23" s="27" t="s">
        <v>84</v>
      </c>
      <c r="AO23" s="27" t="s">
        <v>84</v>
      </c>
      <c r="AP23" s="27" t="s">
        <v>84</v>
      </c>
      <c r="AQ23" s="27" t="s">
        <v>80</v>
      </c>
      <c r="AR23" s="27">
        <v>5</v>
      </c>
      <c r="AS23" s="27">
        <v>5</v>
      </c>
      <c r="AT23" s="27">
        <v>2</v>
      </c>
      <c r="AU23" s="27">
        <v>1</v>
      </c>
      <c r="AV23" s="27">
        <v>5</v>
      </c>
      <c r="AW23" s="27">
        <v>5</v>
      </c>
      <c r="AX23" s="27" t="s">
        <v>381</v>
      </c>
      <c r="AY23" s="27" t="s">
        <v>382</v>
      </c>
      <c r="AZ23" s="27" t="s">
        <v>383</v>
      </c>
      <c r="BA23" s="27" t="s">
        <v>99</v>
      </c>
      <c r="BB23" s="27" t="s">
        <v>80</v>
      </c>
      <c r="BD23" s="27" t="s">
        <v>84</v>
      </c>
      <c r="BG23" s="27" t="s">
        <v>82</v>
      </c>
      <c r="BI23" s="27" t="s">
        <v>84</v>
      </c>
      <c r="BJ23" s="27" t="s">
        <v>84</v>
      </c>
      <c r="BK23" s="27">
        <v>5</v>
      </c>
      <c r="BL23" s="27">
        <v>5</v>
      </c>
      <c r="BM23" s="27">
        <v>1</v>
      </c>
      <c r="BN23" s="27">
        <v>1</v>
      </c>
      <c r="BO23" s="27">
        <v>3</v>
      </c>
      <c r="BP23" s="27">
        <v>2</v>
      </c>
      <c r="BQ23" s="27">
        <v>1</v>
      </c>
      <c r="BR23" s="27">
        <v>1</v>
      </c>
      <c r="BS23" s="27">
        <v>2</v>
      </c>
      <c r="BT23" s="27">
        <v>2</v>
      </c>
      <c r="BU23" s="27">
        <v>2</v>
      </c>
      <c r="BV23" s="27">
        <v>2</v>
      </c>
      <c r="BW23" s="27" t="s">
        <v>99</v>
      </c>
      <c r="BX23" s="27" t="s">
        <v>84</v>
      </c>
      <c r="BZ23" s="27" t="s">
        <v>84</v>
      </c>
      <c r="CA23" s="27" t="s">
        <v>113</v>
      </c>
      <c r="CC23" s="27" t="s">
        <v>113</v>
      </c>
      <c r="CE23" s="27" t="s">
        <v>84</v>
      </c>
      <c r="CH23" s="27" t="s">
        <v>84</v>
      </c>
      <c r="CI23" s="27" t="s">
        <v>84</v>
      </c>
      <c r="CJ23" s="27" t="s">
        <v>84</v>
      </c>
      <c r="CK23" s="27" t="s">
        <v>384</v>
      </c>
    </row>
    <row r="24" spans="1:92" s="27" customFormat="1" ht="12.95" customHeight="1" x14ac:dyDescent="0.2">
      <c r="A24" s="27">
        <v>23</v>
      </c>
      <c r="B24" s="27">
        <v>39</v>
      </c>
      <c r="C24" s="27" t="s">
        <v>83</v>
      </c>
      <c r="D24" s="27">
        <v>11</v>
      </c>
      <c r="E24" s="27" t="s">
        <v>79</v>
      </c>
      <c r="F24" s="27">
        <v>1205745225</v>
      </c>
      <c r="G24" s="27" t="s">
        <v>81</v>
      </c>
      <c r="H24" s="27" t="s">
        <v>84</v>
      </c>
      <c r="I24" s="27" t="s">
        <v>324</v>
      </c>
      <c r="K24" s="27" t="s">
        <v>84</v>
      </c>
      <c r="L24" s="27" t="s">
        <v>84</v>
      </c>
      <c r="M24" s="27" t="s">
        <v>108</v>
      </c>
      <c r="O24" s="27" t="s">
        <v>87</v>
      </c>
      <c r="P24" s="27">
        <v>5</v>
      </c>
      <c r="Q24" s="27" t="s">
        <v>385</v>
      </c>
      <c r="R24" s="27" t="s">
        <v>84</v>
      </c>
      <c r="S24" s="27" t="s">
        <v>386</v>
      </c>
      <c r="T24" s="27" t="s">
        <v>82</v>
      </c>
      <c r="X24" s="27" t="s">
        <v>84</v>
      </c>
      <c r="Y24" s="27" t="s">
        <v>387</v>
      </c>
      <c r="Z24" s="27" t="s">
        <v>84</v>
      </c>
      <c r="AA24" s="27" t="s">
        <v>388</v>
      </c>
      <c r="AB24" s="27" t="s">
        <v>389</v>
      </c>
      <c r="AC24" s="27" t="s">
        <v>126</v>
      </c>
      <c r="AD24" s="27" t="s">
        <v>111</v>
      </c>
      <c r="AF24" s="27" t="s">
        <v>80</v>
      </c>
      <c r="AG24" s="27" t="s">
        <v>390</v>
      </c>
      <c r="AI24" s="27" t="s">
        <v>84</v>
      </c>
      <c r="AJ24" s="27" t="s">
        <v>80</v>
      </c>
      <c r="AK24" s="27" t="s">
        <v>112</v>
      </c>
      <c r="AL24" s="27" t="s">
        <v>100</v>
      </c>
      <c r="AM24" s="27" t="s">
        <v>84</v>
      </c>
      <c r="AN24" s="27" t="s">
        <v>82</v>
      </c>
      <c r="AO24" s="27" t="s">
        <v>82</v>
      </c>
      <c r="AP24" s="27" t="s">
        <v>84</v>
      </c>
      <c r="AQ24" s="27" t="s">
        <v>80</v>
      </c>
      <c r="AR24" s="27">
        <v>1</v>
      </c>
      <c r="AS24" s="27">
        <v>1</v>
      </c>
      <c r="AT24" s="27">
        <v>1</v>
      </c>
      <c r="AU24" s="27">
        <v>1</v>
      </c>
      <c r="AV24" s="27">
        <v>1</v>
      </c>
      <c r="AW24" s="27">
        <v>1</v>
      </c>
      <c r="AX24" s="27" t="s">
        <v>391</v>
      </c>
      <c r="AY24" s="27" t="s">
        <v>392</v>
      </c>
      <c r="AZ24" s="27" t="s">
        <v>393</v>
      </c>
      <c r="BA24" s="27" t="s">
        <v>97</v>
      </c>
      <c r="BB24" s="27" t="s">
        <v>82</v>
      </c>
      <c r="BC24" s="27" t="s">
        <v>394</v>
      </c>
      <c r="BD24" s="27" t="s">
        <v>82</v>
      </c>
      <c r="BF24" s="27" t="s">
        <v>395</v>
      </c>
      <c r="BG24" s="27" t="s">
        <v>82</v>
      </c>
      <c r="BI24" s="27" t="s">
        <v>84</v>
      </c>
      <c r="BJ24" s="27" t="s">
        <v>82</v>
      </c>
      <c r="BK24" s="27">
        <v>2</v>
      </c>
      <c r="BL24" s="27">
        <v>2</v>
      </c>
      <c r="BM24" s="27">
        <v>5</v>
      </c>
      <c r="BN24" s="27">
        <v>4</v>
      </c>
      <c r="BO24" s="27">
        <v>3</v>
      </c>
      <c r="BP24" s="27">
        <v>3</v>
      </c>
      <c r="BQ24" s="27">
        <v>3</v>
      </c>
      <c r="BR24" s="27">
        <v>3</v>
      </c>
      <c r="BS24" s="27">
        <v>1</v>
      </c>
      <c r="BT24" s="27">
        <v>1</v>
      </c>
      <c r="BU24" s="27">
        <v>2</v>
      </c>
      <c r="BV24" s="27">
        <v>2</v>
      </c>
      <c r="BW24" s="27" t="s">
        <v>118</v>
      </c>
      <c r="BX24" s="27" t="s">
        <v>106</v>
      </c>
      <c r="BZ24" s="27" t="s">
        <v>84</v>
      </c>
      <c r="CA24" s="27" t="s">
        <v>100</v>
      </c>
      <c r="CB24" s="27" t="s">
        <v>396</v>
      </c>
      <c r="CC24" s="27" t="s">
        <v>100</v>
      </c>
      <c r="CD24" s="27" t="s">
        <v>397</v>
      </c>
      <c r="CE24" s="27" t="s">
        <v>82</v>
      </c>
      <c r="CG24" s="27" t="s">
        <v>398</v>
      </c>
      <c r="CH24" s="27" t="s">
        <v>84</v>
      </c>
      <c r="CI24" s="27" t="s">
        <v>82</v>
      </c>
      <c r="CJ24" s="27" t="s">
        <v>82</v>
      </c>
      <c r="CL24" s="27" t="s">
        <v>399</v>
      </c>
      <c r="CM24" s="27" t="s">
        <v>400</v>
      </c>
      <c r="CN24" s="27" t="s">
        <v>401</v>
      </c>
    </row>
    <row r="25" spans="1:92" s="27" customFormat="1" ht="12.95" customHeight="1" x14ac:dyDescent="0.2">
      <c r="A25" s="27">
        <v>24</v>
      </c>
      <c r="B25" s="27">
        <v>40</v>
      </c>
      <c r="C25" s="27" t="s">
        <v>83</v>
      </c>
      <c r="D25" s="27">
        <v>11</v>
      </c>
      <c r="E25" s="27" t="s">
        <v>79</v>
      </c>
      <c r="F25" s="27">
        <v>759556042</v>
      </c>
      <c r="G25" s="27" t="s">
        <v>81</v>
      </c>
      <c r="H25" s="27" t="s">
        <v>84</v>
      </c>
      <c r="I25" s="27" t="s">
        <v>119</v>
      </c>
      <c r="J25" s="27" t="s">
        <v>402</v>
      </c>
      <c r="K25" s="27" t="s">
        <v>82</v>
      </c>
      <c r="L25" s="27" t="s">
        <v>84</v>
      </c>
      <c r="M25" s="27" t="s">
        <v>108</v>
      </c>
      <c r="O25" s="27" t="s">
        <v>87</v>
      </c>
      <c r="P25" s="27">
        <v>3</v>
      </c>
      <c r="Q25" s="27" t="s">
        <v>403</v>
      </c>
      <c r="R25" s="27" t="s">
        <v>82</v>
      </c>
      <c r="T25" s="27" t="s">
        <v>82</v>
      </c>
      <c r="X25" s="27" t="s">
        <v>82</v>
      </c>
      <c r="Z25" s="27" t="s">
        <v>84</v>
      </c>
      <c r="AB25" s="27" t="s">
        <v>404</v>
      </c>
      <c r="AC25" s="27" t="s">
        <v>126</v>
      </c>
      <c r="AD25" s="27" t="s">
        <v>111</v>
      </c>
      <c r="AF25" s="27" t="s">
        <v>80</v>
      </c>
      <c r="AG25" s="27" t="s">
        <v>405</v>
      </c>
      <c r="AI25" s="27" t="s">
        <v>84</v>
      </c>
      <c r="AJ25" s="27" t="s">
        <v>80</v>
      </c>
      <c r="AK25" s="27" t="s">
        <v>113</v>
      </c>
      <c r="AL25" s="27" t="s">
        <v>113</v>
      </c>
      <c r="AM25" s="27" t="s">
        <v>84</v>
      </c>
      <c r="AN25" s="27" t="s">
        <v>84</v>
      </c>
      <c r="AO25" s="27" t="s">
        <v>84</v>
      </c>
      <c r="AP25" s="27" t="s">
        <v>84</v>
      </c>
      <c r="AQ25" s="27" t="s">
        <v>80</v>
      </c>
      <c r="AR25" s="27">
        <v>5</v>
      </c>
      <c r="AS25" s="27">
        <v>1</v>
      </c>
      <c r="AT25" s="27">
        <v>4</v>
      </c>
      <c r="AU25" s="27">
        <v>1</v>
      </c>
      <c r="AV25" s="27">
        <v>3</v>
      </c>
      <c r="AW25" s="27">
        <v>3</v>
      </c>
      <c r="AX25" s="27" t="s">
        <v>406</v>
      </c>
      <c r="AY25" s="27" t="s">
        <v>407</v>
      </c>
      <c r="AZ25" s="27" t="s">
        <v>408</v>
      </c>
      <c r="BA25" s="27" t="s">
        <v>99</v>
      </c>
      <c r="BB25" s="27" t="s">
        <v>80</v>
      </c>
      <c r="BC25" s="27" t="s">
        <v>409</v>
      </c>
      <c r="BD25" s="27" t="s">
        <v>82</v>
      </c>
      <c r="BF25" s="27" t="s">
        <v>410</v>
      </c>
      <c r="BG25" s="27" t="s">
        <v>82</v>
      </c>
      <c r="BI25" s="27" t="s">
        <v>82</v>
      </c>
      <c r="BJ25" s="27" t="s">
        <v>84</v>
      </c>
      <c r="BK25" s="27">
        <v>2</v>
      </c>
      <c r="BL25" s="27">
        <v>2</v>
      </c>
      <c r="BM25" s="27">
        <v>1</v>
      </c>
      <c r="BN25" s="27">
        <v>1</v>
      </c>
      <c r="BO25" s="27">
        <v>3</v>
      </c>
      <c r="BP25" s="27">
        <v>3</v>
      </c>
      <c r="BQ25" s="27">
        <v>3</v>
      </c>
      <c r="BR25" s="27">
        <v>2</v>
      </c>
      <c r="BS25" s="27">
        <v>4</v>
      </c>
      <c r="BT25" s="27">
        <v>4</v>
      </c>
      <c r="BU25" s="27">
        <v>2</v>
      </c>
      <c r="BV25" s="27">
        <v>2</v>
      </c>
      <c r="BW25" s="27" t="s">
        <v>118</v>
      </c>
      <c r="BX25" s="27" t="s">
        <v>82</v>
      </c>
      <c r="BY25" s="27" t="s">
        <v>411</v>
      </c>
      <c r="BZ25" s="27" t="s">
        <v>84</v>
      </c>
      <c r="CA25" s="27" t="s">
        <v>93</v>
      </c>
      <c r="CB25" s="27" t="s">
        <v>412</v>
      </c>
      <c r="CC25" s="27" t="s">
        <v>93</v>
      </c>
      <c r="CE25" s="27" t="s">
        <v>82</v>
      </c>
      <c r="CH25" s="27" t="s">
        <v>82</v>
      </c>
      <c r="CI25" s="27" t="s">
        <v>82</v>
      </c>
      <c r="CJ25" s="27" t="s">
        <v>84</v>
      </c>
      <c r="CK25" s="27" t="s">
        <v>413</v>
      </c>
      <c r="CL25" s="27" t="s">
        <v>414</v>
      </c>
      <c r="CM25" s="27" t="s">
        <v>415</v>
      </c>
      <c r="CN25" s="27" t="s">
        <v>416</v>
      </c>
    </row>
    <row r="26" spans="1:92" s="27" customFormat="1" ht="12.95" customHeight="1" x14ac:dyDescent="0.2">
      <c r="A26" s="27">
        <v>25</v>
      </c>
      <c r="B26" s="27">
        <v>41</v>
      </c>
      <c r="C26" s="27" t="s">
        <v>83</v>
      </c>
      <c r="D26" s="27">
        <v>11</v>
      </c>
      <c r="E26" s="27" t="s">
        <v>79</v>
      </c>
      <c r="F26" s="27">
        <v>857430646</v>
      </c>
      <c r="G26" s="27" t="s">
        <v>81</v>
      </c>
      <c r="H26" s="27" t="s">
        <v>84</v>
      </c>
      <c r="I26" s="27" t="s">
        <v>324</v>
      </c>
      <c r="K26" s="27" t="s">
        <v>82</v>
      </c>
      <c r="L26" s="27" t="s">
        <v>84</v>
      </c>
      <c r="M26" s="27" t="s">
        <v>106</v>
      </c>
      <c r="O26" s="27" t="s">
        <v>87</v>
      </c>
      <c r="P26" s="27">
        <v>100</v>
      </c>
      <c r="Q26" s="27" t="s">
        <v>417</v>
      </c>
      <c r="R26" s="27" t="s">
        <v>84</v>
      </c>
      <c r="S26" s="27" t="s">
        <v>418</v>
      </c>
      <c r="T26" s="27" t="s">
        <v>84</v>
      </c>
      <c r="U26" s="27" t="s">
        <v>119</v>
      </c>
      <c r="V26" s="27" t="s">
        <v>419</v>
      </c>
      <c r="X26" s="27" t="s">
        <v>80</v>
      </c>
      <c r="Z26" s="27" t="s">
        <v>84</v>
      </c>
      <c r="AA26" s="27" t="s">
        <v>420</v>
      </c>
      <c r="AC26" s="27" t="s">
        <v>140</v>
      </c>
      <c r="AD26" s="27" t="s">
        <v>111</v>
      </c>
      <c r="AF26" s="27" t="s">
        <v>80</v>
      </c>
      <c r="AG26" s="27" t="s">
        <v>421</v>
      </c>
      <c r="AI26" s="27" t="s">
        <v>84</v>
      </c>
      <c r="AJ26" s="27" t="s">
        <v>80</v>
      </c>
      <c r="AK26" s="27" t="s">
        <v>100</v>
      </c>
      <c r="AL26" s="27" t="s">
        <v>100</v>
      </c>
      <c r="AM26" s="27" t="s">
        <v>84</v>
      </c>
      <c r="AN26" s="27" t="s">
        <v>145</v>
      </c>
      <c r="AO26" s="27" t="s">
        <v>84</v>
      </c>
      <c r="AP26" s="27" t="s">
        <v>84</v>
      </c>
      <c r="AQ26" s="27" t="s">
        <v>80</v>
      </c>
      <c r="AR26" s="27">
        <v>3</v>
      </c>
      <c r="AS26" s="27">
        <v>1</v>
      </c>
      <c r="AT26" s="27">
        <v>3</v>
      </c>
      <c r="AU26" s="27">
        <v>1</v>
      </c>
      <c r="AV26" s="27">
        <v>3</v>
      </c>
      <c r="AW26" s="27">
        <v>1</v>
      </c>
      <c r="AX26" s="27" t="s">
        <v>422</v>
      </c>
      <c r="AY26" s="27" t="s">
        <v>423</v>
      </c>
      <c r="AZ26" s="27" t="s">
        <v>424</v>
      </c>
      <c r="BA26" s="27" t="s">
        <v>97</v>
      </c>
      <c r="BB26" s="27" t="s">
        <v>82</v>
      </c>
      <c r="BC26" s="27" t="s">
        <v>425</v>
      </c>
      <c r="BD26" s="27" t="s">
        <v>82</v>
      </c>
      <c r="BG26" s="27" t="s">
        <v>82</v>
      </c>
      <c r="BI26" s="27" t="s">
        <v>84</v>
      </c>
      <c r="BJ26" s="27" t="s">
        <v>84</v>
      </c>
      <c r="BK26" s="27">
        <v>5</v>
      </c>
      <c r="BL26" s="27">
        <v>3</v>
      </c>
      <c r="BM26" s="27">
        <v>2</v>
      </c>
      <c r="BN26" s="27">
        <v>3</v>
      </c>
      <c r="BO26" s="27">
        <v>2</v>
      </c>
      <c r="BP26" s="27">
        <v>3</v>
      </c>
      <c r="BQ26" s="27">
        <v>2</v>
      </c>
      <c r="BR26" s="27">
        <v>3</v>
      </c>
      <c r="BS26" s="27">
        <v>2</v>
      </c>
      <c r="BT26" s="27">
        <v>3</v>
      </c>
      <c r="BU26" s="27">
        <v>2</v>
      </c>
      <c r="BV26" s="27">
        <v>3</v>
      </c>
      <c r="BW26" s="27" t="s">
        <v>99</v>
      </c>
      <c r="BX26" s="27" t="s">
        <v>106</v>
      </c>
      <c r="BZ26" s="27" t="s">
        <v>82</v>
      </c>
      <c r="CA26" s="27" t="s">
        <v>100</v>
      </c>
      <c r="CB26" s="27" t="s">
        <v>426</v>
      </c>
      <c r="CC26" s="27" t="s">
        <v>113</v>
      </c>
      <c r="CD26" s="27" t="s">
        <v>427</v>
      </c>
      <c r="CE26" s="27" t="s">
        <v>82</v>
      </c>
      <c r="CH26" s="27" t="s">
        <v>82</v>
      </c>
      <c r="CI26" s="27" t="s">
        <v>84</v>
      </c>
      <c r="CJ26" s="27" t="s">
        <v>82</v>
      </c>
    </row>
    <row r="27" spans="1:92" s="27" customFormat="1" ht="12.95" customHeight="1" x14ac:dyDescent="0.2">
      <c r="A27" s="27">
        <v>26</v>
      </c>
      <c r="B27" s="27">
        <v>42</v>
      </c>
      <c r="C27" s="27" t="s">
        <v>83</v>
      </c>
      <c r="D27" s="27">
        <v>11</v>
      </c>
      <c r="E27" s="27" t="s">
        <v>79</v>
      </c>
      <c r="F27" s="27">
        <v>413720981</v>
      </c>
      <c r="G27" s="27" t="s">
        <v>81</v>
      </c>
      <c r="H27" s="27" t="s">
        <v>84</v>
      </c>
      <c r="I27" s="27" t="s">
        <v>161</v>
      </c>
      <c r="K27" s="27" t="s">
        <v>84</v>
      </c>
      <c r="L27" s="27" t="s">
        <v>82</v>
      </c>
      <c r="M27" s="27" t="s">
        <v>108</v>
      </c>
      <c r="O27" s="27" t="s">
        <v>87</v>
      </c>
      <c r="P27" s="27">
        <v>30</v>
      </c>
      <c r="Q27" s="27" t="s">
        <v>428</v>
      </c>
      <c r="R27" s="27" t="s">
        <v>84</v>
      </c>
      <c r="S27" s="27" t="s">
        <v>429</v>
      </c>
      <c r="T27" s="27" t="s">
        <v>84</v>
      </c>
      <c r="U27" s="27" t="s">
        <v>119</v>
      </c>
      <c r="V27" s="27" t="s">
        <v>430</v>
      </c>
      <c r="W27" s="27" t="s">
        <v>431</v>
      </c>
      <c r="X27" s="27" t="s">
        <v>80</v>
      </c>
      <c r="Z27" s="27" t="s">
        <v>84</v>
      </c>
      <c r="AB27" s="27" t="s">
        <v>432</v>
      </c>
      <c r="AC27" s="27" t="s">
        <v>126</v>
      </c>
      <c r="AD27" s="27" t="s">
        <v>91</v>
      </c>
      <c r="AF27" s="27" t="s">
        <v>80</v>
      </c>
      <c r="AH27" s="27" t="s">
        <v>433</v>
      </c>
      <c r="AI27" s="27" t="s">
        <v>84</v>
      </c>
      <c r="AJ27" s="27" t="s">
        <v>80</v>
      </c>
      <c r="AK27" s="27" t="s">
        <v>93</v>
      </c>
      <c r="AL27" s="27" t="s">
        <v>113</v>
      </c>
      <c r="AM27" s="27" t="s">
        <v>84</v>
      </c>
      <c r="AN27" s="27" t="s">
        <v>84</v>
      </c>
      <c r="AO27" s="27" t="s">
        <v>84</v>
      </c>
      <c r="AP27" s="27" t="s">
        <v>84</v>
      </c>
      <c r="AQ27" s="27" t="s">
        <v>80</v>
      </c>
      <c r="AR27" s="27">
        <v>4</v>
      </c>
      <c r="AS27" s="27">
        <v>3</v>
      </c>
      <c r="AT27" s="27">
        <v>1</v>
      </c>
      <c r="AU27" s="27">
        <v>1</v>
      </c>
      <c r="AV27" s="27">
        <v>3</v>
      </c>
      <c r="AW27" s="27">
        <v>3</v>
      </c>
      <c r="AX27" s="27" t="s">
        <v>434</v>
      </c>
      <c r="AY27" s="27" t="s">
        <v>434</v>
      </c>
      <c r="AZ27" s="27" t="s">
        <v>435</v>
      </c>
      <c r="BA27" s="27" t="s">
        <v>99</v>
      </c>
      <c r="BB27" s="27" t="s">
        <v>80</v>
      </c>
      <c r="BC27" s="27" t="s">
        <v>436</v>
      </c>
      <c r="BD27" s="27" t="s">
        <v>82</v>
      </c>
      <c r="BF27" s="27" t="s">
        <v>437</v>
      </c>
      <c r="BG27" s="27" t="s">
        <v>84</v>
      </c>
      <c r="BH27" s="27" t="s">
        <v>438</v>
      </c>
      <c r="BI27" s="27" t="s">
        <v>84</v>
      </c>
      <c r="BJ27" s="27" t="s">
        <v>84</v>
      </c>
      <c r="BK27" s="27">
        <v>4</v>
      </c>
      <c r="BL27" s="27">
        <v>1</v>
      </c>
      <c r="BM27" s="27">
        <v>1</v>
      </c>
      <c r="BN27" s="27">
        <v>3</v>
      </c>
      <c r="BO27" s="27">
        <v>3</v>
      </c>
      <c r="BP27" s="27">
        <v>1</v>
      </c>
      <c r="BQ27" s="27">
        <v>3</v>
      </c>
      <c r="BR27" s="27">
        <v>2</v>
      </c>
      <c r="BS27" s="27">
        <v>2</v>
      </c>
      <c r="BT27" s="27">
        <v>2</v>
      </c>
      <c r="BU27" s="27">
        <v>2</v>
      </c>
      <c r="BV27" s="27">
        <v>1</v>
      </c>
      <c r="BW27" s="27" t="s">
        <v>118</v>
      </c>
      <c r="BX27" s="27" t="s">
        <v>84</v>
      </c>
      <c r="BZ27" s="27" t="s">
        <v>84</v>
      </c>
      <c r="CA27" s="27" t="s">
        <v>100</v>
      </c>
      <c r="CB27" s="27" t="s">
        <v>439</v>
      </c>
      <c r="CC27" s="27" t="s">
        <v>113</v>
      </c>
      <c r="CE27" s="27" t="s">
        <v>82</v>
      </c>
      <c r="CG27" s="27" t="s">
        <v>440</v>
      </c>
      <c r="CH27" s="27" t="s">
        <v>82</v>
      </c>
      <c r="CI27" s="27" t="s">
        <v>82</v>
      </c>
      <c r="CJ27" s="27" t="s">
        <v>84</v>
      </c>
      <c r="CK27" s="27" t="s">
        <v>441</v>
      </c>
      <c r="CM27" s="27" t="s">
        <v>442</v>
      </c>
    </row>
    <row r="28" spans="1:92" s="27" customFormat="1" ht="12.95" customHeight="1" x14ac:dyDescent="0.2">
      <c r="A28" s="27">
        <v>27</v>
      </c>
      <c r="B28" s="27">
        <v>43</v>
      </c>
      <c r="C28" s="27" t="s">
        <v>83</v>
      </c>
      <c r="D28" s="27">
        <v>11</v>
      </c>
      <c r="E28" s="27" t="s">
        <v>79</v>
      </c>
      <c r="F28" s="27">
        <v>1055071720</v>
      </c>
      <c r="G28" s="27" t="s">
        <v>81</v>
      </c>
      <c r="H28" s="27" t="s">
        <v>84</v>
      </c>
      <c r="I28" s="27" t="s">
        <v>443</v>
      </c>
      <c r="K28" s="27" t="s">
        <v>82</v>
      </c>
      <c r="L28" s="27" t="s">
        <v>84</v>
      </c>
      <c r="M28" s="27" t="s">
        <v>108</v>
      </c>
      <c r="O28" s="27" t="s">
        <v>87</v>
      </c>
      <c r="P28" s="27" t="s">
        <v>444</v>
      </c>
      <c r="Q28" s="27" t="s">
        <v>445</v>
      </c>
      <c r="R28" s="27" t="s">
        <v>84</v>
      </c>
      <c r="S28" s="27" t="s">
        <v>446</v>
      </c>
      <c r="T28" s="27" t="s">
        <v>82</v>
      </c>
      <c r="X28" s="27" t="s">
        <v>82</v>
      </c>
      <c r="Y28" s="27" t="s">
        <v>447</v>
      </c>
      <c r="Z28" s="27" t="s">
        <v>84</v>
      </c>
      <c r="AB28" s="27" t="s">
        <v>448</v>
      </c>
      <c r="AC28" s="27" t="s">
        <v>126</v>
      </c>
      <c r="AD28" s="27" t="s">
        <v>111</v>
      </c>
      <c r="AF28" s="27" t="s">
        <v>80</v>
      </c>
      <c r="AG28" s="27" t="s">
        <v>449</v>
      </c>
      <c r="AI28" s="27" t="s">
        <v>84</v>
      </c>
      <c r="AJ28" s="27" t="s">
        <v>80</v>
      </c>
      <c r="AK28" s="27" t="s">
        <v>100</v>
      </c>
      <c r="AL28" s="27" t="s">
        <v>113</v>
      </c>
      <c r="AM28" s="27" t="s">
        <v>84</v>
      </c>
      <c r="AN28" s="27" t="s">
        <v>84</v>
      </c>
      <c r="AO28" s="27" t="s">
        <v>84</v>
      </c>
      <c r="AP28" s="27" t="s">
        <v>84</v>
      </c>
      <c r="AQ28" s="27" t="s">
        <v>80</v>
      </c>
      <c r="AR28" s="27">
        <v>1</v>
      </c>
      <c r="AS28" s="27">
        <v>2</v>
      </c>
      <c r="AT28" s="27">
        <v>3</v>
      </c>
      <c r="AU28" s="27">
        <v>2</v>
      </c>
      <c r="AV28" s="27">
        <v>3</v>
      </c>
      <c r="AW28" s="27">
        <v>4</v>
      </c>
      <c r="AX28" s="27" t="s">
        <v>450</v>
      </c>
      <c r="AY28" s="27" t="s">
        <v>451</v>
      </c>
      <c r="AZ28" s="27" t="s">
        <v>452</v>
      </c>
      <c r="BA28" s="27" t="s">
        <v>99</v>
      </c>
      <c r="BB28" s="27" t="s">
        <v>80</v>
      </c>
      <c r="BC28" s="27" t="s">
        <v>453</v>
      </c>
      <c r="BD28" s="27" t="s">
        <v>82</v>
      </c>
      <c r="BF28" s="27" t="s">
        <v>454</v>
      </c>
      <c r="BG28" s="27" t="s">
        <v>82</v>
      </c>
      <c r="BI28" s="27" t="s">
        <v>84</v>
      </c>
      <c r="BJ28" s="27" t="s">
        <v>82</v>
      </c>
      <c r="BK28" s="27">
        <v>5</v>
      </c>
      <c r="BL28" s="27">
        <v>5</v>
      </c>
      <c r="BM28" s="27">
        <v>2</v>
      </c>
      <c r="BN28" s="27">
        <v>3</v>
      </c>
      <c r="BO28" s="27">
        <v>5</v>
      </c>
      <c r="BP28" s="27">
        <v>3</v>
      </c>
      <c r="BQ28" s="27">
        <v>2</v>
      </c>
      <c r="BR28" s="27">
        <v>2</v>
      </c>
      <c r="BS28" s="27">
        <v>4</v>
      </c>
      <c r="BT28" s="27">
        <v>4</v>
      </c>
      <c r="BU28" s="27">
        <v>4</v>
      </c>
      <c r="BV28" s="27">
        <v>4</v>
      </c>
      <c r="BW28" s="27" t="s">
        <v>97</v>
      </c>
      <c r="BX28" s="27" t="s">
        <v>106</v>
      </c>
      <c r="BZ28" s="27" t="s">
        <v>84</v>
      </c>
      <c r="CA28" s="27" t="s">
        <v>113</v>
      </c>
      <c r="CB28" s="27" t="s">
        <v>455</v>
      </c>
      <c r="CC28" s="27" t="s">
        <v>113</v>
      </c>
      <c r="CD28" s="27" t="s">
        <v>456</v>
      </c>
      <c r="CE28" s="27" t="s">
        <v>82</v>
      </c>
      <c r="CG28" s="27" t="s">
        <v>457</v>
      </c>
      <c r="CH28" s="27" t="s">
        <v>84</v>
      </c>
      <c r="CI28" s="27" t="s">
        <v>84</v>
      </c>
      <c r="CJ28" s="27" t="s">
        <v>82</v>
      </c>
      <c r="CL28" s="27" t="s">
        <v>458</v>
      </c>
      <c r="CM28" s="27" t="s">
        <v>459</v>
      </c>
      <c r="CN28" s="27" t="s">
        <v>460</v>
      </c>
    </row>
    <row r="29" spans="1:92" s="27" customFormat="1" ht="12.95" customHeight="1" x14ac:dyDescent="0.2">
      <c r="A29" s="27">
        <v>28</v>
      </c>
      <c r="B29" s="27">
        <v>44</v>
      </c>
      <c r="C29" s="27" t="s">
        <v>83</v>
      </c>
      <c r="D29" s="27">
        <v>11</v>
      </c>
      <c r="E29" s="27" t="s">
        <v>79</v>
      </c>
      <c r="F29" s="27">
        <v>1943721209</v>
      </c>
      <c r="G29" s="27" t="s">
        <v>81</v>
      </c>
      <c r="H29" s="27" t="s">
        <v>84</v>
      </c>
      <c r="I29" s="27" t="s">
        <v>443</v>
      </c>
      <c r="K29" s="27" t="s">
        <v>84</v>
      </c>
      <c r="L29" s="27" t="s">
        <v>82</v>
      </c>
      <c r="M29" s="27" t="s">
        <v>86</v>
      </c>
      <c r="O29" s="27" t="s">
        <v>253</v>
      </c>
      <c r="P29" s="27">
        <v>12</v>
      </c>
      <c r="Q29" s="27" t="s">
        <v>461</v>
      </c>
      <c r="R29" s="27" t="s">
        <v>82</v>
      </c>
      <c r="T29" s="27" t="s">
        <v>84</v>
      </c>
      <c r="U29" s="27" t="s">
        <v>119</v>
      </c>
      <c r="V29" s="27" t="s">
        <v>462</v>
      </c>
      <c r="W29" s="27" t="s">
        <v>463</v>
      </c>
      <c r="X29" s="27" t="s">
        <v>80</v>
      </c>
      <c r="Z29" s="27" t="s">
        <v>82</v>
      </c>
      <c r="AC29" s="27" t="s">
        <v>296</v>
      </c>
      <c r="AD29" s="27" t="s">
        <v>111</v>
      </c>
      <c r="AF29" s="27" t="s">
        <v>80</v>
      </c>
      <c r="AG29" s="27" t="s">
        <v>464</v>
      </c>
      <c r="AI29" s="27" t="s">
        <v>84</v>
      </c>
      <c r="AJ29" s="27" t="s">
        <v>80</v>
      </c>
      <c r="AK29" s="27" t="s">
        <v>113</v>
      </c>
      <c r="AL29" s="27" t="s">
        <v>113</v>
      </c>
      <c r="AM29" s="27" t="s">
        <v>82</v>
      </c>
      <c r="AN29" s="27" t="s">
        <v>84</v>
      </c>
      <c r="AO29" s="27" t="s">
        <v>84</v>
      </c>
      <c r="AP29" s="27" t="s">
        <v>84</v>
      </c>
      <c r="AQ29" s="27" t="s">
        <v>80</v>
      </c>
      <c r="AR29" s="27">
        <v>5</v>
      </c>
      <c r="AS29" s="27">
        <v>5</v>
      </c>
      <c r="AT29" s="27">
        <v>3</v>
      </c>
      <c r="AU29" s="27">
        <v>1</v>
      </c>
      <c r="AV29" s="27">
        <v>3</v>
      </c>
      <c r="AW29" s="27">
        <v>3</v>
      </c>
      <c r="AX29" s="27" t="s">
        <v>465</v>
      </c>
      <c r="AY29" s="27" t="s">
        <v>466</v>
      </c>
      <c r="AZ29" s="27" t="s">
        <v>467</v>
      </c>
      <c r="BA29" s="27" t="s">
        <v>99</v>
      </c>
      <c r="BB29" s="27" t="s">
        <v>80</v>
      </c>
      <c r="BC29" s="27" t="s">
        <v>468</v>
      </c>
      <c r="BD29" s="27" t="s">
        <v>82</v>
      </c>
      <c r="BF29" s="27" t="s">
        <v>469</v>
      </c>
      <c r="BG29" s="27" t="s">
        <v>82</v>
      </c>
      <c r="BI29" s="27" t="s">
        <v>82</v>
      </c>
      <c r="BJ29" s="27" t="s">
        <v>82</v>
      </c>
      <c r="BK29" s="27">
        <v>4</v>
      </c>
      <c r="BL29" s="27">
        <v>1</v>
      </c>
      <c r="BM29" s="27">
        <v>2</v>
      </c>
      <c r="BN29" s="27">
        <v>1</v>
      </c>
      <c r="BO29" s="27">
        <v>5</v>
      </c>
      <c r="BP29" s="27">
        <v>3</v>
      </c>
      <c r="BQ29" s="27">
        <v>2</v>
      </c>
      <c r="BR29" s="27">
        <v>4</v>
      </c>
      <c r="BS29" s="27">
        <v>2</v>
      </c>
      <c r="BT29" s="27">
        <v>2</v>
      </c>
      <c r="BU29" s="27">
        <v>3</v>
      </c>
      <c r="BV29" s="27">
        <v>2</v>
      </c>
      <c r="BW29" s="27" t="s">
        <v>99</v>
      </c>
      <c r="BX29" s="27" t="s">
        <v>82</v>
      </c>
      <c r="BY29" s="27" t="s">
        <v>470</v>
      </c>
      <c r="BZ29" s="27" t="s">
        <v>84</v>
      </c>
      <c r="CA29" s="27" t="s">
        <v>113</v>
      </c>
      <c r="CB29" s="27" t="s">
        <v>471</v>
      </c>
      <c r="CC29" s="27" t="s">
        <v>113</v>
      </c>
      <c r="CE29" s="27" t="s">
        <v>82</v>
      </c>
      <c r="CG29" s="27" t="s">
        <v>472</v>
      </c>
      <c r="CH29" s="27" t="s">
        <v>82</v>
      </c>
      <c r="CI29" s="27" t="s">
        <v>82</v>
      </c>
      <c r="CJ29" s="27" t="s">
        <v>82</v>
      </c>
      <c r="CM29" s="27" t="s">
        <v>473</v>
      </c>
      <c r="CN29" s="27" t="s">
        <v>474</v>
      </c>
    </row>
    <row r="30" spans="1:92" s="27" customFormat="1" ht="12.95" customHeight="1" x14ac:dyDescent="0.2">
      <c r="A30" s="27">
        <v>29</v>
      </c>
      <c r="B30" s="27">
        <v>45</v>
      </c>
      <c r="C30" s="27" t="s">
        <v>83</v>
      </c>
      <c r="D30" s="27">
        <v>11</v>
      </c>
      <c r="E30" s="27" t="s">
        <v>79</v>
      </c>
      <c r="F30" s="27">
        <v>2049988380</v>
      </c>
      <c r="G30" s="27" t="s">
        <v>81</v>
      </c>
      <c r="H30" s="27" t="s">
        <v>84</v>
      </c>
      <c r="I30" s="27" t="s">
        <v>119</v>
      </c>
      <c r="J30" s="27" t="s">
        <v>475</v>
      </c>
      <c r="K30" s="27" t="s">
        <v>84</v>
      </c>
      <c r="L30" s="27" t="s">
        <v>84</v>
      </c>
      <c r="M30" s="27" t="s">
        <v>86</v>
      </c>
      <c r="O30" s="27" t="s">
        <v>195</v>
      </c>
      <c r="P30" s="27">
        <v>35</v>
      </c>
      <c r="Q30" s="27" t="s">
        <v>476</v>
      </c>
      <c r="R30" s="27" t="s">
        <v>84</v>
      </c>
      <c r="S30" s="27" t="s">
        <v>477</v>
      </c>
      <c r="T30" s="27" t="s">
        <v>84</v>
      </c>
      <c r="U30" s="27" t="s">
        <v>119</v>
      </c>
      <c r="V30" s="27" t="s">
        <v>478</v>
      </c>
      <c r="W30" s="27" t="s">
        <v>479</v>
      </c>
      <c r="X30" s="27" t="s">
        <v>80</v>
      </c>
      <c r="Z30" s="27" t="s">
        <v>84</v>
      </c>
      <c r="AA30" s="27" t="s">
        <v>480</v>
      </c>
      <c r="AB30" s="27" t="s">
        <v>481</v>
      </c>
      <c r="AC30" s="27" t="s">
        <v>140</v>
      </c>
      <c r="AD30" s="27" t="s">
        <v>91</v>
      </c>
      <c r="AF30" s="27" t="s">
        <v>80</v>
      </c>
      <c r="AH30" s="27" t="s">
        <v>482</v>
      </c>
      <c r="AI30" s="27" t="s">
        <v>84</v>
      </c>
      <c r="AJ30" s="27" t="s">
        <v>80</v>
      </c>
      <c r="AK30" s="27" t="s">
        <v>93</v>
      </c>
      <c r="AL30" s="27" t="s">
        <v>93</v>
      </c>
      <c r="AM30" s="27" t="s">
        <v>82</v>
      </c>
      <c r="AN30" s="27" t="s">
        <v>145</v>
      </c>
      <c r="AO30" s="27" t="s">
        <v>84</v>
      </c>
      <c r="AP30" s="27" t="s">
        <v>84</v>
      </c>
      <c r="AQ30" s="27" t="s">
        <v>80</v>
      </c>
      <c r="AR30" s="27">
        <v>4</v>
      </c>
      <c r="AS30" s="27">
        <v>4</v>
      </c>
      <c r="AT30" s="27">
        <v>1</v>
      </c>
      <c r="AU30" s="27">
        <v>1</v>
      </c>
      <c r="AV30" s="27">
        <v>5</v>
      </c>
      <c r="AW30" s="27">
        <v>5</v>
      </c>
      <c r="AX30" s="27" t="s">
        <v>483</v>
      </c>
      <c r="AY30" s="27" t="s">
        <v>484</v>
      </c>
      <c r="AZ30" s="27" t="s">
        <v>478</v>
      </c>
      <c r="BA30" s="27" t="s">
        <v>99</v>
      </c>
      <c r="BB30" s="27" t="s">
        <v>80</v>
      </c>
      <c r="BC30" s="27" t="s">
        <v>485</v>
      </c>
      <c r="BD30" s="27" t="s">
        <v>84</v>
      </c>
      <c r="BE30" s="27" t="s">
        <v>486</v>
      </c>
      <c r="BG30" s="27" t="s">
        <v>84</v>
      </c>
      <c r="BH30" s="27" t="s">
        <v>487</v>
      </c>
      <c r="BI30" s="27" t="s">
        <v>84</v>
      </c>
      <c r="BJ30" s="27" t="s">
        <v>84</v>
      </c>
      <c r="BK30" s="27">
        <v>4</v>
      </c>
      <c r="BL30" s="27">
        <v>4</v>
      </c>
      <c r="BM30" s="27">
        <v>1</v>
      </c>
      <c r="BN30" s="27">
        <v>2</v>
      </c>
      <c r="BO30" s="27">
        <v>3</v>
      </c>
      <c r="BP30" s="27">
        <v>3</v>
      </c>
      <c r="BQ30" s="27">
        <v>3</v>
      </c>
      <c r="BR30" s="27">
        <v>1</v>
      </c>
      <c r="BS30" s="27">
        <v>1</v>
      </c>
      <c r="BT30" s="27">
        <v>4</v>
      </c>
      <c r="BU30" s="27">
        <v>1</v>
      </c>
      <c r="BV30" s="27">
        <v>4</v>
      </c>
      <c r="BW30" s="27" t="s">
        <v>99</v>
      </c>
      <c r="BX30" s="27" t="s">
        <v>84</v>
      </c>
      <c r="BZ30" s="27" t="s">
        <v>84</v>
      </c>
      <c r="CA30" s="27" t="s">
        <v>113</v>
      </c>
      <c r="CB30" s="27" t="s">
        <v>488</v>
      </c>
      <c r="CC30" s="27" t="s">
        <v>113</v>
      </c>
      <c r="CD30" s="27" t="s">
        <v>489</v>
      </c>
      <c r="CE30" s="27" t="s">
        <v>82</v>
      </c>
      <c r="CG30" s="27" t="s">
        <v>147</v>
      </c>
      <c r="CH30" s="27" t="s">
        <v>84</v>
      </c>
      <c r="CI30" s="27" t="s">
        <v>84</v>
      </c>
      <c r="CJ30" s="27" t="s">
        <v>82</v>
      </c>
      <c r="CL30" s="27" t="s">
        <v>490</v>
      </c>
      <c r="CM30" s="27" t="s">
        <v>491</v>
      </c>
      <c r="CN30" s="27" t="s">
        <v>492</v>
      </c>
    </row>
    <row r="31" spans="1:92" s="27" customFormat="1" ht="12.95" customHeight="1" x14ac:dyDescent="0.2">
      <c r="A31" s="27">
        <v>30</v>
      </c>
      <c r="B31" s="27">
        <v>46</v>
      </c>
      <c r="C31" s="27" t="s">
        <v>83</v>
      </c>
      <c r="D31" s="27">
        <v>11</v>
      </c>
      <c r="E31" s="27" t="s">
        <v>79</v>
      </c>
      <c r="F31" s="27">
        <v>1025038653</v>
      </c>
      <c r="G31" s="27" t="s">
        <v>81</v>
      </c>
      <c r="H31" s="27" t="s">
        <v>84</v>
      </c>
      <c r="I31" s="27" t="s">
        <v>443</v>
      </c>
      <c r="K31" s="27" t="s">
        <v>84</v>
      </c>
      <c r="L31" s="27" t="s">
        <v>84</v>
      </c>
      <c r="M31" s="27" t="s">
        <v>108</v>
      </c>
      <c r="O31" s="27" t="s">
        <v>87</v>
      </c>
      <c r="P31" s="27" t="s">
        <v>493</v>
      </c>
      <c r="Q31" s="27" t="s">
        <v>494</v>
      </c>
      <c r="R31" s="27" t="s">
        <v>82</v>
      </c>
      <c r="T31" s="27" t="s">
        <v>82</v>
      </c>
      <c r="X31" s="27" t="s">
        <v>82</v>
      </c>
      <c r="Y31" s="27" t="s">
        <v>495</v>
      </c>
      <c r="Z31" s="27" t="s">
        <v>82</v>
      </c>
      <c r="AC31" s="27" t="s">
        <v>126</v>
      </c>
      <c r="AD31" s="27" t="s">
        <v>111</v>
      </c>
      <c r="AF31" s="27" t="s">
        <v>80</v>
      </c>
      <c r="AG31" s="27" t="s">
        <v>496</v>
      </c>
      <c r="AI31" s="27" t="s">
        <v>84</v>
      </c>
      <c r="AJ31" s="27" t="s">
        <v>80</v>
      </c>
      <c r="AK31" s="27" t="s">
        <v>113</v>
      </c>
      <c r="AL31" s="27" t="s">
        <v>113</v>
      </c>
      <c r="AM31" s="27" t="s">
        <v>82</v>
      </c>
      <c r="AN31" s="27" t="s">
        <v>84</v>
      </c>
      <c r="AO31" s="27" t="s">
        <v>84</v>
      </c>
      <c r="AP31" s="27" t="s">
        <v>84</v>
      </c>
      <c r="AQ31" s="27" t="s">
        <v>80</v>
      </c>
      <c r="AR31" s="27">
        <v>3</v>
      </c>
      <c r="AS31" s="27">
        <v>3</v>
      </c>
      <c r="AT31" s="27">
        <v>1</v>
      </c>
      <c r="AU31" s="27">
        <v>3</v>
      </c>
      <c r="AV31" s="27">
        <v>1</v>
      </c>
      <c r="AW31" s="27">
        <v>5</v>
      </c>
      <c r="AX31" s="27" t="s">
        <v>497</v>
      </c>
      <c r="AY31" s="27" t="s">
        <v>498</v>
      </c>
      <c r="AZ31" s="27" t="s">
        <v>499</v>
      </c>
      <c r="BA31" s="27" t="s">
        <v>99</v>
      </c>
      <c r="BB31" s="27" t="s">
        <v>80</v>
      </c>
      <c r="BC31" s="27" t="s">
        <v>500</v>
      </c>
      <c r="BD31" s="27" t="s">
        <v>84</v>
      </c>
      <c r="BE31" s="27" t="s">
        <v>501</v>
      </c>
      <c r="BG31" s="27" t="s">
        <v>82</v>
      </c>
      <c r="BI31" s="27" t="s">
        <v>84</v>
      </c>
      <c r="BJ31" s="27" t="s">
        <v>84</v>
      </c>
      <c r="BK31" s="27">
        <v>5</v>
      </c>
      <c r="BL31" s="27">
        <v>5</v>
      </c>
      <c r="BM31" s="27">
        <v>2</v>
      </c>
      <c r="BN31" s="27">
        <v>5</v>
      </c>
      <c r="BO31" s="27">
        <v>5</v>
      </c>
      <c r="BP31" s="27">
        <v>2</v>
      </c>
      <c r="BQ31" s="27">
        <v>1</v>
      </c>
      <c r="BR31" s="27">
        <v>3</v>
      </c>
      <c r="BS31" s="27">
        <v>1</v>
      </c>
      <c r="BT31" s="27">
        <v>4</v>
      </c>
      <c r="BU31" s="27">
        <v>1</v>
      </c>
      <c r="BV31" s="27">
        <v>3</v>
      </c>
      <c r="BW31" s="27" t="s">
        <v>99</v>
      </c>
      <c r="BX31" s="27" t="s">
        <v>84</v>
      </c>
      <c r="BZ31" s="27" t="s">
        <v>84</v>
      </c>
      <c r="CA31" s="27" t="s">
        <v>100</v>
      </c>
      <c r="CB31" s="27" t="s">
        <v>502</v>
      </c>
      <c r="CC31" s="27" t="s">
        <v>113</v>
      </c>
      <c r="CE31" s="27" t="s">
        <v>82</v>
      </c>
      <c r="CG31" s="27" t="s">
        <v>503</v>
      </c>
      <c r="CH31" s="27" t="s">
        <v>82</v>
      </c>
      <c r="CI31" s="27" t="s">
        <v>84</v>
      </c>
      <c r="CJ31" s="27" t="s">
        <v>82</v>
      </c>
      <c r="CL31" s="27" t="s">
        <v>504</v>
      </c>
      <c r="CM31" s="27" t="s">
        <v>505</v>
      </c>
      <c r="CN31" s="27" t="s">
        <v>506</v>
      </c>
    </row>
    <row r="32" spans="1:92" s="27" customFormat="1" ht="12.95" customHeight="1" x14ac:dyDescent="0.2">
      <c r="A32" s="27">
        <v>31</v>
      </c>
      <c r="B32" s="27">
        <v>47</v>
      </c>
      <c r="C32" s="27" t="s">
        <v>83</v>
      </c>
      <c r="D32" s="27">
        <v>11</v>
      </c>
      <c r="E32" s="27" t="s">
        <v>79</v>
      </c>
      <c r="F32" s="27">
        <v>1130097072</v>
      </c>
      <c r="G32" s="27" t="s">
        <v>81</v>
      </c>
      <c r="H32" s="27" t="s">
        <v>84</v>
      </c>
      <c r="I32" s="27" t="s">
        <v>363</v>
      </c>
      <c r="K32" s="27" t="s">
        <v>82</v>
      </c>
      <c r="L32" s="27" t="s">
        <v>82</v>
      </c>
      <c r="M32" s="27" t="s">
        <v>86</v>
      </c>
      <c r="O32" s="27" t="s">
        <v>87</v>
      </c>
      <c r="P32" s="27">
        <v>35</v>
      </c>
      <c r="Q32" s="27" t="s">
        <v>507</v>
      </c>
      <c r="R32" s="27" t="s">
        <v>82</v>
      </c>
      <c r="T32" s="27" t="s">
        <v>82</v>
      </c>
      <c r="X32" s="27" t="s">
        <v>84</v>
      </c>
      <c r="Y32" s="27" t="s">
        <v>82</v>
      </c>
      <c r="Z32" s="27" t="s">
        <v>84</v>
      </c>
      <c r="AB32" s="27" t="s">
        <v>508</v>
      </c>
      <c r="AC32" s="27" t="s">
        <v>90</v>
      </c>
      <c r="AD32" s="27" t="s">
        <v>91</v>
      </c>
      <c r="AF32" s="27" t="s">
        <v>80</v>
      </c>
      <c r="AH32" s="27" t="s">
        <v>509</v>
      </c>
      <c r="AI32" s="27" t="s">
        <v>84</v>
      </c>
      <c r="AJ32" s="27" t="s">
        <v>80</v>
      </c>
      <c r="AK32" s="27" t="s">
        <v>112</v>
      </c>
      <c r="AL32" s="27" t="s">
        <v>100</v>
      </c>
      <c r="AM32" s="27" t="s">
        <v>82</v>
      </c>
      <c r="AN32" s="27" t="s">
        <v>84</v>
      </c>
      <c r="AO32" s="27" t="s">
        <v>84</v>
      </c>
      <c r="AP32" s="27" t="s">
        <v>84</v>
      </c>
      <c r="AQ32" s="27" t="s">
        <v>80</v>
      </c>
      <c r="AR32" s="27">
        <v>1</v>
      </c>
      <c r="AS32" s="27">
        <v>1</v>
      </c>
      <c r="AT32" s="27">
        <v>1</v>
      </c>
      <c r="AU32" s="27">
        <v>1</v>
      </c>
      <c r="AV32" s="27">
        <v>1</v>
      </c>
      <c r="AW32" s="27">
        <v>1</v>
      </c>
      <c r="AX32" s="27" t="s">
        <v>510</v>
      </c>
      <c r="AY32" s="27" t="s">
        <v>456</v>
      </c>
      <c r="AZ32" s="27" t="s">
        <v>511</v>
      </c>
      <c r="BA32" s="27" t="s">
        <v>97</v>
      </c>
      <c r="BB32" s="27" t="s">
        <v>82</v>
      </c>
      <c r="BD32" s="27" t="s">
        <v>82</v>
      </c>
      <c r="BG32" s="27" t="s">
        <v>84</v>
      </c>
      <c r="BH32" s="27" t="s">
        <v>512</v>
      </c>
      <c r="BI32" s="27" t="s">
        <v>84</v>
      </c>
      <c r="BJ32" s="27" t="s">
        <v>84</v>
      </c>
      <c r="BK32" s="27">
        <v>2</v>
      </c>
      <c r="BL32" s="27">
        <v>5</v>
      </c>
      <c r="BM32" s="27">
        <v>2</v>
      </c>
      <c r="BN32" s="27">
        <v>5</v>
      </c>
      <c r="BO32" s="27">
        <v>2</v>
      </c>
      <c r="BP32" s="27">
        <v>2</v>
      </c>
      <c r="BQ32" s="27">
        <v>4</v>
      </c>
      <c r="BR32" s="27">
        <v>5</v>
      </c>
      <c r="BS32" s="27">
        <v>2</v>
      </c>
      <c r="BT32" s="27">
        <v>5</v>
      </c>
      <c r="BU32" s="27">
        <v>3</v>
      </c>
      <c r="BV32" s="27">
        <v>5</v>
      </c>
      <c r="BW32" s="27" t="s">
        <v>99</v>
      </c>
      <c r="BX32" s="27" t="s">
        <v>84</v>
      </c>
      <c r="BZ32" s="27" t="s">
        <v>84</v>
      </c>
      <c r="CA32" s="27" t="s">
        <v>112</v>
      </c>
      <c r="CB32" s="27" t="s">
        <v>513</v>
      </c>
      <c r="CC32" s="27" t="s">
        <v>100</v>
      </c>
      <c r="CD32" s="27" t="s">
        <v>514</v>
      </c>
      <c r="CE32" s="27" t="s">
        <v>82</v>
      </c>
      <c r="CH32" s="27" t="s">
        <v>82</v>
      </c>
      <c r="CI32" s="27" t="s">
        <v>82</v>
      </c>
      <c r="CJ32" s="27" t="s">
        <v>82</v>
      </c>
      <c r="CM32" s="27" t="s">
        <v>515</v>
      </c>
      <c r="CN32" s="27" t="s">
        <v>516</v>
      </c>
    </row>
    <row r="33" spans="1:92" s="27" customFormat="1" ht="12.95" customHeight="1" x14ac:dyDescent="0.2">
      <c r="A33" s="27">
        <v>32</v>
      </c>
      <c r="B33" s="27">
        <v>49</v>
      </c>
      <c r="C33" s="27" t="s">
        <v>83</v>
      </c>
      <c r="D33" s="27">
        <v>11</v>
      </c>
      <c r="E33" s="27" t="s">
        <v>79</v>
      </c>
      <c r="F33" s="27">
        <v>1467642304</v>
      </c>
      <c r="G33" s="27" t="s">
        <v>81</v>
      </c>
      <c r="H33" s="27" t="s">
        <v>84</v>
      </c>
      <c r="I33" s="27" t="s">
        <v>324</v>
      </c>
      <c r="K33" s="27" t="s">
        <v>84</v>
      </c>
      <c r="L33" s="27" t="s">
        <v>84</v>
      </c>
      <c r="M33" s="27" t="s">
        <v>108</v>
      </c>
      <c r="O33" s="27" t="s">
        <v>253</v>
      </c>
      <c r="P33" s="27">
        <v>35</v>
      </c>
      <c r="Q33" s="27" t="s">
        <v>517</v>
      </c>
      <c r="R33" s="27" t="s">
        <v>84</v>
      </c>
      <c r="T33" s="27" t="s">
        <v>84</v>
      </c>
      <c r="U33" s="27" t="s">
        <v>119</v>
      </c>
      <c r="V33" s="27" t="s">
        <v>518</v>
      </c>
      <c r="X33" s="27" t="s">
        <v>80</v>
      </c>
      <c r="Z33" s="27" t="s">
        <v>84</v>
      </c>
      <c r="AC33" s="27" t="s">
        <v>140</v>
      </c>
      <c r="AD33" s="27" t="s">
        <v>91</v>
      </c>
      <c r="AF33" s="27" t="s">
        <v>80</v>
      </c>
      <c r="AI33" s="27" t="s">
        <v>84</v>
      </c>
      <c r="AJ33" s="27" t="s">
        <v>80</v>
      </c>
      <c r="AK33" s="27" t="s">
        <v>93</v>
      </c>
      <c r="AL33" s="27" t="s">
        <v>93</v>
      </c>
      <c r="AM33" s="27" t="s">
        <v>82</v>
      </c>
      <c r="AN33" s="27" t="s">
        <v>84</v>
      </c>
      <c r="AO33" s="27" t="s">
        <v>84</v>
      </c>
      <c r="AP33" s="27" t="s">
        <v>84</v>
      </c>
      <c r="AQ33" s="27" t="s">
        <v>80</v>
      </c>
      <c r="AR33" s="27">
        <v>5</v>
      </c>
      <c r="AS33" s="27">
        <v>5</v>
      </c>
      <c r="AT33" s="27">
        <v>5</v>
      </c>
      <c r="AU33" s="27">
        <v>5</v>
      </c>
      <c r="AV33" s="27">
        <v>3</v>
      </c>
      <c r="AW33" s="27">
        <v>3</v>
      </c>
      <c r="AX33" s="27" t="s">
        <v>519</v>
      </c>
      <c r="AY33" s="27" t="s">
        <v>520</v>
      </c>
      <c r="AZ33" s="27" t="s">
        <v>521</v>
      </c>
      <c r="BA33" s="27" t="s">
        <v>99</v>
      </c>
      <c r="BB33" s="27" t="s">
        <v>80</v>
      </c>
      <c r="BC33" s="27" t="s">
        <v>522</v>
      </c>
      <c r="BD33" s="27" t="s">
        <v>84</v>
      </c>
      <c r="BG33" s="27" t="s">
        <v>84</v>
      </c>
      <c r="BI33" s="27" t="s">
        <v>84</v>
      </c>
      <c r="BJ33" s="27" t="s">
        <v>84</v>
      </c>
      <c r="BK33" s="27">
        <v>5</v>
      </c>
      <c r="BL33" s="27">
        <v>5</v>
      </c>
      <c r="BM33" s="27">
        <v>5</v>
      </c>
      <c r="BN33" s="27">
        <v>5</v>
      </c>
      <c r="BO33" s="27">
        <v>5</v>
      </c>
      <c r="BP33" s="27">
        <v>5</v>
      </c>
      <c r="BQ33" s="27">
        <v>5</v>
      </c>
      <c r="BR33" s="27">
        <v>5</v>
      </c>
      <c r="BS33" s="27">
        <v>5</v>
      </c>
      <c r="BT33" s="27">
        <v>5</v>
      </c>
      <c r="BU33" s="27">
        <v>5</v>
      </c>
      <c r="BV33" s="27">
        <v>5</v>
      </c>
      <c r="BW33" s="27" t="s">
        <v>99</v>
      </c>
      <c r="BX33" s="27" t="s">
        <v>84</v>
      </c>
      <c r="BZ33" s="27" t="s">
        <v>84</v>
      </c>
      <c r="CA33" s="27" t="s">
        <v>113</v>
      </c>
      <c r="CC33" s="27" t="s">
        <v>93</v>
      </c>
      <c r="CE33" s="27" t="s">
        <v>84</v>
      </c>
      <c r="CH33" s="27" t="s">
        <v>84</v>
      </c>
      <c r="CI33" s="27" t="s">
        <v>84</v>
      </c>
      <c r="CJ33" s="27" t="s">
        <v>84</v>
      </c>
    </row>
    <row r="34" spans="1:92" s="27" customFormat="1" ht="12.95" customHeight="1" x14ac:dyDescent="0.2">
      <c r="A34" s="27">
        <v>33</v>
      </c>
      <c r="B34" s="27">
        <v>50</v>
      </c>
      <c r="C34" s="27" t="s">
        <v>83</v>
      </c>
      <c r="D34" s="27">
        <v>11</v>
      </c>
      <c r="E34" s="27" t="s">
        <v>79</v>
      </c>
      <c r="F34" s="27">
        <v>825356084</v>
      </c>
      <c r="G34" s="27" t="s">
        <v>81</v>
      </c>
      <c r="H34" s="27" t="s">
        <v>84</v>
      </c>
      <c r="I34" s="27" t="s">
        <v>105</v>
      </c>
      <c r="K34" s="27" t="s">
        <v>84</v>
      </c>
      <c r="L34" s="27" t="s">
        <v>84</v>
      </c>
      <c r="M34" s="27" t="s">
        <v>108</v>
      </c>
      <c r="O34" s="27" t="s">
        <v>87</v>
      </c>
      <c r="P34" s="27">
        <v>61</v>
      </c>
      <c r="Q34" s="27" t="s">
        <v>523</v>
      </c>
      <c r="R34" s="27" t="s">
        <v>82</v>
      </c>
      <c r="T34" s="27" t="s">
        <v>82</v>
      </c>
      <c r="X34" s="27" t="s">
        <v>82</v>
      </c>
      <c r="Y34" s="27" t="s">
        <v>524</v>
      </c>
      <c r="Z34" s="27" t="s">
        <v>84</v>
      </c>
      <c r="AB34" s="27" t="s">
        <v>525</v>
      </c>
      <c r="AC34" s="27" t="s">
        <v>140</v>
      </c>
      <c r="AD34" s="27" t="s">
        <v>91</v>
      </c>
      <c r="AF34" s="27" t="s">
        <v>80</v>
      </c>
      <c r="AH34" s="27" t="s">
        <v>526</v>
      </c>
      <c r="AI34" s="27" t="s">
        <v>84</v>
      </c>
      <c r="AJ34" s="27" t="s">
        <v>80</v>
      </c>
      <c r="AK34" s="27" t="s">
        <v>100</v>
      </c>
      <c r="AL34" s="27" t="s">
        <v>100</v>
      </c>
      <c r="AM34" s="27" t="s">
        <v>82</v>
      </c>
      <c r="AN34" s="27" t="s">
        <v>84</v>
      </c>
      <c r="AO34" s="27" t="s">
        <v>84</v>
      </c>
      <c r="AP34" s="27" t="s">
        <v>84</v>
      </c>
      <c r="AQ34" s="27" t="s">
        <v>80</v>
      </c>
      <c r="AR34" s="27">
        <v>4</v>
      </c>
      <c r="AS34" s="27">
        <v>3</v>
      </c>
      <c r="AT34" s="27">
        <v>2</v>
      </c>
      <c r="AU34" s="27">
        <v>1</v>
      </c>
      <c r="AV34" s="27">
        <v>5</v>
      </c>
      <c r="AW34" s="27">
        <v>2</v>
      </c>
      <c r="AX34" s="27" t="s">
        <v>527</v>
      </c>
      <c r="AY34" s="27" t="s">
        <v>528</v>
      </c>
      <c r="AZ34" s="27" t="s">
        <v>529</v>
      </c>
      <c r="BA34" s="27" t="s">
        <v>97</v>
      </c>
      <c r="BB34" s="27" t="s">
        <v>84</v>
      </c>
      <c r="BC34" s="27" t="s">
        <v>530</v>
      </c>
      <c r="BD34" s="27" t="s">
        <v>82</v>
      </c>
      <c r="BF34" s="27" t="s">
        <v>531</v>
      </c>
      <c r="BG34" s="27" t="s">
        <v>82</v>
      </c>
      <c r="BI34" s="27" t="s">
        <v>84</v>
      </c>
      <c r="BJ34" s="27" t="s">
        <v>82</v>
      </c>
      <c r="BK34" s="27">
        <v>2</v>
      </c>
      <c r="BL34" s="27">
        <v>1</v>
      </c>
      <c r="BM34" s="27">
        <v>5</v>
      </c>
      <c r="BN34" s="27">
        <v>1</v>
      </c>
      <c r="BO34" s="27">
        <v>1</v>
      </c>
      <c r="BP34" s="27">
        <v>3</v>
      </c>
      <c r="BQ34" s="27">
        <v>1</v>
      </c>
      <c r="BR34" s="27">
        <v>1</v>
      </c>
      <c r="BS34" s="27">
        <v>1</v>
      </c>
      <c r="BT34" s="27">
        <v>1</v>
      </c>
      <c r="BU34" s="27">
        <v>3</v>
      </c>
      <c r="BV34" s="27">
        <v>1</v>
      </c>
      <c r="BW34" s="27" t="s">
        <v>118</v>
      </c>
      <c r="BX34" s="27" t="s">
        <v>84</v>
      </c>
      <c r="BZ34" s="27" t="s">
        <v>84</v>
      </c>
      <c r="CA34" s="27" t="s">
        <v>112</v>
      </c>
      <c r="CB34" s="27" t="s">
        <v>532</v>
      </c>
      <c r="CC34" s="27" t="s">
        <v>100</v>
      </c>
      <c r="CD34" s="27" t="s">
        <v>533</v>
      </c>
      <c r="CE34" s="27" t="s">
        <v>82</v>
      </c>
      <c r="CG34" s="27" t="s">
        <v>534</v>
      </c>
      <c r="CH34" s="27" t="s">
        <v>82</v>
      </c>
      <c r="CI34" s="27" t="s">
        <v>82</v>
      </c>
      <c r="CJ34" s="27" t="s">
        <v>84</v>
      </c>
      <c r="CK34" s="27" t="s">
        <v>535</v>
      </c>
      <c r="CL34" s="27" t="s">
        <v>536</v>
      </c>
      <c r="CM34" s="27" t="s">
        <v>537</v>
      </c>
      <c r="CN34" s="27" t="s">
        <v>538</v>
      </c>
    </row>
    <row r="35" spans="1:92" s="27" customFormat="1" ht="12.95" customHeight="1" x14ac:dyDescent="0.2">
      <c r="A35" s="27">
        <v>34</v>
      </c>
      <c r="B35" s="27">
        <v>51</v>
      </c>
      <c r="C35" s="27" t="s">
        <v>83</v>
      </c>
      <c r="D35" s="27">
        <v>11</v>
      </c>
      <c r="E35" s="27" t="s">
        <v>79</v>
      </c>
      <c r="F35" s="27">
        <v>839378544</v>
      </c>
      <c r="G35" s="27" t="s">
        <v>81</v>
      </c>
      <c r="H35" s="27" t="s">
        <v>84</v>
      </c>
      <c r="I35" s="27" t="s">
        <v>119</v>
      </c>
      <c r="J35" s="27" t="s">
        <v>539</v>
      </c>
      <c r="K35" s="27" t="s">
        <v>82</v>
      </c>
      <c r="L35" s="27" t="s">
        <v>84</v>
      </c>
      <c r="M35" s="27" t="s">
        <v>108</v>
      </c>
      <c r="N35" s="27" t="s">
        <v>540</v>
      </c>
      <c r="O35" s="27" t="s">
        <v>87</v>
      </c>
      <c r="P35" s="27" t="s">
        <v>541</v>
      </c>
      <c r="Q35" s="27" t="s">
        <v>542</v>
      </c>
      <c r="R35" s="27" t="s">
        <v>84</v>
      </c>
      <c r="S35" s="27" t="s">
        <v>543</v>
      </c>
      <c r="T35" s="27" t="s">
        <v>82</v>
      </c>
      <c r="X35" s="27" t="s">
        <v>84</v>
      </c>
      <c r="Y35" s="27" t="s">
        <v>544</v>
      </c>
      <c r="Z35" s="27" t="s">
        <v>84</v>
      </c>
      <c r="AB35" s="27" t="s">
        <v>545</v>
      </c>
      <c r="AC35" s="27" t="s">
        <v>126</v>
      </c>
      <c r="AD35" s="27" t="s">
        <v>91</v>
      </c>
      <c r="AF35" s="27" t="s">
        <v>80</v>
      </c>
      <c r="AH35" s="27" t="s">
        <v>546</v>
      </c>
      <c r="AI35" s="27" t="s">
        <v>84</v>
      </c>
      <c r="AJ35" s="27" t="s">
        <v>80</v>
      </c>
      <c r="AK35" s="27" t="s">
        <v>113</v>
      </c>
      <c r="AL35" s="27" t="s">
        <v>113</v>
      </c>
      <c r="AM35" s="27" t="s">
        <v>84</v>
      </c>
      <c r="AN35" s="27" t="s">
        <v>84</v>
      </c>
      <c r="AO35" s="27" t="s">
        <v>84</v>
      </c>
      <c r="AP35" s="27" t="s">
        <v>84</v>
      </c>
      <c r="AQ35" s="27" t="s">
        <v>80</v>
      </c>
      <c r="AR35" s="27">
        <v>2</v>
      </c>
      <c r="AS35" s="27">
        <v>1</v>
      </c>
      <c r="AT35" s="27">
        <v>3</v>
      </c>
      <c r="AU35" s="27">
        <v>1</v>
      </c>
      <c r="AV35" s="27">
        <v>2</v>
      </c>
      <c r="AW35" s="27">
        <v>1</v>
      </c>
      <c r="AX35" s="27" t="s">
        <v>547</v>
      </c>
      <c r="AY35" s="27" t="s">
        <v>548</v>
      </c>
      <c r="AZ35" s="27" t="s">
        <v>549</v>
      </c>
      <c r="BA35" s="27" t="s">
        <v>97</v>
      </c>
      <c r="BB35" s="27" t="s">
        <v>84</v>
      </c>
      <c r="BC35" s="27" t="s">
        <v>550</v>
      </c>
      <c r="BD35" s="27" t="s">
        <v>82</v>
      </c>
      <c r="BF35" s="27" t="s">
        <v>551</v>
      </c>
      <c r="BG35" s="27" t="s">
        <v>82</v>
      </c>
      <c r="BI35" s="27" t="s">
        <v>84</v>
      </c>
      <c r="BJ35" s="27" t="s">
        <v>84</v>
      </c>
      <c r="BK35" s="27">
        <v>2</v>
      </c>
      <c r="BL35" s="27">
        <v>1</v>
      </c>
      <c r="BM35" s="27">
        <v>1</v>
      </c>
      <c r="BN35" s="27">
        <v>1</v>
      </c>
      <c r="BO35" s="27">
        <v>1</v>
      </c>
      <c r="BP35" s="27">
        <v>1</v>
      </c>
      <c r="BQ35" s="27">
        <v>1</v>
      </c>
      <c r="BR35" s="27">
        <v>1</v>
      </c>
      <c r="BS35" s="27">
        <v>2</v>
      </c>
      <c r="BT35" s="27">
        <v>1</v>
      </c>
      <c r="BU35" s="27">
        <v>2</v>
      </c>
      <c r="BV35" s="27">
        <v>1</v>
      </c>
      <c r="BW35" s="27" t="s">
        <v>97</v>
      </c>
      <c r="BX35" s="27" t="s">
        <v>82</v>
      </c>
      <c r="BY35" s="27" t="s">
        <v>552</v>
      </c>
      <c r="BZ35" s="27" t="s">
        <v>84</v>
      </c>
      <c r="CA35" s="27" t="s">
        <v>100</v>
      </c>
      <c r="CB35" s="27" t="s">
        <v>553</v>
      </c>
      <c r="CC35" s="27" t="s">
        <v>113</v>
      </c>
      <c r="CD35" s="27" t="s">
        <v>554</v>
      </c>
      <c r="CE35" s="27" t="s">
        <v>82</v>
      </c>
      <c r="CG35" s="27" t="s">
        <v>555</v>
      </c>
      <c r="CH35" s="27" t="s">
        <v>82</v>
      </c>
      <c r="CI35" s="27" t="s">
        <v>82</v>
      </c>
      <c r="CJ35" s="27" t="s">
        <v>84</v>
      </c>
      <c r="CK35" s="27" t="s">
        <v>556</v>
      </c>
      <c r="CL35" s="27" t="s">
        <v>557</v>
      </c>
      <c r="CM35" s="27" t="s">
        <v>558</v>
      </c>
      <c r="CN35" s="27" t="s">
        <v>559</v>
      </c>
    </row>
    <row r="36" spans="1:92" s="27" customFormat="1" ht="12.95" customHeight="1" x14ac:dyDescent="0.2">
      <c r="A36" s="27">
        <v>35</v>
      </c>
      <c r="B36" s="27">
        <v>52</v>
      </c>
      <c r="C36" s="27" t="s">
        <v>83</v>
      </c>
      <c r="D36" s="27">
        <v>11</v>
      </c>
      <c r="E36" s="27" t="s">
        <v>79</v>
      </c>
      <c r="F36" s="27">
        <v>458765405</v>
      </c>
      <c r="G36" s="27" t="s">
        <v>81</v>
      </c>
      <c r="H36" s="27" t="s">
        <v>84</v>
      </c>
      <c r="I36" s="27" t="s">
        <v>161</v>
      </c>
      <c r="K36" s="27" t="s">
        <v>84</v>
      </c>
      <c r="L36" s="27" t="s">
        <v>84</v>
      </c>
      <c r="M36" s="27" t="s">
        <v>108</v>
      </c>
      <c r="O36" s="27" t="s">
        <v>87</v>
      </c>
      <c r="P36" s="27">
        <v>20</v>
      </c>
      <c r="Q36" s="27" t="s">
        <v>560</v>
      </c>
      <c r="R36" s="27" t="s">
        <v>82</v>
      </c>
      <c r="T36" s="27" t="s">
        <v>84</v>
      </c>
      <c r="U36" s="27" t="s">
        <v>119</v>
      </c>
      <c r="V36" s="27" t="s">
        <v>561</v>
      </c>
      <c r="X36" s="27" t="s">
        <v>80</v>
      </c>
      <c r="Z36" s="27" t="s">
        <v>84</v>
      </c>
      <c r="AA36" s="27" t="s">
        <v>562</v>
      </c>
      <c r="AB36" s="27" t="s">
        <v>563</v>
      </c>
      <c r="AC36" s="27" t="s">
        <v>90</v>
      </c>
      <c r="AD36" s="27" t="s">
        <v>91</v>
      </c>
      <c r="AF36" s="27" t="s">
        <v>80</v>
      </c>
      <c r="AH36" s="27" t="s">
        <v>564</v>
      </c>
      <c r="AI36" s="27" t="s">
        <v>84</v>
      </c>
      <c r="AJ36" s="27" t="s">
        <v>80</v>
      </c>
      <c r="AK36" s="27" t="s">
        <v>93</v>
      </c>
      <c r="AL36" s="27" t="s">
        <v>93</v>
      </c>
      <c r="AM36" s="27" t="s">
        <v>82</v>
      </c>
      <c r="AN36" s="27" t="s">
        <v>145</v>
      </c>
      <c r="AO36" s="27" t="s">
        <v>84</v>
      </c>
      <c r="AP36" s="27" t="s">
        <v>84</v>
      </c>
      <c r="AQ36" s="27" t="s">
        <v>80</v>
      </c>
      <c r="AR36" s="27">
        <v>3</v>
      </c>
      <c r="AS36" s="27">
        <v>2</v>
      </c>
      <c r="AT36" s="27">
        <v>2</v>
      </c>
      <c r="AU36" s="27">
        <v>1</v>
      </c>
      <c r="AV36" s="27">
        <v>5</v>
      </c>
      <c r="AW36" s="27">
        <v>4</v>
      </c>
      <c r="AX36" s="27" t="s">
        <v>565</v>
      </c>
      <c r="AY36" s="27" t="s">
        <v>566</v>
      </c>
      <c r="AZ36" s="27" t="s">
        <v>567</v>
      </c>
      <c r="BA36" s="27" t="s">
        <v>99</v>
      </c>
      <c r="BB36" s="27" t="s">
        <v>80</v>
      </c>
      <c r="BC36" s="27" t="s">
        <v>568</v>
      </c>
      <c r="BD36" s="27" t="s">
        <v>82</v>
      </c>
      <c r="BF36" s="27" t="s">
        <v>569</v>
      </c>
      <c r="BG36" s="27" t="s">
        <v>84</v>
      </c>
      <c r="BH36" s="27" t="s">
        <v>570</v>
      </c>
      <c r="BI36" s="27" t="s">
        <v>84</v>
      </c>
      <c r="BJ36" s="27" t="s">
        <v>84</v>
      </c>
      <c r="BK36" s="27">
        <v>5</v>
      </c>
      <c r="BL36" s="27">
        <v>3</v>
      </c>
      <c r="BM36" s="27">
        <v>4</v>
      </c>
      <c r="BN36" s="27">
        <v>2</v>
      </c>
      <c r="BO36" s="27">
        <v>2</v>
      </c>
      <c r="BP36" s="27">
        <v>3</v>
      </c>
      <c r="BQ36" s="27">
        <v>1</v>
      </c>
      <c r="BR36" s="27">
        <v>5</v>
      </c>
      <c r="BS36" s="27">
        <v>2</v>
      </c>
      <c r="BT36" s="27">
        <v>3</v>
      </c>
      <c r="BU36" s="27">
        <v>3</v>
      </c>
      <c r="BV36" s="27">
        <v>2</v>
      </c>
      <c r="BW36" s="27" t="s">
        <v>118</v>
      </c>
      <c r="BX36" s="27" t="s">
        <v>82</v>
      </c>
      <c r="BY36" s="27" t="s">
        <v>571</v>
      </c>
      <c r="BZ36" s="27" t="s">
        <v>84</v>
      </c>
      <c r="CA36" s="27" t="s">
        <v>93</v>
      </c>
      <c r="CB36" s="27" t="s">
        <v>572</v>
      </c>
      <c r="CC36" s="27" t="s">
        <v>113</v>
      </c>
      <c r="CD36" s="27" t="s">
        <v>573</v>
      </c>
      <c r="CE36" s="27" t="s">
        <v>82</v>
      </c>
      <c r="CH36" s="27" t="s">
        <v>82</v>
      </c>
      <c r="CI36" s="27" t="s">
        <v>84</v>
      </c>
      <c r="CJ36" s="27" t="s">
        <v>84</v>
      </c>
      <c r="CK36" s="27" t="s">
        <v>574</v>
      </c>
      <c r="CL36" s="27" t="s">
        <v>575</v>
      </c>
      <c r="CM36" s="27" t="s">
        <v>576</v>
      </c>
      <c r="CN36" s="27" t="s">
        <v>577</v>
      </c>
    </row>
    <row r="37" spans="1:92" s="27" customFormat="1" ht="12.95" customHeight="1" x14ac:dyDescent="0.2">
      <c r="A37" s="27">
        <v>36</v>
      </c>
      <c r="B37" s="27">
        <v>53</v>
      </c>
      <c r="C37" s="27" t="s">
        <v>83</v>
      </c>
      <c r="D37" s="27">
        <v>11</v>
      </c>
      <c r="E37" s="27" t="s">
        <v>79</v>
      </c>
      <c r="F37" s="27">
        <v>531076375</v>
      </c>
      <c r="G37" s="27" t="s">
        <v>81</v>
      </c>
      <c r="H37" s="27" t="s">
        <v>84</v>
      </c>
      <c r="I37" s="27" t="s">
        <v>119</v>
      </c>
      <c r="J37" s="27" t="s">
        <v>578</v>
      </c>
      <c r="K37" s="27" t="s">
        <v>82</v>
      </c>
      <c r="L37" s="27" t="s">
        <v>82</v>
      </c>
      <c r="M37" s="27" t="s">
        <v>108</v>
      </c>
      <c r="N37" s="27" t="s">
        <v>579</v>
      </c>
      <c r="O37" s="27" t="s">
        <v>87</v>
      </c>
      <c r="P37" s="27" t="s">
        <v>580</v>
      </c>
      <c r="Q37" s="27" t="s">
        <v>581</v>
      </c>
      <c r="R37" s="27" t="s">
        <v>82</v>
      </c>
      <c r="T37" s="27" t="s">
        <v>82</v>
      </c>
      <c r="X37" s="27" t="s">
        <v>82</v>
      </c>
      <c r="Y37" s="27" t="s">
        <v>582</v>
      </c>
      <c r="Z37" s="27" t="s">
        <v>84</v>
      </c>
      <c r="AA37" s="27" t="s">
        <v>583</v>
      </c>
      <c r="AB37" s="27" t="s">
        <v>584</v>
      </c>
      <c r="AC37" s="27" t="s">
        <v>126</v>
      </c>
      <c r="AD37" s="27" t="s">
        <v>91</v>
      </c>
      <c r="AF37" s="27" t="s">
        <v>80</v>
      </c>
      <c r="AH37" s="27" t="s">
        <v>585</v>
      </c>
      <c r="AI37" s="27" t="s">
        <v>84</v>
      </c>
      <c r="AJ37" s="27" t="s">
        <v>80</v>
      </c>
      <c r="AK37" s="27" t="s">
        <v>100</v>
      </c>
      <c r="AL37" s="27" t="s">
        <v>113</v>
      </c>
      <c r="AM37" s="27" t="s">
        <v>84</v>
      </c>
      <c r="AN37" s="27" t="s">
        <v>82</v>
      </c>
      <c r="AO37" s="27" t="s">
        <v>84</v>
      </c>
      <c r="AP37" s="27" t="s">
        <v>84</v>
      </c>
      <c r="AQ37" s="27" t="s">
        <v>80</v>
      </c>
      <c r="AR37" s="27">
        <v>3</v>
      </c>
      <c r="AS37" s="27">
        <v>3</v>
      </c>
      <c r="AT37" s="27">
        <v>2</v>
      </c>
      <c r="AU37" s="27">
        <v>1</v>
      </c>
      <c r="AV37" s="27">
        <v>4</v>
      </c>
      <c r="AW37" s="27">
        <v>3</v>
      </c>
      <c r="AX37" s="27" t="s">
        <v>586</v>
      </c>
      <c r="AY37" s="27" t="s">
        <v>587</v>
      </c>
      <c r="AZ37" s="27" t="s">
        <v>588</v>
      </c>
      <c r="BA37" s="27" t="s">
        <v>97</v>
      </c>
      <c r="BB37" s="27" t="s">
        <v>82</v>
      </c>
      <c r="BD37" s="27" t="s">
        <v>82</v>
      </c>
      <c r="BG37" s="27" t="s">
        <v>82</v>
      </c>
      <c r="BI37" s="27" t="s">
        <v>84</v>
      </c>
      <c r="BJ37" s="27" t="s">
        <v>84</v>
      </c>
      <c r="BK37" s="27">
        <v>3</v>
      </c>
      <c r="BL37" s="27">
        <v>3</v>
      </c>
      <c r="BM37" s="27">
        <v>3</v>
      </c>
      <c r="BN37" s="27">
        <v>3</v>
      </c>
      <c r="BO37" s="27">
        <v>3</v>
      </c>
      <c r="BP37" s="27">
        <v>3</v>
      </c>
      <c r="BQ37" s="27">
        <v>3</v>
      </c>
      <c r="BR37" s="27">
        <v>3</v>
      </c>
      <c r="BS37" s="27">
        <v>3</v>
      </c>
      <c r="BT37" s="27">
        <v>3</v>
      </c>
      <c r="BU37" s="27">
        <v>3</v>
      </c>
      <c r="BV37" s="27">
        <v>3</v>
      </c>
      <c r="BW37" s="27" t="s">
        <v>118</v>
      </c>
      <c r="BX37" s="27" t="s">
        <v>106</v>
      </c>
      <c r="BZ37" s="27" t="s">
        <v>84</v>
      </c>
      <c r="CA37" s="27" t="s">
        <v>113</v>
      </c>
      <c r="CB37" s="27" t="s">
        <v>589</v>
      </c>
      <c r="CC37" s="27" t="s">
        <v>113</v>
      </c>
      <c r="CE37" s="27" t="s">
        <v>82</v>
      </c>
      <c r="CH37" s="27" t="s">
        <v>82</v>
      </c>
      <c r="CI37" s="27" t="s">
        <v>82</v>
      </c>
      <c r="CJ37" s="27" t="s">
        <v>84</v>
      </c>
      <c r="CK37" s="27" t="s">
        <v>590</v>
      </c>
      <c r="CL37" s="27" t="s">
        <v>591</v>
      </c>
      <c r="CM37" s="27" t="s">
        <v>592</v>
      </c>
    </row>
    <row r="38" spans="1:92" s="27" customFormat="1" ht="12.95" customHeight="1" x14ac:dyDescent="0.2">
      <c r="A38" s="27">
        <v>37</v>
      </c>
      <c r="B38" s="27">
        <v>55</v>
      </c>
      <c r="C38" s="27" t="s">
        <v>83</v>
      </c>
      <c r="D38" s="27">
        <v>11</v>
      </c>
      <c r="E38" s="27" t="s">
        <v>79</v>
      </c>
      <c r="F38" s="27">
        <v>1441445922</v>
      </c>
      <c r="G38" s="27" t="s">
        <v>81</v>
      </c>
      <c r="H38" s="27" t="s">
        <v>84</v>
      </c>
      <c r="I38" s="27" t="s">
        <v>161</v>
      </c>
      <c r="K38" s="27" t="s">
        <v>84</v>
      </c>
      <c r="L38" s="27" t="s">
        <v>84</v>
      </c>
      <c r="M38" s="27" t="s">
        <v>108</v>
      </c>
      <c r="O38" s="27" t="s">
        <v>253</v>
      </c>
      <c r="P38" s="27">
        <v>15</v>
      </c>
      <c r="Q38" s="27" t="s">
        <v>593</v>
      </c>
      <c r="R38" s="27" t="s">
        <v>84</v>
      </c>
      <c r="S38" s="27" t="s">
        <v>594</v>
      </c>
      <c r="T38" s="27" t="s">
        <v>84</v>
      </c>
      <c r="U38" s="27" t="s">
        <v>119</v>
      </c>
      <c r="V38" s="27" t="s">
        <v>595</v>
      </c>
      <c r="W38" s="27" t="s">
        <v>596</v>
      </c>
      <c r="X38" s="27" t="s">
        <v>80</v>
      </c>
      <c r="Z38" s="27" t="s">
        <v>84</v>
      </c>
      <c r="AA38" s="27" t="s">
        <v>597</v>
      </c>
      <c r="AB38" s="27" t="s">
        <v>598</v>
      </c>
      <c r="AC38" s="27" t="s">
        <v>140</v>
      </c>
      <c r="AD38" s="27" t="s">
        <v>91</v>
      </c>
      <c r="AF38" s="27" t="s">
        <v>80</v>
      </c>
      <c r="AH38" s="27" t="s">
        <v>599</v>
      </c>
      <c r="AI38" s="27" t="s">
        <v>84</v>
      </c>
      <c r="AJ38" s="27" t="s">
        <v>80</v>
      </c>
      <c r="AK38" s="27" t="s">
        <v>113</v>
      </c>
      <c r="AL38" s="27" t="s">
        <v>113</v>
      </c>
      <c r="AM38" s="27" t="s">
        <v>84</v>
      </c>
      <c r="AN38" s="27" t="s">
        <v>84</v>
      </c>
      <c r="AO38" s="27" t="s">
        <v>84</v>
      </c>
      <c r="AP38" s="27" t="s">
        <v>84</v>
      </c>
      <c r="AQ38" s="27" t="s">
        <v>80</v>
      </c>
      <c r="AR38" s="27">
        <v>3</v>
      </c>
      <c r="AS38" s="27">
        <v>2</v>
      </c>
      <c r="AT38" s="27">
        <v>2</v>
      </c>
      <c r="AU38" s="27">
        <v>2</v>
      </c>
      <c r="AV38" s="27">
        <v>4</v>
      </c>
      <c r="AW38" s="27">
        <v>5</v>
      </c>
      <c r="AX38" s="27" t="s">
        <v>600</v>
      </c>
      <c r="AY38" s="27" t="s">
        <v>601</v>
      </c>
      <c r="AZ38" s="27" t="s">
        <v>602</v>
      </c>
      <c r="BA38" s="27" t="s">
        <v>99</v>
      </c>
      <c r="BB38" s="27" t="s">
        <v>80</v>
      </c>
      <c r="BC38" s="27" t="s">
        <v>603</v>
      </c>
      <c r="BD38" s="27" t="s">
        <v>84</v>
      </c>
      <c r="BE38" s="27" t="s">
        <v>604</v>
      </c>
      <c r="BG38" s="27" t="s">
        <v>84</v>
      </c>
      <c r="BH38" s="27" t="s">
        <v>605</v>
      </c>
      <c r="BI38" s="27" t="s">
        <v>84</v>
      </c>
      <c r="BJ38" s="27" t="s">
        <v>84</v>
      </c>
      <c r="BK38" s="27">
        <v>1</v>
      </c>
      <c r="BL38" s="27">
        <v>4</v>
      </c>
      <c r="BM38" s="27">
        <v>1</v>
      </c>
      <c r="BN38" s="27">
        <v>4</v>
      </c>
      <c r="BO38" s="27">
        <v>2</v>
      </c>
      <c r="BP38" s="27">
        <v>4</v>
      </c>
      <c r="BQ38" s="27">
        <v>1</v>
      </c>
      <c r="BR38" s="27">
        <v>3</v>
      </c>
      <c r="BS38" s="27">
        <v>2</v>
      </c>
      <c r="BT38" s="27">
        <v>3</v>
      </c>
      <c r="BU38" s="27">
        <v>2</v>
      </c>
      <c r="BV38" s="27">
        <v>4</v>
      </c>
      <c r="BW38" s="27" t="s">
        <v>118</v>
      </c>
      <c r="BX38" s="27" t="s">
        <v>84</v>
      </c>
      <c r="BZ38" s="27" t="s">
        <v>84</v>
      </c>
      <c r="CA38" s="27" t="s">
        <v>113</v>
      </c>
      <c r="CB38" s="27" t="s">
        <v>606</v>
      </c>
      <c r="CC38" s="27" t="s">
        <v>113</v>
      </c>
      <c r="CD38" s="27" t="s">
        <v>607</v>
      </c>
      <c r="CE38" s="27" t="s">
        <v>84</v>
      </c>
      <c r="CH38" s="27" t="s">
        <v>84</v>
      </c>
      <c r="CI38" s="27" t="s">
        <v>82</v>
      </c>
      <c r="CJ38" s="27" t="s">
        <v>84</v>
      </c>
      <c r="CK38" s="27" t="s">
        <v>608</v>
      </c>
      <c r="CL38" s="27" t="s">
        <v>609</v>
      </c>
      <c r="CM38" s="27" t="s">
        <v>610</v>
      </c>
    </row>
    <row r="39" spans="1:92" s="28" customFormat="1" ht="12.95" customHeight="1" x14ac:dyDescent="0.2">
      <c r="A39" s="27">
        <v>38</v>
      </c>
      <c r="B39" s="28">
        <v>58</v>
      </c>
      <c r="C39" s="28" t="s">
        <v>83</v>
      </c>
      <c r="D39" s="28">
        <v>11</v>
      </c>
      <c r="E39" s="28" t="s">
        <v>79</v>
      </c>
      <c r="F39" s="28">
        <v>267612537</v>
      </c>
      <c r="G39" s="28" t="s">
        <v>81</v>
      </c>
      <c r="H39" s="28" t="s">
        <v>84</v>
      </c>
      <c r="I39" s="28" t="s">
        <v>107</v>
      </c>
      <c r="K39" s="28" t="s">
        <v>82</v>
      </c>
      <c r="L39" s="28" t="s">
        <v>84</v>
      </c>
      <c r="M39" s="28" t="s">
        <v>108</v>
      </c>
      <c r="O39" s="28" t="s">
        <v>87</v>
      </c>
      <c r="P39" s="28" t="s">
        <v>713</v>
      </c>
      <c r="Q39" s="28" t="s">
        <v>714</v>
      </c>
      <c r="R39" s="28" t="s">
        <v>84</v>
      </c>
      <c r="S39" s="28" t="s">
        <v>715</v>
      </c>
      <c r="T39" s="28" t="s">
        <v>82</v>
      </c>
      <c r="X39" s="28" t="s">
        <v>84</v>
      </c>
      <c r="Y39" s="28" t="s">
        <v>716</v>
      </c>
      <c r="Z39" s="28" t="s">
        <v>84</v>
      </c>
      <c r="AB39" s="28" t="s">
        <v>717</v>
      </c>
      <c r="AC39" s="28" t="s">
        <v>126</v>
      </c>
      <c r="AD39" s="28" t="s">
        <v>91</v>
      </c>
      <c r="AF39" s="28" t="s">
        <v>80</v>
      </c>
      <c r="AH39" s="28" t="s">
        <v>718</v>
      </c>
      <c r="AI39" s="28" t="s">
        <v>84</v>
      </c>
      <c r="AJ39" s="28" t="s">
        <v>80</v>
      </c>
      <c r="AK39" s="28" t="s">
        <v>112</v>
      </c>
      <c r="AL39" s="28" t="s">
        <v>100</v>
      </c>
      <c r="AM39" s="28" t="s">
        <v>82</v>
      </c>
      <c r="AN39" s="28" t="s">
        <v>82</v>
      </c>
      <c r="AO39" s="28" t="s">
        <v>84</v>
      </c>
      <c r="AP39" s="28" t="s">
        <v>84</v>
      </c>
      <c r="AQ39" s="28" t="s">
        <v>80</v>
      </c>
      <c r="AR39" s="28">
        <v>4</v>
      </c>
      <c r="AS39" s="28">
        <v>2</v>
      </c>
      <c r="AT39" s="28">
        <v>1</v>
      </c>
      <c r="AU39" s="28">
        <v>1</v>
      </c>
      <c r="AV39" s="28">
        <v>5</v>
      </c>
      <c r="AW39" s="28">
        <v>2</v>
      </c>
      <c r="AX39" s="28" t="s">
        <v>719</v>
      </c>
      <c r="AY39" s="28" t="s">
        <v>720</v>
      </c>
      <c r="AZ39" s="28" t="s">
        <v>721</v>
      </c>
      <c r="BA39" s="28" t="s">
        <v>97</v>
      </c>
      <c r="BB39" s="28" t="s">
        <v>82</v>
      </c>
      <c r="BC39" s="28" t="s">
        <v>722</v>
      </c>
      <c r="BD39" s="28" t="s">
        <v>82</v>
      </c>
      <c r="BF39" s="28" t="s">
        <v>723</v>
      </c>
      <c r="BG39" s="28" t="s">
        <v>82</v>
      </c>
      <c r="BI39" s="28" t="s">
        <v>84</v>
      </c>
      <c r="BJ39" s="28" t="s">
        <v>82</v>
      </c>
      <c r="BK39" s="28">
        <v>1</v>
      </c>
      <c r="BL39" s="28">
        <v>1</v>
      </c>
      <c r="BM39" s="28">
        <v>5</v>
      </c>
      <c r="BN39" s="28">
        <v>1</v>
      </c>
      <c r="BO39" s="28">
        <v>2</v>
      </c>
      <c r="BP39" s="28">
        <v>1</v>
      </c>
      <c r="BQ39" s="28">
        <v>2</v>
      </c>
      <c r="BR39" s="28">
        <v>1</v>
      </c>
      <c r="BS39" s="28">
        <v>5</v>
      </c>
      <c r="BT39" s="28">
        <v>1</v>
      </c>
      <c r="BU39" s="28">
        <v>3</v>
      </c>
      <c r="BV39" s="28">
        <v>1</v>
      </c>
      <c r="BW39" s="28" t="s">
        <v>97</v>
      </c>
      <c r="BX39" s="28" t="s">
        <v>106</v>
      </c>
      <c r="BZ39" s="28" t="s">
        <v>84</v>
      </c>
      <c r="CA39" s="28" t="s">
        <v>112</v>
      </c>
      <c r="CB39" s="28" t="s">
        <v>724</v>
      </c>
      <c r="CC39" s="28" t="s">
        <v>113</v>
      </c>
      <c r="CD39" s="28" t="s">
        <v>725</v>
      </c>
      <c r="CE39" s="28" t="s">
        <v>82</v>
      </c>
      <c r="CG39" s="28" t="s">
        <v>726</v>
      </c>
      <c r="CH39" s="28" t="s">
        <v>82</v>
      </c>
      <c r="CI39" s="28" t="s">
        <v>82</v>
      </c>
      <c r="CJ39" s="28" t="s">
        <v>82</v>
      </c>
      <c r="CL39" s="28" t="s">
        <v>727</v>
      </c>
      <c r="CM39" s="28" t="s">
        <v>728</v>
      </c>
      <c r="CN39" s="28" t="s">
        <v>729</v>
      </c>
    </row>
    <row r="40" spans="1:92" s="28" customFormat="1" ht="12.95" customHeight="1" x14ac:dyDescent="0.2">
      <c r="A40" s="27">
        <v>39</v>
      </c>
      <c r="B40" s="28">
        <v>59</v>
      </c>
      <c r="C40" s="28" t="s">
        <v>83</v>
      </c>
      <c r="D40" s="28">
        <v>11</v>
      </c>
      <c r="E40" s="28" t="s">
        <v>79</v>
      </c>
      <c r="F40" s="28">
        <v>1073228128</v>
      </c>
      <c r="G40" s="28" t="s">
        <v>81</v>
      </c>
      <c r="H40" s="28" t="s">
        <v>84</v>
      </c>
      <c r="I40" s="28" t="s">
        <v>161</v>
      </c>
      <c r="K40" s="28" t="s">
        <v>84</v>
      </c>
      <c r="L40" s="28" t="s">
        <v>82</v>
      </c>
      <c r="M40" s="28" t="s">
        <v>108</v>
      </c>
      <c r="O40" s="28" t="s">
        <v>87</v>
      </c>
      <c r="P40" s="28" t="s">
        <v>730</v>
      </c>
      <c r="Q40" s="28" t="s">
        <v>731</v>
      </c>
      <c r="R40" s="28" t="s">
        <v>84</v>
      </c>
      <c r="S40" s="28" t="s">
        <v>732</v>
      </c>
      <c r="T40" s="28" t="s">
        <v>82</v>
      </c>
      <c r="X40" s="28" t="s">
        <v>84</v>
      </c>
      <c r="Y40" s="28" t="s">
        <v>733</v>
      </c>
      <c r="Z40" s="28" t="s">
        <v>84</v>
      </c>
      <c r="AA40" s="28" t="s">
        <v>734</v>
      </c>
      <c r="AB40" s="28" t="s">
        <v>735</v>
      </c>
      <c r="AC40" s="28" t="s">
        <v>126</v>
      </c>
      <c r="AD40" s="28" t="s">
        <v>91</v>
      </c>
      <c r="AF40" s="28" t="s">
        <v>80</v>
      </c>
      <c r="AH40" s="28" t="s">
        <v>736</v>
      </c>
      <c r="AI40" s="28" t="s">
        <v>84</v>
      </c>
      <c r="AJ40" s="28" t="s">
        <v>80</v>
      </c>
      <c r="AK40" s="28" t="s">
        <v>93</v>
      </c>
      <c r="AL40" s="28" t="s">
        <v>93</v>
      </c>
      <c r="AM40" s="28" t="s">
        <v>82</v>
      </c>
      <c r="AN40" s="28" t="s">
        <v>84</v>
      </c>
      <c r="AO40" s="28" t="s">
        <v>84</v>
      </c>
      <c r="AP40" s="28" t="s">
        <v>84</v>
      </c>
      <c r="AQ40" s="28" t="s">
        <v>80</v>
      </c>
      <c r="AR40" s="28">
        <v>3</v>
      </c>
      <c r="AS40" s="28">
        <v>3</v>
      </c>
      <c r="AT40" s="28">
        <v>1</v>
      </c>
      <c r="AU40" s="28">
        <v>1</v>
      </c>
      <c r="AV40" s="28">
        <v>3</v>
      </c>
      <c r="AW40" s="28">
        <v>3</v>
      </c>
      <c r="AX40" s="28" t="s">
        <v>737</v>
      </c>
      <c r="AY40" s="28" t="s">
        <v>738</v>
      </c>
      <c r="AZ40" s="28" t="s">
        <v>739</v>
      </c>
      <c r="BA40" s="28" t="s">
        <v>99</v>
      </c>
      <c r="BB40" s="28" t="s">
        <v>80</v>
      </c>
      <c r="BC40" s="28" t="s">
        <v>740</v>
      </c>
      <c r="BD40" s="28" t="s">
        <v>84</v>
      </c>
      <c r="BE40" s="28" t="s">
        <v>741</v>
      </c>
      <c r="BG40" s="28" t="s">
        <v>82</v>
      </c>
      <c r="BI40" s="28" t="s">
        <v>84</v>
      </c>
      <c r="BJ40" s="28" t="s">
        <v>84</v>
      </c>
      <c r="BK40" s="28">
        <v>4</v>
      </c>
      <c r="BL40" s="28">
        <v>3</v>
      </c>
      <c r="BM40" s="28">
        <v>1</v>
      </c>
      <c r="BN40" s="28">
        <v>3</v>
      </c>
      <c r="BO40" s="28">
        <v>4</v>
      </c>
      <c r="BP40" s="28">
        <v>2</v>
      </c>
      <c r="BQ40" s="28">
        <v>2</v>
      </c>
      <c r="BR40" s="28">
        <v>2</v>
      </c>
      <c r="BS40" s="28">
        <v>1</v>
      </c>
      <c r="BT40" s="28">
        <v>3</v>
      </c>
      <c r="BU40" s="28">
        <v>2</v>
      </c>
      <c r="BV40" s="28">
        <v>3</v>
      </c>
      <c r="BW40" s="28" t="s">
        <v>99</v>
      </c>
      <c r="BX40" s="28" t="s">
        <v>84</v>
      </c>
      <c r="BZ40" s="28" t="s">
        <v>84</v>
      </c>
      <c r="CA40" s="28" t="s">
        <v>113</v>
      </c>
      <c r="CB40" s="28" t="s">
        <v>742</v>
      </c>
      <c r="CC40" s="28" t="s">
        <v>113</v>
      </c>
      <c r="CD40" s="28" t="s">
        <v>743</v>
      </c>
      <c r="CE40" s="28" t="s">
        <v>82</v>
      </c>
      <c r="CG40" s="28" t="s">
        <v>744</v>
      </c>
      <c r="CH40" s="28" t="s">
        <v>82</v>
      </c>
      <c r="CI40" s="28" t="s">
        <v>82</v>
      </c>
      <c r="CJ40" s="28" t="s">
        <v>82</v>
      </c>
      <c r="CL40" s="28" t="s">
        <v>745</v>
      </c>
      <c r="CM40" s="28" t="s">
        <v>746</v>
      </c>
      <c r="CN40" s="28" t="s">
        <v>747</v>
      </c>
    </row>
    <row r="41" spans="1:92" s="28" customFormat="1" ht="12.95" customHeight="1" x14ac:dyDescent="0.2">
      <c r="A41" s="27">
        <v>40</v>
      </c>
      <c r="B41" s="28">
        <v>60</v>
      </c>
      <c r="C41" s="28" t="s">
        <v>83</v>
      </c>
      <c r="D41" s="28">
        <v>11</v>
      </c>
      <c r="E41" s="28" t="s">
        <v>79</v>
      </c>
      <c r="F41" s="28">
        <v>1016054236</v>
      </c>
      <c r="G41" s="28" t="s">
        <v>81</v>
      </c>
      <c r="H41" s="28" t="s">
        <v>84</v>
      </c>
      <c r="I41" s="28" t="s">
        <v>161</v>
      </c>
      <c r="K41" s="28" t="s">
        <v>84</v>
      </c>
      <c r="L41" s="28" t="s">
        <v>82</v>
      </c>
      <c r="M41" s="28" t="s">
        <v>108</v>
      </c>
      <c r="N41" s="28" t="s">
        <v>748</v>
      </c>
      <c r="O41" s="28" t="s">
        <v>253</v>
      </c>
      <c r="P41" s="28" t="s">
        <v>749</v>
      </c>
      <c r="Q41" s="28" t="s">
        <v>750</v>
      </c>
      <c r="R41" s="28" t="s">
        <v>84</v>
      </c>
      <c r="S41" s="28" t="s">
        <v>751</v>
      </c>
      <c r="T41" s="28" t="s">
        <v>82</v>
      </c>
      <c r="X41" s="28" t="s">
        <v>84</v>
      </c>
      <c r="Y41" s="28" t="s">
        <v>752</v>
      </c>
      <c r="Z41" s="28" t="s">
        <v>84</v>
      </c>
      <c r="AA41" s="28" t="s">
        <v>753</v>
      </c>
      <c r="AB41" s="28" t="s">
        <v>754</v>
      </c>
      <c r="AC41" s="28" t="s">
        <v>140</v>
      </c>
      <c r="AD41" s="28" t="s">
        <v>91</v>
      </c>
      <c r="AF41" s="28" t="s">
        <v>80</v>
      </c>
      <c r="AH41" s="28" t="s">
        <v>755</v>
      </c>
      <c r="AI41" s="28" t="s">
        <v>84</v>
      </c>
      <c r="AJ41" s="28" t="s">
        <v>80</v>
      </c>
      <c r="AK41" s="28" t="s">
        <v>113</v>
      </c>
      <c r="AL41" s="28" t="s">
        <v>113</v>
      </c>
      <c r="AM41" s="28" t="s">
        <v>82</v>
      </c>
      <c r="AN41" s="28" t="s">
        <v>84</v>
      </c>
      <c r="AO41" s="28" t="s">
        <v>84</v>
      </c>
      <c r="AP41" s="28" t="s">
        <v>84</v>
      </c>
      <c r="AQ41" s="28" t="s">
        <v>80</v>
      </c>
      <c r="AR41" s="28">
        <v>3</v>
      </c>
      <c r="AS41" s="28">
        <v>2</v>
      </c>
      <c r="AT41" s="28">
        <v>3</v>
      </c>
      <c r="AU41" s="28">
        <v>1</v>
      </c>
      <c r="AV41" s="28">
        <v>4</v>
      </c>
      <c r="AW41" s="28">
        <v>3</v>
      </c>
      <c r="AX41" s="28" t="s">
        <v>756</v>
      </c>
      <c r="AY41" s="28" t="s">
        <v>757</v>
      </c>
      <c r="AZ41" s="28" t="s">
        <v>758</v>
      </c>
      <c r="BA41" s="28" t="s">
        <v>99</v>
      </c>
      <c r="BB41" s="28" t="s">
        <v>80</v>
      </c>
      <c r="BC41" s="28" t="s">
        <v>759</v>
      </c>
      <c r="BD41" s="28" t="s">
        <v>84</v>
      </c>
      <c r="BE41" s="28" t="s">
        <v>760</v>
      </c>
      <c r="BG41" s="28" t="s">
        <v>84</v>
      </c>
      <c r="BH41" s="28" t="s">
        <v>761</v>
      </c>
      <c r="BI41" s="28" t="s">
        <v>84</v>
      </c>
      <c r="BJ41" s="28" t="s">
        <v>84</v>
      </c>
      <c r="BK41" s="28">
        <v>4</v>
      </c>
      <c r="BL41" s="28">
        <v>1</v>
      </c>
      <c r="BM41" s="28">
        <v>1</v>
      </c>
      <c r="BN41" s="28">
        <v>1</v>
      </c>
      <c r="BO41" s="28">
        <v>3</v>
      </c>
      <c r="BP41" s="28">
        <v>2</v>
      </c>
      <c r="BQ41" s="28">
        <v>2</v>
      </c>
      <c r="BR41" s="28">
        <v>1</v>
      </c>
      <c r="BS41" s="28">
        <v>2</v>
      </c>
      <c r="BT41" s="28">
        <v>2</v>
      </c>
      <c r="BU41" s="28">
        <v>2</v>
      </c>
      <c r="BV41" s="28">
        <v>2</v>
      </c>
      <c r="BW41" s="28" t="s">
        <v>99</v>
      </c>
      <c r="BX41" s="28" t="s">
        <v>82</v>
      </c>
      <c r="BY41" s="28" t="s">
        <v>762</v>
      </c>
      <c r="BZ41" s="28" t="s">
        <v>84</v>
      </c>
      <c r="CA41" s="28" t="s">
        <v>113</v>
      </c>
      <c r="CB41" s="28" t="s">
        <v>763</v>
      </c>
      <c r="CC41" s="28" t="s">
        <v>113</v>
      </c>
      <c r="CD41" s="28" t="s">
        <v>764</v>
      </c>
      <c r="CE41" s="28" t="s">
        <v>84</v>
      </c>
      <c r="CH41" s="28" t="s">
        <v>84</v>
      </c>
      <c r="CI41" s="28" t="s">
        <v>84</v>
      </c>
      <c r="CJ41" s="28" t="s">
        <v>84</v>
      </c>
      <c r="CK41" s="28" t="s">
        <v>765</v>
      </c>
      <c r="CL41" s="28" t="s">
        <v>766</v>
      </c>
      <c r="CM41" s="28" t="s">
        <v>767</v>
      </c>
      <c r="CN41" s="28" t="s">
        <v>768</v>
      </c>
    </row>
    <row r="42" spans="1:92" s="28" customFormat="1" ht="12.95" customHeight="1" x14ac:dyDescent="0.2">
      <c r="A42" s="27">
        <v>41</v>
      </c>
      <c r="B42" s="28">
        <v>63</v>
      </c>
      <c r="C42" s="28" t="s">
        <v>83</v>
      </c>
      <c r="D42" s="28">
        <v>11</v>
      </c>
      <c r="E42" s="28" t="s">
        <v>79</v>
      </c>
      <c r="F42" s="28">
        <v>726072845</v>
      </c>
      <c r="G42" s="28" t="s">
        <v>81</v>
      </c>
      <c r="H42" s="28" t="s">
        <v>84</v>
      </c>
      <c r="I42" s="28" t="s">
        <v>107</v>
      </c>
      <c r="K42" s="28" t="s">
        <v>82</v>
      </c>
      <c r="L42" s="28" t="s">
        <v>84</v>
      </c>
      <c r="M42" s="28" t="s">
        <v>108</v>
      </c>
      <c r="N42" s="28" t="s">
        <v>769</v>
      </c>
      <c r="O42" s="28" t="s">
        <v>87</v>
      </c>
      <c r="P42" s="28">
        <v>60</v>
      </c>
      <c r="Q42" s="28" t="s">
        <v>770</v>
      </c>
      <c r="R42" s="28" t="s">
        <v>82</v>
      </c>
      <c r="T42" s="28" t="s">
        <v>82</v>
      </c>
      <c r="X42" s="28" t="s">
        <v>82</v>
      </c>
      <c r="Z42" s="28" t="s">
        <v>84</v>
      </c>
      <c r="AB42" s="28" t="s">
        <v>771</v>
      </c>
      <c r="AC42" s="28" t="s">
        <v>126</v>
      </c>
      <c r="AD42" s="28" t="s">
        <v>111</v>
      </c>
      <c r="AF42" s="28" t="s">
        <v>80</v>
      </c>
      <c r="AG42" s="28" t="s">
        <v>772</v>
      </c>
      <c r="AI42" s="28" t="s">
        <v>84</v>
      </c>
      <c r="AJ42" s="28" t="s">
        <v>80</v>
      </c>
      <c r="AK42" s="28" t="s">
        <v>100</v>
      </c>
      <c r="AL42" s="28" t="s">
        <v>100</v>
      </c>
      <c r="AM42" s="28" t="s">
        <v>84</v>
      </c>
      <c r="AN42" s="28" t="s">
        <v>82</v>
      </c>
      <c r="AO42" s="28" t="s">
        <v>84</v>
      </c>
      <c r="AP42" s="28" t="s">
        <v>84</v>
      </c>
      <c r="AQ42" s="28" t="s">
        <v>80</v>
      </c>
      <c r="AR42" s="28">
        <v>3</v>
      </c>
      <c r="AS42" s="28">
        <v>3</v>
      </c>
      <c r="AT42" s="28">
        <v>3</v>
      </c>
      <c r="AU42" s="28">
        <v>3</v>
      </c>
      <c r="AV42" s="28">
        <v>3</v>
      </c>
      <c r="AW42" s="28">
        <v>3</v>
      </c>
      <c r="AX42" s="28" t="s">
        <v>97</v>
      </c>
      <c r="AY42" s="28" t="s">
        <v>773</v>
      </c>
      <c r="AZ42" s="28" t="s">
        <v>774</v>
      </c>
      <c r="BA42" s="28" t="s">
        <v>97</v>
      </c>
      <c r="BB42" s="28" t="s">
        <v>84</v>
      </c>
      <c r="BC42" s="28" t="s">
        <v>775</v>
      </c>
      <c r="BD42" s="28" t="s">
        <v>82</v>
      </c>
      <c r="BF42" s="28" t="s">
        <v>776</v>
      </c>
      <c r="BG42" s="28" t="s">
        <v>82</v>
      </c>
      <c r="BI42" s="28" t="s">
        <v>82</v>
      </c>
      <c r="BJ42" s="28" t="s">
        <v>82</v>
      </c>
      <c r="BK42" s="28">
        <v>4</v>
      </c>
      <c r="BL42" s="28">
        <v>4</v>
      </c>
      <c r="BM42" s="28">
        <v>4</v>
      </c>
      <c r="BN42" s="28">
        <v>4</v>
      </c>
      <c r="BO42" s="28">
        <v>2</v>
      </c>
      <c r="BP42" s="28">
        <v>4</v>
      </c>
      <c r="BQ42" s="28">
        <v>2</v>
      </c>
      <c r="BR42" s="28">
        <v>4</v>
      </c>
      <c r="BS42" s="28">
        <v>3</v>
      </c>
      <c r="BT42" s="28">
        <v>4</v>
      </c>
      <c r="BU42" s="28">
        <v>3</v>
      </c>
      <c r="BV42" s="28">
        <v>4</v>
      </c>
      <c r="BW42" s="28" t="s">
        <v>97</v>
      </c>
      <c r="BX42" s="28" t="s">
        <v>106</v>
      </c>
      <c r="BZ42" s="28" t="s">
        <v>84</v>
      </c>
      <c r="CA42" s="28" t="s">
        <v>112</v>
      </c>
      <c r="CB42" s="28" t="s">
        <v>777</v>
      </c>
      <c r="CC42" s="28" t="s">
        <v>113</v>
      </c>
      <c r="CE42" s="28" t="s">
        <v>82</v>
      </c>
      <c r="CG42" s="28" t="s">
        <v>778</v>
      </c>
      <c r="CH42" s="28" t="s">
        <v>82</v>
      </c>
      <c r="CI42" s="28" t="s">
        <v>82</v>
      </c>
      <c r="CJ42" s="28" t="s">
        <v>82</v>
      </c>
      <c r="CM42" s="28" t="s">
        <v>779</v>
      </c>
      <c r="CN42" s="28" t="s">
        <v>780</v>
      </c>
    </row>
    <row r="43" spans="1:92" s="28" customFormat="1" ht="12.95" customHeight="1" x14ac:dyDescent="0.2">
      <c r="A43" s="27">
        <v>42</v>
      </c>
      <c r="B43" s="28">
        <v>64</v>
      </c>
      <c r="C43" s="28" t="s">
        <v>83</v>
      </c>
      <c r="D43" s="28">
        <v>11</v>
      </c>
      <c r="E43" s="28" t="s">
        <v>79</v>
      </c>
      <c r="F43" s="28">
        <v>151968887</v>
      </c>
      <c r="G43" s="28" t="s">
        <v>81</v>
      </c>
      <c r="H43" s="28" t="s">
        <v>84</v>
      </c>
      <c r="I43" s="28" t="s">
        <v>119</v>
      </c>
      <c r="J43" s="28" t="s">
        <v>137</v>
      </c>
      <c r="K43" s="28" t="s">
        <v>82</v>
      </c>
      <c r="L43" s="28" t="s">
        <v>84</v>
      </c>
      <c r="M43" s="28" t="s">
        <v>86</v>
      </c>
      <c r="N43" s="28" t="s">
        <v>781</v>
      </c>
      <c r="O43" s="28" t="s">
        <v>253</v>
      </c>
      <c r="P43" s="28">
        <v>20</v>
      </c>
      <c r="Q43" s="28" t="s">
        <v>782</v>
      </c>
      <c r="R43" s="28" t="s">
        <v>82</v>
      </c>
      <c r="T43" s="28" t="s">
        <v>82</v>
      </c>
      <c r="X43" s="28" t="s">
        <v>82</v>
      </c>
      <c r="Z43" s="28" t="s">
        <v>84</v>
      </c>
      <c r="AB43" s="28" t="s">
        <v>783</v>
      </c>
      <c r="AC43" s="28" t="s">
        <v>126</v>
      </c>
      <c r="AD43" s="28" t="s">
        <v>91</v>
      </c>
      <c r="AF43" s="28" t="s">
        <v>80</v>
      </c>
      <c r="AH43" s="28" t="s">
        <v>784</v>
      </c>
      <c r="AI43" s="28" t="s">
        <v>84</v>
      </c>
      <c r="AJ43" s="28" t="s">
        <v>80</v>
      </c>
      <c r="AK43" s="28" t="s">
        <v>100</v>
      </c>
      <c r="AL43" s="28" t="s">
        <v>113</v>
      </c>
      <c r="AM43" s="28" t="s">
        <v>82</v>
      </c>
      <c r="AN43" s="28" t="s">
        <v>84</v>
      </c>
      <c r="AO43" s="28" t="s">
        <v>84</v>
      </c>
      <c r="AP43" s="28" t="s">
        <v>84</v>
      </c>
      <c r="AQ43" s="28" t="s">
        <v>80</v>
      </c>
      <c r="AR43" s="28">
        <v>3</v>
      </c>
      <c r="AS43" s="28">
        <v>3</v>
      </c>
      <c r="AT43" s="28">
        <v>3</v>
      </c>
      <c r="AU43" s="28">
        <v>3</v>
      </c>
      <c r="AV43" s="28">
        <v>3</v>
      </c>
      <c r="AW43" s="28">
        <v>3</v>
      </c>
      <c r="AX43" s="28" t="s">
        <v>785</v>
      </c>
      <c r="BA43" s="28" t="s">
        <v>97</v>
      </c>
      <c r="BB43" s="28" t="s">
        <v>82</v>
      </c>
      <c r="BD43" s="28" t="s">
        <v>82</v>
      </c>
      <c r="BG43" s="28" t="s">
        <v>82</v>
      </c>
      <c r="BI43" s="28" t="s">
        <v>84</v>
      </c>
      <c r="BJ43" s="28" t="s">
        <v>84</v>
      </c>
      <c r="BK43" s="28">
        <v>4</v>
      </c>
      <c r="BL43" s="28">
        <v>2</v>
      </c>
      <c r="BM43" s="28">
        <v>1</v>
      </c>
      <c r="BN43" s="28">
        <v>3</v>
      </c>
      <c r="BO43" s="28">
        <v>3</v>
      </c>
      <c r="BP43" s="28">
        <v>3</v>
      </c>
      <c r="BQ43" s="28">
        <v>1</v>
      </c>
      <c r="BR43" s="28">
        <v>3</v>
      </c>
      <c r="BS43" s="28">
        <v>1</v>
      </c>
      <c r="BT43" s="28">
        <v>3</v>
      </c>
      <c r="BU43" s="28">
        <v>3</v>
      </c>
      <c r="BV43" s="28">
        <v>3</v>
      </c>
      <c r="BW43" s="28" t="s">
        <v>118</v>
      </c>
      <c r="BX43" s="28" t="s">
        <v>84</v>
      </c>
      <c r="BZ43" s="28" t="s">
        <v>84</v>
      </c>
      <c r="CA43" s="28" t="s">
        <v>100</v>
      </c>
      <c r="CC43" s="28" t="s">
        <v>113</v>
      </c>
      <c r="CE43" s="28" t="s">
        <v>82</v>
      </c>
      <c r="CH43" s="28" t="s">
        <v>84</v>
      </c>
      <c r="CI43" s="28" t="s">
        <v>84</v>
      </c>
      <c r="CJ43" s="28" t="s">
        <v>82</v>
      </c>
    </row>
    <row r="44" spans="1:92" s="28" customFormat="1" ht="12.95" customHeight="1" x14ac:dyDescent="0.2">
      <c r="A44" s="27">
        <v>43</v>
      </c>
      <c r="B44" s="28">
        <v>67</v>
      </c>
      <c r="C44" s="28" t="s">
        <v>83</v>
      </c>
      <c r="D44" s="28">
        <v>11</v>
      </c>
      <c r="E44" s="28" t="s">
        <v>79</v>
      </c>
      <c r="F44" s="28">
        <v>1397264050</v>
      </c>
      <c r="G44" s="28" t="s">
        <v>81</v>
      </c>
      <c r="H44" s="28" t="s">
        <v>84</v>
      </c>
      <c r="I44" s="28" t="s">
        <v>119</v>
      </c>
      <c r="J44" s="28" t="s">
        <v>786</v>
      </c>
      <c r="K44" s="28" t="s">
        <v>84</v>
      </c>
      <c r="L44" s="28" t="s">
        <v>84</v>
      </c>
      <c r="M44" s="28" t="s">
        <v>106</v>
      </c>
      <c r="O44" s="28" t="s">
        <v>195</v>
      </c>
      <c r="P44" s="28" t="s">
        <v>787</v>
      </c>
      <c r="Q44" s="28" t="s">
        <v>496</v>
      </c>
      <c r="R44" s="28" t="s">
        <v>82</v>
      </c>
      <c r="T44" s="28" t="s">
        <v>82</v>
      </c>
      <c r="X44" s="28" t="s">
        <v>82</v>
      </c>
      <c r="Y44" s="28" t="s">
        <v>788</v>
      </c>
      <c r="Z44" s="28" t="s">
        <v>82</v>
      </c>
      <c r="AA44" s="28" t="s">
        <v>789</v>
      </c>
      <c r="AC44" s="28" t="s">
        <v>641</v>
      </c>
      <c r="AD44" s="28" t="s">
        <v>91</v>
      </c>
      <c r="AF44" s="28" t="s">
        <v>80</v>
      </c>
      <c r="AH44" s="28" t="s">
        <v>790</v>
      </c>
      <c r="AI44" s="28" t="s">
        <v>84</v>
      </c>
      <c r="AJ44" s="28" t="s">
        <v>80</v>
      </c>
      <c r="AK44" s="28" t="s">
        <v>100</v>
      </c>
      <c r="AL44" s="28" t="s">
        <v>100</v>
      </c>
      <c r="AM44" s="28" t="s">
        <v>82</v>
      </c>
      <c r="AN44" s="28" t="s">
        <v>84</v>
      </c>
      <c r="AO44" s="28" t="s">
        <v>84</v>
      </c>
      <c r="AP44" s="28" t="s">
        <v>84</v>
      </c>
      <c r="AQ44" s="28" t="s">
        <v>80</v>
      </c>
      <c r="AR44" s="28">
        <v>3</v>
      </c>
      <c r="AS44" s="28">
        <v>2</v>
      </c>
      <c r="AT44" s="28">
        <v>3</v>
      </c>
      <c r="AU44" s="28">
        <v>1</v>
      </c>
      <c r="AV44" s="28">
        <v>3</v>
      </c>
      <c r="AW44" s="28">
        <v>1</v>
      </c>
      <c r="AX44" s="28" t="s">
        <v>791</v>
      </c>
      <c r="AY44" s="28" t="s">
        <v>792</v>
      </c>
      <c r="AZ44" s="28" t="s">
        <v>793</v>
      </c>
      <c r="BA44" s="28" t="s">
        <v>99</v>
      </c>
      <c r="BB44" s="28" t="s">
        <v>80</v>
      </c>
      <c r="BC44" s="28" t="s">
        <v>794</v>
      </c>
      <c r="BD44" s="28" t="s">
        <v>84</v>
      </c>
      <c r="BE44" s="28" t="s">
        <v>795</v>
      </c>
      <c r="BG44" s="28" t="s">
        <v>84</v>
      </c>
      <c r="BH44" s="28" t="s">
        <v>796</v>
      </c>
      <c r="BI44" s="28" t="s">
        <v>84</v>
      </c>
      <c r="BJ44" s="28" t="s">
        <v>84</v>
      </c>
      <c r="BK44" s="28">
        <v>5</v>
      </c>
      <c r="BL44" s="28">
        <v>1</v>
      </c>
      <c r="BM44" s="28">
        <v>1</v>
      </c>
      <c r="BN44" s="28">
        <v>1</v>
      </c>
      <c r="BO44" s="28">
        <v>3</v>
      </c>
      <c r="BP44" s="28">
        <v>2</v>
      </c>
      <c r="BQ44" s="28">
        <v>1</v>
      </c>
      <c r="BR44" s="28">
        <v>1</v>
      </c>
      <c r="BS44" s="28">
        <v>1</v>
      </c>
      <c r="BT44" s="28">
        <v>1</v>
      </c>
      <c r="BU44" s="28">
        <v>1</v>
      </c>
      <c r="BV44" s="28">
        <v>1</v>
      </c>
      <c r="BW44" s="28" t="s">
        <v>99</v>
      </c>
      <c r="BX44" s="28" t="s">
        <v>84</v>
      </c>
      <c r="BZ44" s="28" t="s">
        <v>84</v>
      </c>
      <c r="CA44" s="28" t="s">
        <v>100</v>
      </c>
      <c r="CB44" s="28" t="s">
        <v>797</v>
      </c>
      <c r="CC44" s="28" t="s">
        <v>100</v>
      </c>
      <c r="CD44" s="28" t="s">
        <v>798</v>
      </c>
      <c r="CE44" s="28" t="s">
        <v>84</v>
      </c>
      <c r="CF44" s="28" t="s">
        <v>799</v>
      </c>
      <c r="CH44" s="28" t="s">
        <v>84</v>
      </c>
      <c r="CI44" s="28" t="s">
        <v>84</v>
      </c>
      <c r="CJ44" s="28" t="s">
        <v>84</v>
      </c>
      <c r="CK44" s="28" t="s">
        <v>800</v>
      </c>
      <c r="CL44" s="28" t="s">
        <v>801</v>
      </c>
      <c r="CM44" s="28" t="s">
        <v>802</v>
      </c>
      <c r="CN44" s="28" t="s">
        <v>803</v>
      </c>
    </row>
    <row r="45" spans="1:92" s="33" customFormat="1" ht="12.95" customHeight="1" x14ac:dyDescent="0.2">
      <c r="A45" s="27">
        <v>44</v>
      </c>
      <c r="B45" s="33">
        <v>68</v>
      </c>
      <c r="D45" s="33">
        <v>7</v>
      </c>
      <c r="E45" s="33" t="s">
        <v>79</v>
      </c>
      <c r="F45" s="33">
        <v>341880777</v>
      </c>
      <c r="G45" s="33" t="s">
        <v>81</v>
      </c>
      <c r="H45" s="33" t="s">
        <v>84</v>
      </c>
      <c r="I45" s="33" t="s">
        <v>105</v>
      </c>
      <c r="K45" s="33" t="s">
        <v>84</v>
      </c>
      <c r="L45" s="33" t="s">
        <v>82</v>
      </c>
      <c r="M45" s="33" t="s">
        <v>86</v>
      </c>
      <c r="O45" s="33" t="s">
        <v>87</v>
      </c>
      <c r="P45" s="33" t="s">
        <v>804</v>
      </c>
      <c r="Q45" s="33" t="s">
        <v>805</v>
      </c>
      <c r="R45" s="33" t="s">
        <v>82</v>
      </c>
      <c r="T45" s="33" t="s">
        <v>82</v>
      </c>
      <c r="X45" s="33" t="s">
        <v>84</v>
      </c>
      <c r="Z45" s="33" t="s">
        <v>84</v>
      </c>
      <c r="AB45" s="33" t="s">
        <v>806</v>
      </c>
      <c r="AC45" s="33" t="s">
        <v>126</v>
      </c>
      <c r="AD45" s="33" t="s">
        <v>91</v>
      </c>
      <c r="AF45" s="33" t="s">
        <v>80</v>
      </c>
      <c r="AH45" s="33" t="s">
        <v>807</v>
      </c>
      <c r="AI45" s="33" t="s">
        <v>84</v>
      </c>
      <c r="AJ45" s="33" t="s">
        <v>80</v>
      </c>
      <c r="AK45" s="33" t="s">
        <v>113</v>
      </c>
      <c r="AL45" s="33" t="s">
        <v>113</v>
      </c>
      <c r="AM45" s="33" t="s">
        <v>82</v>
      </c>
      <c r="AN45" s="33" t="s">
        <v>84</v>
      </c>
      <c r="AO45" s="33" t="s">
        <v>84</v>
      </c>
      <c r="AP45" s="33" t="s">
        <v>84</v>
      </c>
      <c r="AQ45" s="33" t="s">
        <v>80</v>
      </c>
      <c r="AR45" s="33">
        <v>2</v>
      </c>
      <c r="AS45" s="33">
        <v>3</v>
      </c>
      <c r="AT45" s="33">
        <v>3</v>
      </c>
      <c r="AU45" s="33">
        <v>2</v>
      </c>
      <c r="AV45" s="33">
        <v>3</v>
      </c>
      <c r="AW45" s="33">
        <v>2</v>
      </c>
      <c r="AX45" s="33" t="s">
        <v>808</v>
      </c>
      <c r="AY45" s="33" t="s">
        <v>809</v>
      </c>
      <c r="AZ45" s="33" t="s">
        <v>810</v>
      </c>
      <c r="BA45" s="33" t="s">
        <v>97</v>
      </c>
      <c r="BB45" s="33" t="s">
        <v>84</v>
      </c>
      <c r="BD45" s="33" t="s">
        <v>80</v>
      </c>
      <c r="BG45" s="33" t="s">
        <v>80</v>
      </c>
      <c r="BI45" s="33" t="s">
        <v>80</v>
      </c>
      <c r="BJ45" s="33" t="s">
        <v>80</v>
      </c>
      <c r="BZ45" s="33" t="s">
        <v>80</v>
      </c>
      <c r="CE45" s="33" t="s">
        <v>80</v>
      </c>
      <c r="CH45" s="33" t="s">
        <v>80</v>
      </c>
      <c r="CI45" s="33" t="s">
        <v>80</v>
      </c>
      <c r="CJ45" s="33" t="s">
        <v>80</v>
      </c>
    </row>
    <row r="46" spans="1:92" s="28" customFormat="1" ht="12.95" customHeight="1" x14ac:dyDescent="0.2">
      <c r="A46" s="27">
        <v>45</v>
      </c>
      <c r="B46" s="28">
        <v>71</v>
      </c>
      <c r="C46" s="28" t="s">
        <v>83</v>
      </c>
      <c r="D46" s="28">
        <v>11</v>
      </c>
      <c r="E46" s="28" t="s">
        <v>79</v>
      </c>
      <c r="F46" s="28">
        <v>28744371</v>
      </c>
      <c r="G46" s="28" t="s">
        <v>81</v>
      </c>
      <c r="H46" s="28" t="s">
        <v>84</v>
      </c>
      <c r="I46" s="28" t="s">
        <v>161</v>
      </c>
      <c r="K46" s="28" t="s">
        <v>84</v>
      </c>
      <c r="L46" s="28" t="s">
        <v>82</v>
      </c>
      <c r="M46" s="28" t="s">
        <v>108</v>
      </c>
      <c r="O46" s="28" t="s">
        <v>290</v>
      </c>
      <c r="P46" s="28">
        <v>50</v>
      </c>
      <c r="Q46" s="28" t="s">
        <v>811</v>
      </c>
      <c r="R46" s="28" t="s">
        <v>82</v>
      </c>
      <c r="T46" s="28" t="s">
        <v>84</v>
      </c>
      <c r="U46" s="28" t="s">
        <v>119</v>
      </c>
      <c r="V46" s="28" t="s">
        <v>812</v>
      </c>
      <c r="W46" s="28" t="s">
        <v>813</v>
      </c>
      <c r="X46" s="28" t="s">
        <v>80</v>
      </c>
      <c r="Z46" s="28" t="s">
        <v>84</v>
      </c>
      <c r="AC46" s="28" t="s">
        <v>140</v>
      </c>
      <c r="AD46" s="28" t="s">
        <v>91</v>
      </c>
      <c r="AF46" s="28" t="s">
        <v>80</v>
      </c>
      <c r="AH46" s="28" t="s">
        <v>814</v>
      </c>
      <c r="AI46" s="28" t="s">
        <v>84</v>
      </c>
      <c r="AJ46" s="28" t="s">
        <v>80</v>
      </c>
      <c r="AK46" s="28" t="s">
        <v>93</v>
      </c>
      <c r="AL46" s="28" t="s">
        <v>93</v>
      </c>
      <c r="AM46" s="28" t="s">
        <v>82</v>
      </c>
      <c r="AN46" s="28" t="s">
        <v>84</v>
      </c>
      <c r="AO46" s="28" t="s">
        <v>84</v>
      </c>
      <c r="AP46" s="28" t="s">
        <v>84</v>
      </c>
      <c r="AQ46" s="28" t="s">
        <v>80</v>
      </c>
      <c r="AR46" s="28">
        <v>5</v>
      </c>
      <c r="AS46" s="28">
        <v>5</v>
      </c>
      <c r="AT46" s="28">
        <v>5</v>
      </c>
      <c r="AU46" s="28">
        <v>5</v>
      </c>
      <c r="AV46" s="28">
        <v>3</v>
      </c>
      <c r="AW46" s="28">
        <v>3</v>
      </c>
      <c r="AX46" s="28" t="s">
        <v>815</v>
      </c>
      <c r="AY46" s="28" t="s">
        <v>816</v>
      </c>
      <c r="AZ46" s="28" t="s">
        <v>423</v>
      </c>
      <c r="BA46" s="28" t="s">
        <v>99</v>
      </c>
      <c r="BB46" s="28" t="s">
        <v>80</v>
      </c>
      <c r="BC46" s="28" t="s">
        <v>817</v>
      </c>
      <c r="BD46" s="28" t="s">
        <v>84</v>
      </c>
      <c r="BG46" s="28" t="s">
        <v>84</v>
      </c>
      <c r="BH46" s="28" t="s">
        <v>818</v>
      </c>
      <c r="BI46" s="28" t="s">
        <v>84</v>
      </c>
      <c r="BJ46" s="28" t="s">
        <v>84</v>
      </c>
      <c r="BK46" s="28">
        <v>5</v>
      </c>
      <c r="BL46" s="28">
        <v>5</v>
      </c>
      <c r="BM46" s="28">
        <v>1</v>
      </c>
      <c r="BN46" s="28">
        <v>5</v>
      </c>
      <c r="BO46" s="28">
        <v>1</v>
      </c>
      <c r="BP46" s="28">
        <v>5</v>
      </c>
      <c r="BQ46" s="28">
        <v>1</v>
      </c>
      <c r="BR46" s="28">
        <v>5</v>
      </c>
      <c r="BS46" s="28">
        <v>1</v>
      </c>
      <c r="BT46" s="28">
        <v>5</v>
      </c>
      <c r="BU46" s="28">
        <v>1</v>
      </c>
      <c r="BV46" s="28">
        <v>5</v>
      </c>
      <c r="BW46" s="28" t="s">
        <v>118</v>
      </c>
      <c r="BX46" s="28" t="s">
        <v>84</v>
      </c>
      <c r="BZ46" s="28" t="s">
        <v>84</v>
      </c>
      <c r="CA46" s="28" t="s">
        <v>93</v>
      </c>
      <c r="CC46" s="28" t="s">
        <v>113</v>
      </c>
      <c r="CE46" s="28" t="s">
        <v>84</v>
      </c>
      <c r="CH46" s="28" t="s">
        <v>84</v>
      </c>
      <c r="CI46" s="28" t="s">
        <v>84</v>
      </c>
      <c r="CJ46" s="28" t="s">
        <v>84</v>
      </c>
    </row>
    <row r="47" spans="1:92" s="28" customFormat="1" ht="12.95" customHeight="1" x14ac:dyDescent="0.2">
      <c r="A47" s="27">
        <v>46</v>
      </c>
      <c r="B47" s="28">
        <v>75</v>
      </c>
      <c r="C47" s="28" t="s">
        <v>83</v>
      </c>
      <c r="D47" s="28">
        <v>11</v>
      </c>
      <c r="E47" s="28" t="s">
        <v>79</v>
      </c>
      <c r="F47" s="28">
        <v>359055758</v>
      </c>
      <c r="G47" s="28" t="s">
        <v>81</v>
      </c>
      <c r="H47" s="28" t="s">
        <v>84</v>
      </c>
      <c r="I47" s="28" t="s">
        <v>119</v>
      </c>
      <c r="J47" s="28" t="s">
        <v>819</v>
      </c>
      <c r="K47" s="28" t="s">
        <v>82</v>
      </c>
      <c r="L47" s="28" t="s">
        <v>84</v>
      </c>
      <c r="M47" s="28" t="s">
        <v>108</v>
      </c>
      <c r="O47" s="28" t="s">
        <v>253</v>
      </c>
      <c r="P47" s="28" t="s">
        <v>820</v>
      </c>
      <c r="Q47" s="28" t="s">
        <v>821</v>
      </c>
      <c r="R47" s="28" t="s">
        <v>84</v>
      </c>
      <c r="S47" s="28" t="s">
        <v>822</v>
      </c>
      <c r="T47" s="28" t="s">
        <v>84</v>
      </c>
      <c r="U47" s="28" t="s">
        <v>119</v>
      </c>
      <c r="V47" s="28" t="s">
        <v>823</v>
      </c>
      <c r="W47" s="28" t="s">
        <v>824</v>
      </c>
      <c r="X47" s="28" t="s">
        <v>80</v>
      </c>
      <c r="Z47" s="28" t="s">
        <v>84</v>
      </c>
      <c r="AA47" s="28" t="s">
        <v>825</v>
      </c>
      <c r="AB47" s="28" t="s">
        <v>826</v>
      </c>
      <c r="AC47" s="28" t="s">
        <v>126</v>
      </c>
      <c r="AD47" s="28" t="s">
        <v>111</v>
      </c>
      <c r="AF47" s="28" t="s">
        <v>80</v>
      </c>
      <c r="AG47" s="28" t="s">
        <v>827</v>
      </c>
      <c r="AI47" s="28" t="s">
        <v>84</v>
      </c>
      <c r="AJ47" s="28" t="s">
        <v>80</v>
      </c>
      <c r="AK47" s="28" t="s">
        <v>100</v>
      </c>
      <c r="AL47" s="28" t="s">
        <v>100</v>
      </c>
      <c r="AM47" s="28" t="s">
        <v>82</v>
      </c>
      <c r="AN47" s="28" t="s">
        <v>84</v>
      </c>
      <c r="AO47" s="28" t="s">
        <v>84</v>
      </c>
      <c r="AP47" s="28" t="s">
        <v>84</v>
      </c>
      <c r="AQ47" s="28" t="s">
        <v>80</v>
      </c>
      <c r="AR47" s="28">
        <v>3</v>
      </c>
      <c r="AS47" s="28">
        <v>3</v>
      </c>
      <c r="AT47" s="28">
        <v>2</v>
      </c>
      <c r="AU47" s="28">
        <v>1</v>
      </c>
      <c r="AV47" s="28">
        <v>3</v>
      </c>
      <c r="AW47" s="28">
        <v>3</v>
      </c>
      <c r="AX47" s="28" t="s">
        <v>97</v>
      </c>
      <c r="AY47" s="28" t="s">
        <v>828</v>
      </c>
      <c r="AZ47" s="28" t="s">
        <v>829</v>
      </c>
      <c r="BA47" s="28" t="s">
        <v>97</v>
      </c>
      <c r="BB47" s="28" t="s">
        <v>84</v>
      </c>
      <c r="BC47" s="28" t="s">
        <v>830</v>
      </c>
      <c r="BD47" s="28" t="s">
        <v>82</v>
      </c>
      <c r="BF47" s="28" t="s">
        <v>831</v>
      </c>
      <c r="BG47" s="28" t="s">
        <v>82</v>
      </c>
      <c r="BI47" s="28" t="s">
        <v>84</v>
      </c>
      <c r="BJ47" s="28" t="s">
        <v>84</v>
      </c>
      <c r="BK47" s="28">
        <v>4</v>
      </c>
      <c r="BL47" s="28">
        <v>2</v>
      </c>
      <c r="BM47" s="28">
        <v>4</v>
      </c>
      <c r="BN47" s="28">
        <v>2</v>
      </c>
      <c r="BO47" s="28">
        <v>3</v>
      </c>
      <c r="BP47" s="28">
        <v>2</v>
      </c>
      <c r="BQ47" s="28">
        <v>2</v>
      </c>
      <c r="BR47" s="28">
        <v>2</v>
      </c>
      <c r="BS47" s="28">
        <v>2</v>
      </c>
      <c r="BT47" s="28">
        <v>2</v>
      </c>
      <c r="BU47" s="28">
        <v>3</v>
      </c>
      <c r="BV47" s="28">
        <v>2</v>
      </c>
      <c r="BW47" s="28" t="s">
        <v>97</v>
      </c>
      <c r="BX47" s="28" t="s">
        <v>82</v>
      </c>
      <c r="BY47" s="28" t="s">
        <v>832</v>
      </c>
      <c r="BZ47" s="28" t="s">
        <v>82</v>
      </c>
      <c r="CA47" s="28" t="s">
        <v>100</v>
      </c>
      <c r="CB47" s="28" t="s">
        <v>833</v>
      </c>
      <c r="CC47" s="28" t="s">
        <v>113</v>
      </c>
      <c r="CD47" s="28" t="s">
        <v>834</v>
      </c>
      <c r="CE47" s="28" t="s">
        <v>82</v>
      </c>
      <c r="CG47" s="28" t="s">
        <v>835</v>
      </c>
      <c r="CH47" s="28" t="s">
        <v>84</v>
      </c>
      <c r="CI47" s="28" t="s">
        <v>84</v>
      </c>
      <c r="CJ47" s="28" t="s">
        <v>84</v>
      </c>
      <c r="CK47" s="28" t="s">
        <v>836</v>
      </c>
      <c r="CL47" s="28" t="s">
        <v>837</v>
      </c>
      <c r="CN47" s="28" t="s">
        <v>838</v>
      </c>
    </row>
    <row r="48" spans="1:92" s="28" customFormat="1" ht="12.95" customHeight="1" x14ac:dyDescent="0.2">
      <c r="A48" s="27">
        <v>47</v>
      </c>
      <c r="B48" s="28">
        <v>76</v>
      </c>
      <c r="C48" s="28" t="s">
        <v>83</v>
      </c>
      <c r="D48" s="28">
        <v>11</v>
      </c>
      <c r="E48" s="28" t="s">
        <v>79</v>
      </c>
      <c r="F48" s="28">
        <v>383336714</v>
      </c>
      <c r="G48" s="28" t="s">
        <v>81</v>
      </c>
      <c r="H48" s="28" t="s">
        <v>84</v>
      </c>
      <c r="I48" s="28" t="s">
        <v>336</v>
      </c>
      <c r="K48" s="28" t="s">
        <v>84</v>
      </c>
      <c r="L48" s="28" t="s">
        <v>84</v>
      </c>
      <c r="M48" s="28" t="s">
        <v>86</v>
      </c>
      <c r="O48" s="28" t="s">
        <v>87</v>
      </c>
      <c r="P48" s="28">
        <v>12</v>
      </c>
      <c r="Q48" s="28" t="s">
        <v>839</v>
      </c>
      <c r="R48" s="28" t="s">
        <v>82</v>
      </c>
      <c r="T48" s="28" t="s">
        <v>84</v>
      </c>
      <c r="U48" s="28" t="s">
        <v>119</v>
      </c>
      <c r="V48" s="28" t="s">
        <v>840</v>
      </c>
      <c r="W48" s="28" t="s">
        <v>841</v>
      </c>
      <c r="X48" s="28" t="s">
        <v>80</v>
      </c>
      <c r="Z48" s="28" t="s">
        <v>84</v>
      </c>
      <c r="AB48" s="28" t="s">
        <v>842</v>
      </c>
      <c r="AC48" s="28" t="s">
        <v>126</v>
      </c>
      <c r="AD48" s="28" t="s">
        <v>91</v>
      </c>
      <c r="AF48" s="28" t="s">
        <v>80</v>
      </c>
      <c r="AH48" s="28" t="s">
        <v>843</v>
      </c>
      <c r="AI48" s="28" t="s">
        <v>84</v>
      </c>
      <c r="AJ48" s="28" t="s">
        <v>80</v>
      </c>
      <c r="AK48" s="28" t="s">
        <v>113</v>
      </c>
      <c r="AL48" s="28" t="s">
        <v>113</v>
      </c>
      <c r="AM48" s="28" t="s">
        <v>82</v>
      </c>
      <c r="AN48" s="28" t="s">
        <v>84</v>
      </c>
      <c r="AO48" s="28" t="s">
        <v>84</v>
      </c>
      <c r="AP48" s="28" t="s">
        <v>84</v>
      </c>
      <c r="AQ48" s="28" t="s">
        <v>80</v>
      </c>
      <c r="AR48" s="28">
        <v>3</v>
      </c>
      <c r="AS48" s="28">
        <v>3</v>
      </c>
      <c r="AT48" s="28">
        <v>2</v>
      </c>
      <c r="AU48" s="28">
        <v>2</v>
      </c>
      <c r="AV48" s="28">
        <v>3</v>
      </c>
      <c r="AW48" s="28">
        <v>3</v>
      </c>
      <c r="AX48" s="28" t="s">
        <v>844</v>
      </c>
      <c r="AY48" s="28" t="s">
        <v>845</v>
      </c>
      <c r="AZ48" s="28" t="s">
        <v>846</v>
      </c>
      <c r="BA48" s="28" t="s">
        <v>99</v>
      </c>
      <c r="BB48" s="28" t="s">
        <v>80</v>
      </c>
      <c r="BC48" s="28" t="s">
        <v>847</v>
      </c>
      <c r="BD48" s="28" t="s">
        <v>82</v>
      </c>
      <c r="BF48" s="28" t="s">
        <v>848</v>
      </c>
      <c r="BG48" s="28" t="s">
        <v>84</v>
      </c>
      <c r="BH48" s="28" t="s">
        <v>849</v>
      </c>
      <c r="BI48" s="28" t="s">
        <v>84</v>
      </c>
      <c r="BJ48" s="28" t="s">
        <v>84</v>
      </c>
      <c r="BK48" s="28">
        <v>4</v>
      </c>
      <c r="BL48" s="28">
        <v>3</v>
      </c>
      <c r="BM48" s="28">
        <v>3</v>
      </c>
      <c r="BN48" s="28">
        <v>2</v>
      </c>
      <c r="BO48" s="28">
        <v>4</v>
      </c>
      <c r="BP48" s="28">
        <v>3</v>
      </c>
      <c r="BQ48" s="28">
        <v>2</v>
      </c>
      <c r="BR48" s="28">
        <v>1</v>
      </c>
      <c r="BS48" s="28">
        <v>2</v>
      </c>
      <c r="BT48" s="28">
        <v>1</v>
      </c>
      <c r="BU48" s="28">
        <v>3</v>
      </c>
      <c r="BV48" s="28">
        <v>1</v>
      </c>
      <c r="BW48" s="28" t="s">
        <v>118</v>
      </c>
      <c r="BX48" s="28" t="s">
        <v>84</v>
      </c>
      <c r="BZ48" s="28" t="s">
        <v>84</v>
      </c>
      <c r="CA48" s="28" t="s">
        <v>100</v>
      </c>
      <c r="CB48" s="28" t="s">
        <v>850</v>
      </c>
      <c r="CC48" s="28" t="s">
        <v>113</v>
      </c>
      <c r="CD48" s="28" t="s">
        <v>851</v>
      </c>
      <c r="CE48" s="28" t="s">
        <v>82</v>
      </c>
      <c r="CG48" s="28" t="s">
        <v>852</v>
      </c>
      <c r="CH48" s="28" t="s">
        <v>82</v>
      </c>
      <c r="CI48" s="28" t="s">
        <v>82</v>
      </c>
      <c r="CJ48" s="28" t="s">
        <v>82</v>
      </c>
      <c r="CL48" s="28" t="s">
        <v>853</v>
      </c>
      <c r="CM48" s="28" t="s">
        <v>854</v>
      </c>
      <c r="CN48" s="28" t="s">
        <v>855</v>
      </c>
    </row>
    <row r="49" spans="1:119" s="28" customFormat="1" ht="12.95" customHeight="1" x14ac:dyDescent="0.2">
      <c r="A49" s="27">
        <v>48</v>
      </c>
      <c r="B49" s="28">
        <v>77</v>
      </c>
      <c r="C49" s="28" t="s">
        <v>83</v>
      </c>
      <c r="D49" s="28">
        <v>11</v>
      </c>
      <c r="E49" s="28" t="s">
        <v>79</v>
      </c>
      <c r="F49" s="28">
        <v>178729898</v>
      </c>
      <c r="G49" s="28" t="s">
        <v>81</v>
      </c>
      <c r="H49" s="28" t="s">
        <v>84</v>
      </c>
      <c r="I49" s="28" t="s">
        <v>107</v>
      </c>
      <c r="K49" s="28" t="s">
        <v>84</v>
      </c>
      <c r="L49" s="28" t="s">
        <v>84</v>
      </c>
      <c r="M49" s="28" t="s">
        <v>108</v>
      </c>
      <c r="O49" s="28" t="s">
        <v>253</v>
      </c>
      <c r="P49" s="28">
        <v>10</v>
      </c>
      <c r="Q49" s="28" t="s">
        <v>856</v>
      </c>
      <c r="R49" s="28" t="s">
        <v>82</v>
      </c>
      <c r="T49" s="28" t="s">
        <v>82</v>
      </c>
      <c r="X49" s="28" t="s">
        <v>82</v>
      </c>
      <c r="Z49" s="28" t="s">
        <v>84</v>
      </c>
      <c r="AB49" s="28" t="s">
        <v>857</v>
      </c>
      <c r="AC49" s="28" t="s">
        <v>126</v>
      </c>
      <c r="AD49" s="28" t="s">
        <v>91</v>
      </c>
      <c r="AF49" s="28" t="s">
        <v>80</v>
      </c>
      <c r="AH49" s="28" t="s">
        <v>858</v>
      </c>
      <c r="AI49" s="28" t="s">
        <v>84</v>
      </c>
      <c r="AJ49" s="28" t="s">
        <v>80</v>
      </c>
      <c r="AK49" s="28" t="s">
        <v>113</v>
      </c>
      <c r="AL49" s="28" t="s">
        <v>113</v>
      </c>
      <c r="AM49" s="28" t="s">
        <v>82</v>
      </c>
      <c r="AN49" s="28" t="s">
        <v>84</v>
      </c>
      <c r="AO49" s="28" t="s">
        <v>84</v>
      </c>
      <c r="AP49" s="28" t="s">
        <v>84</v>
      </c>
      <c r="AQ49" s="28" t="s">
        <v>80</v>
      </c>
      <c r="AR49" s="28">
        <v>4</v>
      </c>
      <c r="AS49" s="28">
        <v>5</v>
      </c>
      <c r="AT49" s="28">
        <v>4</v>
      </c>
      <c r="AU49" s="28">
        <v>5</v>
      </c>
      <c r="AV49" s="28">
        <v>4</v>
      </c>
      <c r="AW49" s="28">
        <v>5</v>
      </c>
      <c r="AX49" s="28" t="s">
        <v>374</v>
      </c>
      <c r="AY49" s="28" t="s">
        <v>859</v>
      </c>
      <c r="AZ49" s="28" t="s">
        <v>860</v>
      </c>
      <c r="BA49" s="28" t="s">
        <v>97</v>
      </c>
      <c r="BB49" s="28" t="s">
        <v>84</v>
      </c>
      <c r="BC49" s="28" t="s">
        <v>861</v>
      </c>
      <c r="BD49" s="28" t="s">
        <v>82</v>
      </c>
      <c r="BF49" s="28" t="s">
        <v>862</v>
      </c>
      <c r="BG49" s="28" t="s">
        <v>82</v>
      </c>
      <c r="BI49" s="28" t="s">
        <v>84</v>
      </c>
      <c r="BJ49" s="28" t="s">
        <v>84</v>
      </c>
      <c r="BK49" s="28">
        <v>4</v>
      </c>
      <c r="BL49" s="28">
        <v>5</v>
      </c>
      <c r="BM49" s="28">
        <v>4</v>
      </c>
      <c r="BN49" s="28">
        <v>5</v>
      </c>
      <c r="BO49" s="28">
        <v>3</v>
      </c>
      <c r="BP49" s="28">
        <v>4</v>
      </c>
      <c r="BQ49" s="28">
        <v>5</v>
      </c>
      <c r="BR49" s="28">
        <v>5</v>
      </c>
      <c r="BS49" s="28">
        <v>4</v>
      </c>
      <c r="BT49" s="28">
        <v>5</v>
      </c>
      <c r="BU49" s="28">
        <v>3</v>
      </c>
      <c r="BV49" s="28">
        <v>5</v>
      </c>
      <c r="BW49" s="28" t="s">
        <v>118</v>
      </c>
      <c r="BX49" s="28" t="s">
        <v>106</v>
      </c>
      <c r="BZ49" s="28" t="s">
        <v>84</v>
      </c>
      <c r="CA49" s="28" t="s">
        <v>100</v>
      </c>
      <c r="CB49" s="28" t="s">
        <v>863</v>
      </c>
      <c r="CC49" s="28" t="s">
        <v>100</v>
      </c>
      <c r="CD49" s="28" t="s">
        <v>84</v>
      </c>
      <c r="CE49" s="28" t="s">
        <v>82</v>
      </c>
      <c r="CH49" s="28" t="s">
        <v>84</v>
      </c>
      <c r="CI49" s="28" t="s">
        <v>84</v>
      </c>
      <c r="CJ49" s="28" t="s">
        <v>82</v>
      </c>
      <c r="CM49" s="28" t="s">
        <v>864</v>
      </c>
      <c r="CN49" s="28" t="s">
        <v>865</v>
      </c>
    </row>
    <row r="50" spans="1:119" s="28" customFormat="1" ht="12.95" customHeight="1" x14ac:dyDescent="0.2">
      <c r="A50" s="27">
        <v>49</v>
      </c>
      <c r="B50" s="28">
        <v>78</v>
      </c>
      <c r="C50" s="28" t="s">
        <v>83</v>
      </c>
      <c r="D50" s="28">
        <v>11</v>
      </c>
      <c r="E50" s="28" t="s">
        <v>79</v>
      </c>
      <c r="F50" s="28">
        <v>21431375</v>
      </c>
      <c r="G50" s="28" t="s">
        <v>81</v>
      </c>
      <c r="H50" s="28" t="s">
        <v>84</v>
      </c>
      <c r="I50" s="28" t="s">
        <v>119</v>
      </c>
      <c r="J50" s="28" t="s">
        <v>866</v>
      </c>
      <c r="K50" s="28" t="s">
        <v>84</v>
      </c>
      <c r="L50" s="28" t="s">
        <v>84</v>
      </c>
      <c r="M50" s="28" t="s">
        <v>106</v>
      </c>
      <c r="O50" s="28" t="s">
        <v>87</v>
      </c>
      <c r="P50" s="28">
        <v>7</v>
      </c>
      <c r="Q50" s="28" t="s">
        <v>867</v>
      </c>
      <c r="R50" s="28" t="s">
        <v>82</v>
      </c>
      <c r="T50" s="28" t="s">
        <v>82</v>
      </c>
      <c r="X50" s="28" t="s">
        <v>82</v>
      </c>
      <c r="Z50" s="28" t="s">
        <v>84</v>
      </c>
      <c r="AB50" s="28" t="s">
        <v>868</v>
      </c>
      <c r="AC50" s="28" t="s">
        <v>126</v>
      </c>
      <c r="AD50" s="28" t="s">
        <v>111</v>
      </c>
      <c r="AF50" s="28" t="s">
        <v>80</v>
      </c>
      <c r="AG50" s="28" t="s">
        <v>869</v>
      </c>
      <c r="AI50" s="28" t="s">
        <v>84</v>
      </c>
      <c r="AJ50" s="28" t="s">
        <v>80</v>
      </c>
      <c r="AK50" s="28" t="s">
        <v>100</v>
      </c>
      <c r="AL50" s="28" t="s">
        <v>100</v>
      </c>
      <c r="AM50" s="28" t="s">
        <v>82</v>
      </c>
      <c r="AN50" s="28" t="s">
        <v>84</v>
      </c>
      <c r="AO50" s="28" t="s">
        <v>84</v>
      </c>
      <c r="AP50" s="28" t="s">
        <v>84</v>
      </c>
      <c r="AQ50" s="28" t="s">
        <v>80</v>
      </c>
      <c r="AR50" s="28">
        <v>4</v>
      </c>
      <c r="AS50" s="28">
        <v>1</v>
      </c>
      <c r="AT50" s="28">
        <v>3</v>
      </c>
      <c r="AU50" s="28">
        <v>1</v>
      </c>
      <c r="AV50" s="28">
        <v>5</v>
      </c>
      <c r="AW50" s="28">
        <v>1</v>
      </c>
      <c r="AX50" s="28" t="s">
        <v>870</v>
      </c>
      <c r="AY50" s="28" t="s">
        <v>871</v>
      </c>
      <c r="AZ50" s="28" t="s">
        <v>872</v>
      </c>
      <c r="BA50" s="28" t="s">
        <v>99</v>
      </c>
      <c r="BB50" s="28" t="s">
        <v>80</v>
      </c>
      <c r="BC50" s="28" t="s">
        <v>873</v>
      </c>
      <c r="BD50" s="28" t="s">
        <v>82</v>
      </c>
      <c r="BG50" s="28" t="s">
        <v>82</v>
      </c>
      <c r="BI50" s="28" t="s">
        <v>84</v>
      </c>
      <c r="BJ50" s="28" t="s">
        <v>84</v>
      </c>
      <c r="BK50" s="28">
        <v>2</v>
      </c>
      <c r="BL50" s="28">
        <v>1</v>
      </c>
      <c r="BM50" s="28">
        <v>1</v>
      </c>
      <c r="BN50" s="28">
        <v>1</v>
      </c>
      <c r="BO50" s="28">
        <v>3</v>
      </c>
      <c r="BP50" s="28">
        <v>2</v>
      </c>
      <c r="BQ50" s="28">
        <v>1</v>
      </c>
      <c r="BR50" s="28">
        <v>1</v>
      </c>
      <c r="BS50" s="28">
        <v>3</v>
      </c>
      <c r="BT50" s="28">
        <v>3</v>
      </c>
      <c r="BU50" s="28">
        <v>2</v>
      </c>
      <c r="BV50" s="28">
        <v>2</v>
      </c>
      <c r="BW50" s="28" t="s">
        <v>99</v>
      </c>
      <c r="BX50" s="28" t="s">
        <v>84</v>
      </c>
      <c r="BZ50" s="28" t="s">
        <v>84</v>
      </c>
      <c r="CA50" s="28" t="s">
        <v>113</v>
      </c>
      <c r="CB50" s="28" t="s">
        <v>874</v>
      </c>
      <c r="CC50" s="28" t="s">
        <v>100</v>
      </c>
      <c r="CD50" s="28" t="s">
        <v>875</v>
      </c>
      <c r="CE50" s="28" t="s">
        <v>82</v>
      </c>
      <c r="CH50" s="28" t="s">
        <v>82</v>
      </c>
      <c r="CI50" s="28" t="s">
        <v>82</v>
      </c>
      <c r="CJ50" s="28" t="s">
        <v>84</v>
      </c>
      <c r="CK50" s="28" t="s">
        <v>876</v>
      </c>
      <c r="CL50" s="28" t="s">
        <v>877</v>
      </c>
      <c r="CM50" s="28" t="s">
        <v>878</v>
      </c>
      <c r="CN50" s="28" t="s">
        <v>879</v>
      </c>
    </row>
    <row r="51" spans="1:119" s="27" customFormat="1" ht="12.95" customHeight="1" x14ac:dyDescent="0.2">
      <c r="A51" s="27">
        <v>50</v>
      </c>
      <c r="B51" s="28">
        <v>79</v>
      </c>
      <c r="C51" s="28" t="s">
        <v>83</v>
      </c>
      <c r="D51" s="28">
        <v>11</v>
      </c>
      <c r="E51" s="28" t="s">
        <v>79</v>
      </c>
      <c r="F51" s="28">
        <v>911220290</v>
      </c>
      <c r="G51" s="28" t="s">
        <v>81</v>
      </c>
      <c r="H51" s="28" t="s">
        <v>84</v>
      </c>
      <c r="I51" s="28" t="s">
        <v>105</v>
      </c>
      <c r="J51" s="28"/>
      <c r="K51" s="28" t="s">
        <v>82</v>
      </c>
      <c r="L51" s="28" t="s">
        <v>84</v>
      </c>
      <c r="M51" s="28" t="s">
        <v>86</v>
      </c>
      <c r="N51" s="28"/>
      <c r="O51" s="28" t="s">
        <v>87</v>
      </c>
      <c r="P51" s="28">
        <v>30</v>
      </c>
      <c r="Q51" s="28" t="s">
        <v>880</v>
      </c>
      <c r="R51" s="28" t="s">
        <v>82</v>
      </c>
      <c r="S51" s="28"/>
      <c r="T51" s="28" t="s">
        <v>82</v>
      </c>
      <c r="U51" s="28"/>
      <c r="V51" s="28"/>
      <c r="W51" s="28"/>
      <c r="X51" s="28" t="s">
        <v>82</v>
      </c>
      <c r="Y51" s="28" t="s">
        <v>881</v>
      </c>
      <c r="Z51" s="28" t="s">
        <v>84</v>
      </c>
      <c r="AA51" s="28"/>
      <c r="AB51" s="28" t="s">
        <v>882</v>
      </c>
      <c r="AC51" s="28" t="s">
        <v>126</v>
      </c>
      <c r="AD51" s="28" t="s">
        <v>111</v>
      </c>
      <c r="AE51" s="28"/>
      <c r="AF51" s="28" t="s">
        <v>80</v>
      </c>
      <c r="AG51" s="28" t="s">
        <v>883</v>
      </c>
      <c r="AH51" s="28"/>
      <c r="AI51" s="28" t="s">
        <v>84</v>
      </c>
      <c r="AJ51" s="28" t="s">
        <v>80</v>
      </c>
      <c r="AK51" s="28" t="s">
        <v>113</v>
      </c>
      <c r="AL51" s="28" t="s">
        <v>113</v>
      </c>
      <c r="AM51" s="28" t="s">
        <v>82</v>
      </c>
      <c r="AN51" s="28" t="s">
        <v>84</v>
      </c>
      <c r="AO51" s="28" t="s">
        <v>84</v>
      </c>
      <c r="AP51" s="28" t="s">
        <v>84</v>
      </c>
      <c r="AQ51" s="28" t="s">
        <v>80</v>
      </c>
      <c r="AR51" s="28">
        <v>3</v>
      </c>
      <c r="AS51" s="28">
        <v>2</v>
      </c>
      <c r="AT51" s="28">
        <v>1</v>
      </c>
      <c r="AU51" s="28">
        <v>1</v>
      </c>
      <c r="AV51" s="28">
        <v>5</v>
      </c>
      <c r="AW51" s="28">
        <v>3</v>
      </c>
      <c r="AX51" s="28" t="s">
        <v>884</v>
      </c>
      <c r="AY51" s="28" t="s">
        <v>885</v>
      </c>
      <c r="AZ51" s="28" t="s">
        <v>886</v>
      </c>
      <c r="BA51" s="28" t="s">
        <v>97</v>
      </c>
      <c r="BB51" s="28" t="s">
        <v>84</v>
      </c>
      <c r="BC51" s="28" t="s">
        <v>97</v>
      </c>
      <c r="BD51" s="28" t="s">
        <v>82</v>
      </c>
      <c r="BE51" s="28"/>
      <c r="BF51" s="28" t="s">
        <v>887</v>
      </c>
      <c r="BG51" s="28" t="s">
        <v>82</v>
      </c>
      <c r="BH51" s="28"/>
      <c r="BI51" s="28" t="s">
        <v>84</v>
      </c>
      <c r="BJ51" s="28" t="s">
        <v>84</v>
      </c>
      <c r="BK51" s="28">
        <v>3</v>
      </c>
      <c r="BL51" s="28">
        <v>2</v>
      </c>
      <c r="BM51" s="28">
        <v>3</v>
      </c>
      <c r="BN51" s="28">
        <v>1</v>
      </c>
      <c r="BO51" s="28">
        <v>1</v>
      </c>
      <c r="BP51" s="28">
        <v>3</v>
      </c>
      <c r="BQ51" s="28">
        <v>2</v>
      </c>
      <c r="BR51" s="28">
        <v>2</v>
      </c>
      <c r="BS51" s="28">
        <v>3</v>
      </c>
      <c r="BT51" s="28">
        <v>2</v>
      </c>
      <c r="BU51" s="28">
        <v>2</v>
      </c>
      <c r="BV51" s="28">
        <v>2</v>
      </c>
      <c r="BW51" s="28" t="s">
        <v>97</v>
      </c>
      <c r="BX51" s="28" t="s">
        <v>106</v>
      </c>
      <c r="BY51" s="28"/>
      <c r="BZ51" s="28" t="s">
        <v>84</v>
      </c>
      <c r="CA51" s="28" t="s">
        <v>100</v>
      </c>
      <c r="CB51" s="28" t="s">
        <v>888</v>
      </c>
      <c r="CC51" s="28" t="s">
        <v>100</v>
      </c>
      <c r="CD51" s="28" t="s">
        <v>889</v>
      </c>
      <c r="CE51" s="28" t="s">
        <v>82</v>
      </c>
      <c r="CF51" s="28"/>
      <c r="CG51" s="28" t="s">
        <v>81</v>
      </c>
      <c r="CH51" s="28" t="s">
        <v>84</v>
      </c>
      <c r="CI51" s="28" t="s">
        <v>84</v>
      </c>
      <c r="CJ51" s="28" t="s">
        <v>82</v>
      </c>
      <c r="CK51" s="28"/>
      <c r="CL51" s="28" t="s">
        <v>890</v>
      </c>
      <c r="CM51" s="28"/>
      <c r="CN51" s="28" t="s">
        <v>891</v>
      </c>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row>
    <row r="52" spans="1:119" s="27" customFormat="1" ht="12.95" customHeight="1" x14ac:dyDescent="0.2">
      <c r="A52" s="27">
        <v>51</v>
      </c>
      <c r="B52" s="28">
        <v>80</v>
      </c>
      <c r="C52" s="28" t="s">
        <v>83</v>
      </c>
      <c r="D52" s="28">
        <v>11</v>
      </c>
      <c r="E52" s="28" t="s">
        <v>79</v>
      </c>
      <c r="F52" s="28">
        <v>1295844521</v>
      </c>
      <c r="G52" s="28" t="s">
        <v>81</v>
      </c>
      <c r="H52" s="28" t="s">
        <v>84</v>
      </c>
      <c r="I52" s="28" t="s">
        <v>324</v>
      </c>
      <c r="J52" s="28"/>
      <c r="K52" s="28" t="s">
        <v>84</v>
      </c>
      <c r="L52" s="28" t="s">
        <v>84</v>
      </c>
      <c r="M52" s="28" t="s">
        <v>86</v>
      </c>
      <c r="N52" s="28"/>
      <c r="O52" s="28" t="s">
        <v>87</v>
      </c>
      <c r="P52" s="28">
        <v>10</v>
      </c>
      <c r="Q52" s="28" t="s">
        <v>892</v>
      </c>
      <c r="R52" s="28" t="s">
        <v>82</v>
      </c>
      <c r="S52" s="28"/>
      <c r="T52" s="28" t="s">
        <v>82</v>
      </c>
      <c r="U52" s="28"/>
      <c r="V52" s="28"/>
      <c r="W52" s="28"/>
      <c r="X52" s="28" t="s">
        <v>82</v>
      </c>
      <c r="Y52" s="28"/>
      <c r="Z52" s="28" t="s">
        <v>84</v>
      </c>
      <c r="AA52" s="28"/>
      <c r="AB52" s="28" t="s">
        <v>893</v>
      </c>
      <c r="AC52" s="28" t="s">
        <v>140</v>
      </c>
      <c r="AD52" s="28" t="s">
        <v>91</v>
      </c>
      <c r="AE52" s="28"/>
      <c r="AF52" s="28" t="s">
        <v>80</v>
      </c>
      <c r="AG52" s="28"/>
      <c r="AH52" s="28"/>
      <c r="AI52" s="28" t="s">
        <v>84</v>
      </c>
      <c r="AJ52" s="28" t="s">
        <v>80</v>
      </c>
      <c r="AK52" s="28" t="s">
        <v>93</v>
      </c>
      <c r="AL52" s="28" t="s">
        <v>113</v>
      </c>
      <c r="AM52" s="28" t="s">
        <v>82</v>
      </c>
      <c r="AN52" s="28" t="s">
        <v>84</v>
      </c>
      <c r="AO52" s="28" t="s">
        <v>84</v>
      </c>
      <c r="AP52" s="28" t="s">
        <v>84</v>
      </c>
      <c r="AQ52" s="28" t="s">
        <v>80</v>
      </c>
      <c r="AR52" s="28">
        <v>2</v>
      </c>
      <c r="AS52" s="28">
        <v>3</v>
      </c>
      <c r="AT52" s="28">
        <v>1</v>
      </c>
      <c r="AU52" s="28">
        <v>1</v>
      </c>
      <c r="AV52" s="28">
        <v>2</v>
      </c>
      <c r="AW52" s="28">
        <v>3</v>
      </c>
      <c r="AX52" s="28" t="s">
        <v>97</v>
      </c>
      <c r="AY52" s="28" t="s">
        <v>894</v>
      </c>
      <c r="AZ52" s="28" t="s">
        <v>895</v>
      </c>
      <c r="BA52" s="28" t="s">
        <v>99</v>
      </c>
      <c r="BB52" s="28" t="s">
        <v>80</v>
      </c>
      <c r="BC52" s="28" t="s">
        <v>896</v>
      </c>
      <c r="BD52" s="28" t="s">
        <v>84</v>
      </c>
      <c r="BE52" s="28" t="s">
        <v>897</v>
      </c>
      <c r="BF52" s="28"/>
      <c r="BG52" s="28" t="s">
        <v>82</v>
      </c>
      <c r="BH52" s="28"/>
      <c r="BI52" s="28" t="s">
        <v>84</v>
      </c>
      <c r="BJ52" s="28" t="s">
        <v>84</v>
      </c>
      <c r="BK52" s="28">
        <v>2</v>
      </c>
      <c r="BL52" s="28">
        <v>1</v>
      </c>
      <c r="BM52" s="28">
        <v>4</v>
      </c>
      <c r="BN52" s="28">
        <v>1</v>
      </c>
      <c r="BO52" s="28">
        <v>2</v>
      </c>
      <c r="BP52" s="28">
        <v>3</v>
      </c>
      <c r="BQ52" s="28">
        <v>2</v>
      </c>
      <c r="BR52" s="28">
        <v>2</v>
      </c>
      <c r="BS52" s="28">
        <v>3</v>
      </c>
      <c r="BT52" s="28">
        <v>3</v>
      </c>
      <c r="BU52" s="28">
        <v>2</v>
      </c>
      <c r="BV52" s="28">
        <v>2</v>
      </c>
      <c r="BW52" s="28" t="s">
        <v>118</v>
      </c>
      <c r="BX52" s="28" t="s">
        <v>84</v>
      </c>
      <c r="BY52" s="28"/>
      <c r="BZ52" s="28" t="s">
        <v>84</v>
      </c>
      <c r="CA52" s="28" t="s">
        <v>93</v>
      </c>
      <c r="CB52" s="28"/>
      <c r="CC52" s="28" t="s">
        <v>93</v>
      </c>
      <c r="CD52" s="28"/>
      <c r="CE52" s="28" t="s">
        <v>84</v>
      </c>
      <c r="CF52" s="28"/>
      <c r="CG52" s="28"/>
      <c r="CH52" s="28" t="s">
        <v>82</v>
      </c>
      <c r="CI52" s="28" t="s">
        <v>82</v>
      </c>
      <c r="CJ52" s="28" t="s">
        <v>82</v>
      </c>
      <c r="CK52" s="28"/>
      <c r="CL52" s="28" t="s">
        <v>898</v>
      </c>
      <c r="CM52" s="28" t="s">
        <v>899</v>
      </c>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row>
    <row r="53" spans="1:119" s="27" customFormat="1" ht="12.95" customHeight="1" x14ac:dyDescent="0.2">
      <c r="A53" s="27">
        <v>52</v>
      </c>
      <c r="B53" s="28">
        <v>82</v>
      </c>
      <c r="C53" s="28" t="s">
        <v>83</v>
      </c>
      <c r="D53" s="28">
        <v>11</v>
      </c>
      <c r="E53" s="28" t="s">
        <v>79</v>
      </c>
      <c r="F53" s="28">
        <v>355457213</v>
      </c>
      <c r="G53" s="28" t="s">
        <v>81</v>
      </c>
      <c r="H53" s="28" t="s">
        <v>84</v>
      </c>
      <c r="I53" s="28" t="s">
        <v>119</v>
      </c>
      <c r="J53" s="28" t="s">
        <v>900</v>
      </c>
      <c r="K53" s="28" t="s">
        <v>82</v>
      </c>
      <c r="L53" s="28" t="s">
        <v>84</v>
      </c>
      <c r="M53" s="28" t="s">
        <v>106</v>
      </c>
      <c r="N53" s="28"/>
      <c r="O53" s="28" t="s">
        <v>290</v>
      </c>
      <c r="P53" s="28" t="s">
        <v>623</v>
      </c>
      <c r="Q53" s="28" t="s">
        <v>901</v>
      </c>
      <c r="R53" s="28" t="s">
        <v>82</v>
      </c>
      <c r="S53" s="28"/>
      <c r="T53" s="28" t="s">
        <v>82</v>
      </c>
      <c r="U53" s="28"/>
      <c r="V53" s="28"/>
      <c r="W53" s="28"/>
      <c r="X53" s="28" t="s">
        <v>82</v>
      </c>
      <c r="Y53" s="28"/>
      <c r="Z53" s="28" t="s">
        <v>84</v>
      </c>
      <c r="AA53" s="28"/>
      <c r="AB53" s="28"/>
      <c r="AC53" s="28" t="s">
        <v>126</v>
      </c>
      <c r="AD53" s="28" t="s">
        <v>91</v>
      </c>
      <c r="AE53" s="28"/>
      <c r="AF53" s="28" t="s">
        <v>80</v>
      </c>
      <c r="AG53" s="28"/>
      <c r="AH53" s="28"/>
      <c r="AI53" s="28" t="s">
        <v>84</v>
      </c>
      <c r="AJ53" s="28" t="s">
        <v>80</v>
      </c>
      <c r="AK53" s="28" t="s">
        <v>113</v>
      </c>
      <c r="AL53" s="28" t="s">
        <v>113</v>
      </c>
      <c r="AM53" s="28" t="s">
        <v>82</v>
      </c>
      <c r="AN53" s="28" t="s">
        <v>84</v>
      </c>
      <c r="AO53" s="28" t="s">
        <v>84</v>
      </c>
      <c r="AP53" s="28" t="s">
        <v>84</v>
      </c>
      <c r="AQ53" s="28" t="s">
        <v>80</v>
      </c>
      <c r="AR53" s="28">
        <v>4</v>
      </c>
      <c r="AS53" s="28">
        <v>5</v>
      </c>
      <c r="AT53" s="28">
        <v>4</v>
      </c>
      <c r="AU53" s="28">
        <v>5</v>
      </c>
      <c r="AV53" s="28">
        <v>2</v>
      </c>
      <c r="AW53" s="28">
        <v>3</v>
      </c>
      <c r="AX53" s="28" t="s">
        <v>902</v>
      </c>
      <c r="AY53" s="28"/>
      <c r="AZ53" s="28"/>
      <c r="BA53" s="28" t="s">
        <v>97</v>
      </c>
      <c r="BB53" s="28" t="s">
        <v>84</v>
      </c>
      <c r="BC53" s="28"/>
      <c r="BD53" s="28" t="s">
        <v>82</v>
      </c>
      <c r="BE53" s="28"/>
      <c r="BF53" s="28"/>
      <c r="BG53" s="28" t="s">
        <v>82</v>
      </c>
      <c r="BH53" s="28"/>
      <c r="BI53" s="28" t="s">
        <v>84</v>
      </c>
      <c r="BJ53" s="28" t="s">
        <v>84</v>
      </c>
      <c r="BK53" s="28">
        <v>3</v>
      </c>
      <c r="BL53" s="28">
        <v>4</v>
      </c>
      <c r="BM53" s="28">
        <v>5</v>
      </c>
      <c r="BN53" s="28">
        <v>3</v>
      </c>
      <c r="BO53" s="28">
        <v>4</v>
      </c>
      <c r="BP53" s="28">
        <v>3</v>
      </c>
      <c r="BQ53" s="28">
        <v>5</v>
      </c>
      <c r="BR53" s="28">
        <v>3</v>
      </c>
      <c r="BS53" s="28">
        <v>4</v>
      </c>
      <c r="BT53" s="28">
        <v>3</v>
      </c>
      <c r="BU53" s="28">
        <v>4</v>
      </c>
      <c r="BV53" s="28">
        <v>3</v>
      </c>
      <c r="BW53" s="28" t="s">
        <v>118</v>
      </c>
      <c r="BX53" s="28" t="s">
        <v>84</v>
      </c>
      <c r="BY53" s="28"/>
      <c r="BZ53" s="28" t="s">
        <v>84</v>
      </c>
      <c r="CA53" s="28" t="s">
        <v>100</v>
      </c>
      <c r="CB53" s="28"/>
      <c r="CC53" s="28" t="s">
        <v>113</v>
      </c>
      <c r="CD53" s="28"/>
      <c r="CE53" s="28" t="s">
        <v>82</v>
      </c>
      <c r="CF53" s="28"/>
      <c r="CG53" s="28"/>
      <c r="CH53" s="28" t="s">
        <v>84</v>
      </c>
      <c r="CI53" s="28" t="s">
        <v>84</v>
      </c>
      <c r="CJ53" s="28" t="s">
        <v>84</v>
      </c>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row>
    <row r="54" spans="1:119" s="27" customFormat="1" ht="12.95" customHeight="1" x14ac:dyDescent="0.2">
      <c r="A54" s="27">
        <v>53</v>
      </c>
      <c r="B54" s="28">
        <v>83</v>
      </c>
      <c r="C54" s="28" t="s">
        <v>83</v>
      </c>
      <c r="D54" s="28">
        <v>11</v>
      </c>
      <c r="E54" s="28" t="s">
        <v>79</v>
      </c>
      <c r="F54" s="28">
        <v>955249533</v>
      </c>
      <c r="G54" s="28" t="s">
        <v>81</v>
      </c>
      <c r="H54" s="28" t="s">
        <v>84</v>
      </c>
      <c r="I54" s="28" t="s">
        <v>363</v>
      </c>
      <c r="J54" s="28"/>
      <c r="K54" s="28" t="s">
        <v>84</v>
      </c>
      <c r="L54" s="28" t="s">
        <v>84</v>
      </c>
      <c r="M54" s="28" t="s">
        <v>106</v>
      </c>
      <c r="N54" s="28"/>
      <c r="O54" s="28" t="s">
        <v>195</v>
      </c>
      <c r="P54" s="28" t="s">
        <v>903</v>
      </c>
      <c r="Q54" s="28" t="s">
        <v>904</v>
      </c>
      <c r="R54" s="28" t="s">
        <v>84</v>
      </c>
      <c r="S54" s="28" t="s">
        <v>905</v>
      </c>
      <c r="T54" s="28" t="s">
        <v>84</v>
      </c>
      <c r="U54" s="28" t="s">
        <v>119</v>
      </c>
      <c r="V54" s="28" t="s">
        <v>906</v>
      </c>
      <c r="W54" s="28" t="s">
        <v>907</v>
      </c>
      <c r="X54" s="28" t="s">
        <v>80</v>
      </c>
      <c r="Y54" s="28"/>
      <c r="Z54" s="28" t="s">
        <v>84</v>
      </c>
      <c r="AA54" s="28"/>
      <c r="AB54" s="28" t="s">
        <v>908</v>
      </c>
      <c r="AC54" s="28" t="s">
        <v>126</v>
      </c>
      <c r="AD54" s="28" t="s">
        <v>91</v>
      </c>
      <c r="AE54" s="28"/>
      <c r="AF54" s="28" t="s">
        <v>80</v>
      </c>
      <c r="AG54" s="28"/>
      <c r="AH54" s="28" t="s">
        <v>909</v>
      </c>
      <c r="AI54" s="28" t="s">
        <v>84</v>
      </c>
      <c r="AJ54" s="28" t="s">
        <v>80</v>
      </c>
      <c r="AK54" s="28" t="s">
        <v>112</v>
      </c>
      <c r="AL54" s="28" t="s">
        <v>112</v>
      </c>
      <c r="AM54" s="28" t="s">
        <v>82</v>
      </c>
      <c r="AN54" s="28" t="s">
        <v>82</v>
      </c>
      <c r="AO54" s="28" t="s">
        <v>82</v>
      </c>
      <c r="AP54" s="28" t="s">
        <v>84</v>
      </c>
      <c r="AQ54" s="28" t="s">
        <v>80</v>
      </c>
      <c r="AR54" s="28">
        <v>3</v>
      </c>
      <c r="AS54" s="28">
        <v>1</v>
      </c>
      <c r="AT54" s="28">
        <v>3</v>
      </c>
      <c r="AU54" s="28">
        <v>1</v>
      </c>
      <c r="AV54" s="28">
        <v>3</v>
      </c>
      <c r="AW54" s="28">
        <v>1</v>
      </c>
      <c r="AX54" s="28" t="s">
        <v>910</v>
      </c>
      <c r="AY54" s="28" t="s">
        <v>911</v>
      </c>
      <c r="AZ54" s="28" t="s">
        <v>145</v>
      </c>
      <c r="BA54" s="28" t="s">
        <v>97</v>
      </c>
      <c r="BB54" s="28" t="s">
        <v>82</v>
      </c>
      <c r="BC54" s="28" t="s">
        <v>912</v>
      </c>
      <c r="BD54" s="28" t="s">
        <v>82</v>
      </c>
      <c r="BE54" s="28"/>
      <c r="BF54" s="28" t="s">
        <v>913</v>
      </c>
      <c r="BG54" s="28" t="s">
        <v>84</v>
      </c>
      <c r="BH54" s="28" t="s">
        <v>914</v>
      </c>
      <c r="BI54" s="28" t="s">
        <v>84</v>
      </c>
      <c r="BJ54" s="28" t="s">
        <v>84</v>
      </c>
      <c r="BK54" s="28">
        <v>3</v>
      </c>
      <c r="BL54" s="28">
        <v>3</v>
      </c>
      <c r="BM54" s="28">
        <v>3</v>
      </c>
      <c r="BN54" s="28">
        <v>3</v>
      </c>
      <c r="BO54" s="28">
        <v>3</v>
      </c>
      <c r="BP54" s="28">
        <v>3</v>
      </c>
      <c r="BQ54" s="28">
        <v>3</v>
      </c>
      <c r="BR54" s="28">
        <v>3</v>
      </c>
      <c r="BS54" s="28">
        <v>3</v>
      </c>
      <c r="BT54" s="28">
        <v>3</v>
      </c>
      <c r="BU54" s="28">
        <v>3</v>
      </c>
      <c r="BV54" s="28">
        <v>3</v>
      </c>
      <c r="BW54" s="28" t="s">
        <v>97</v>
      </c>
      <c r="BX54" s="28" t="s">
        <v>106</v>
      </c>
      <c r="BY54" s="28"/>
      <c r="BZ54" s="28" t="s">
        <v>84</v>
      </c>
      <c r="CA54" s="28" t="s">
        <v>100</v>
      </c>
      <c r="CB54" s="28" t="s">
        <v>915</v>
      </c>
      <c r="CC54" s="28" t="s">
        <v>93</v>
      </c>
      <c r="CD54" s="28" t="s">
        <v>916</v>
      </c>
      <c r="CE54" s="28" t="s">
        <v>84</v>
      </c>
      <c r="CF54" s="28"/>
      <c r="CG54" s="28"/>
      <c r="CH54" s="28" t="s">
        <v>84</v>
      </c>
      <c r="CI54" s="28" t="s">
        <v>84</v>
      </c>
      <c r="CJ54" s="28" t="s">
        <v>82</v>
      </c>
      <c r="CK54" s="28"/>
      <c r="CL54" s="28" t="s">
        <v>917</v>
      </c>
      <c r="CM54" s="28" t="s">
        <v>918</v>
      </c>
      <c r="CN54" s="28" t="s">
        <v>919</v>
      </c>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row>
    <row r="55" spans="1:119" s="27" customFormat="1" ht="12.95" customHeight="1" x14ac:dyDescent="0.2">
      <c r="A55" s="27">
        <v>54</v>
      </c>
      <c r="B55" s="28">
        <v>86</v>
      </c>
      <c r="C55" s="28" t="s">
        <v>83</v>
      </c>
      <c r="D55" s="28">
        <v>11</v>
      </c>
      <c r="E55" s="28" t="s">
        <v>79</v>
      </c>
      <c r="F55" s="28">
        <v>1405444096</v>
      </c>
      <c r="G55" s="28" t="s">
        <v>81</v>
      </c>
      <c r="H55" s="28" t="s">
        <v>84</v>
      </c>
      <c r="I55" s="28" t="s">
        <v>119</v>
      </c>
      <c r="J55" s="28" t="s">
        <v>920</v>
      </c>
      <c r="K55" s="28" t="s">
        <v>84</v>
      </c>
      <c r="L55" s="28" t="s">
        <v>84</v>
      </c>
      <c r="M55" s="28" t="s">
        <v>106</v>
      </c>
      <c r="N55" s="28"/>
      <c r="O55" s="28" t="s">
        <v>87</v>
      </c>
      <c r="P55" s="28">
        <v>50</v>
      </c>
      <c r="Q55" s="28" t="s">
        <v>921</v>
      </c>
      <c r="R55" s="28" t="s">
        <v>84</v>
      </c>
      <c r="S55" s="28"/>
      <c r="T55" s="28" t="s">
        <v>82</v>
      </c>
      <c r="U55" s="28"/>
      <c r="V55" s="28"/>
      <c r="W55" s="28"/>
      <c r="X55" s="28" t="s">
        <v>84</v>
      </c>
      <c r="Y55" s="28"/>
      <c r="Z55" s="28" t="s">
        <v>84</v>
      </c>
      <c r="AA55" s="28"/>
      <c r="AB55" s="28" t="s">
        <v>922</v>
      </c>
      <c r="AC55" s="28" t="s">
        <v>126</v>
      </c>
      <c r="AD55" s="28" t="s">
        <v>111</v>
      </c>
      <c r="AE55" s="28"/>
      <c r="AF55" s="28" t="s">
        <v>80</v>
      </c>
      <c r="AG55" s="28" t="s">
        <v>923</v>
      </c>
      <c r="AH55" s="28"/>
      <c r="AI55" s="28" t="s">
        <v>84</v>
      </c>
      <c r="AJ55" s="28" t="s">
        <v>80</v>
      </c>
      <c r="AK55" s="28" t="s">
        <v>113</v>
      </c>
      <c r="AL55" s="28" t="s">
        <v>113</v>
      </c>
      <c r="AM55" s="28" t="s">
        <v>84</v>
      </c>
      <c r="AN55" s="28" t="s">
        <v>84</v>
      </c>
      <c r="AO55" s="28" t="s">
        <v>84</v>
      </c>
      <c r="AP55" s="28" t="s">
        <v>84</v>
      </c>
      <c r="AQ55" s="28" t="s">
        <v>80</v>
      </c>
      <c r="AR55" s="28">
        <v>2</v>
      </c>
      <c r="AS55" s="28">
        <v>1</v>
      </c>
      <c r="AT55" s="28">
        <v>2</v>
      </c>
      <c r="AU55" s="28">
        <v>1</v>
      </c>
      <c r="AV55" s="28">
        <v>2</v>
      </c>
      <c r="AW55" s="28">
        <v>1</v>
      </c>
      <c r="AX55" s="28" t="s">
        <v>924</v>
      </c>
      <c r="AY55" s="28"/>
      <c r="AZ55" s="28"/>
      <c r="BA55" s="28" t="s">
        <v>97</v>
      </c>
      <c r="BB55" s="28" t="s">
        <v>84</v>
      </c>
      <c r="BC55" s="28"/>
      <c r="BD55" s="28" t="s">
        <v>82</v>
      </c>
      <c r="BE55" s="28"/>
      <c r="BF55" s="28"/>
      <c r="BG55" s="28" t="s">
        <v>82</v>
      </c>
      <c r="BH55" s="28"/>
      <c r="BI55" s="28" t="s">
        <v>84</v>
      </c>
      <c r="BJ55" s="28" t="s">
        <v>84</v>
      </c>
      <c r="BK55" s="28">
        <v>4</v>
      </c>
      <c r="BL55" s="28">
        <v>2</v>
      </c>
      <c r="BM55" s="28">
        <v>3</v>
      </c>
      <c r="BN55" s="28">
        <v>2</v>
      </c>
      <c r="BO55" s="28">
        <v>3</v>
      </c>
      <c r="BP55" s="28">
        <v>2</v>
      </c>
      <c r="BQ55" s="28">
        <v>2</v>
      </c>
      <c r="BR55" s="28">
        <v>2</v>
      </c>
      <c r="BS55" s="28">
        <v>3</v>
      </c>
      <c r="BT55" s="28">
        <v>2</v>
      </c>
      <c r="BU55" s="28">
        <v>3</v>
      </c>
      <c r="BV55" s="28">
        <v>2</v>
      </c>
      <c r="BW55" s="28" t="s">
        <v>99</v>
      </c>
      <c r="BX55" s="28" t="s">
        <v>84</v>
      </c>
      <c r="BY55" s="28"/>
      <c r="BZ55" s="28" t="s">
        <v>84</v>
      </c>
      <c r="CA55" s="28" t="s">
        <v>100</v>
      </c>
      <c r="CB55" s="28"/>
      <c r="CC55" s="28" t="s">
        <v>113</v>
      </c>
      <c r="CD55" s="28"/>
      <c r="CE55" s="28" t="s">
        <v>82</v>
      </c>
      <c r="CF55" s="28"/>
      <c r="CG55" s="28"/>
      <c r="CH55" s="28" t="s">
        <v>84</v>
      </c>
      <c r="CI55" s="28" t="s">
        <v>82</v>
      </c>
      <c r="CJ55" s="28" t="s">
        <v>84</v>
      </c>
      <c r="CK55" s="28" t="s">
        <v>925</v>
      </c>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row>
    <row r="56" spans="1:119" s="27" customFormat="1" ht="12.95" customHeight="1" x14ac:dyDescent="0.2">
      <c r="A56" s="27">
        <v>55</v>
      </c>
      <c r="B56" s="28">
        <v>87</v>
      </c>
      <c r="C56" s="28" t="s">
        <v>83</v>
      </c>
      <c r="D56" s="28">
        <v>11</v>
      </c>
      <c r="E56" s="28" t="s">
        <v>79</v>
      </c>
      <c r="F56" s="28">
        <v>971445368</v>
      </c>
      <c r="G56" s="28" t="s">
        <v>81</v>
      </c>
      <c r="H56" s="28" t="s">
        <v>84</v>
      </c>
      <c r="I56" s="28" t="s">
        <v>119</v>
      </c>
      <c r="J56" s="28" t="s">
        <v>920</v>
      </c>
      <c r="K56" s="28" t="s">
        <v>82</v>
      </c>
      <c r="L56" s="28" t="s">
        <v>84</v>
      </c>
      <c r="M56" s="28" t="s">
        <v>108</v>
      </c>
      <c r="N56" s="28"/>
      <c r="O56" s="28" t="s">
        <v>290</v>
      </c>
      <c r="P56" s="28" t="s">
        <v>926</v>
      </c>
      <c r="Q56" s="28" t="s">
        <v>927</v>
      </c>
      <c r="R56" s="28" t="s">
        <v>84</v>
      </c>
      <c r="S56" s="28" t="s">
        <v>928</v>
      </c>
      <c r="T56" s="28" t="s">
        <v>84</v>
      </c>
      <c r="U56" s="28" t="s">
        <v>929</v>
      </c>
      <c r="V56" s="28"/>
      <c r="W56" s="28" t="s">
        <v>930</v>
      </c>
      <c r="X56" s="28" t="s">
        <v>80</v>
      </c>
      <c r="Y56" s="28"/>
      <c r="Z56" s="28" t="s">
        <v>84</v>
      </c>
      <c r="AA56" s="28" t="s">
        <v>931</v>
      </c>
      <c r="AB56" s="28" t="s">
        <v>932</v>
      </c>
      <c r="AC56" s="28" t="s">
        <v>126</v>
      </c>
      <c r="AD56" s="28" t="s">
        <v>111</v>
      </c>
      <c r="AE56" s="28"/>
      <c r="AF56" s="28" t="s">
        <v>80</v>
      </c>
      <c r="AG56" s="28" t="s">
        <v>933</v>
      </c>
      <c r="AH56" s="28"/>
      <c r="AI56" s="28" t="s">
        <v>84</v>
      </c>
      <c r="AJ56" s="28" t="s">
        <v>80</v>
      </c>
      <c r="AK56" s="28" t="s">
        <v>100</v>
      </c>
      <c r="AL56" s="28" t="s">
        <v>113</v>
      </c>
      <c r="AM56" s="28" t="s">
        <v>82</v>
      </c>
      <c r="AN56" s="28" t="s">
        <v>84</v>
      </c>
      <c r="AO56" s="28" t="s">
        <v>84</v>
      </c>
      <c r="AP56" s="28" t="s">
        <v>84</v>
      </c>
      <c r="AQ56" s="28" t="s">
        <v>80</v>
      </c>
      <c r="AR56" s="28">
        <v>3</v>
      </c>
      <c r="AS56" s="28">
        <v>5</v>
      </c>
      <c r="AT56" s="28">
        <v>3</v>
      </c>
      <c r="AU56" s="28">
        <v>5</v>
      </c>
      <c r="AV56" s="28">
        <v>3</v>
      </c>
      <c r="AW56" s="28">
        <v>5</v>
      </c>
      <c r="AX56" s="28" t="s">
        <v>934</v>
      </c>
      <c r="AY56" s="28" t="s">
        <v>935</v>
      </c>
      <c r="AZ56" s="28" t="s">
        <v>936</v>
      </c>
      <c r="BA56" s="28" t="s">
        <v>97</v>
      </c>
      <c r="BB56" s="28" t="s">
        <v>84</v>
      </c>
      <c r="BC56" s="28" t="s">
        <v>937</v>
      </c>
      <c r="BD56" s="28" t="s">
        <v>82</v>
      </c>
      <c r="BE56" s="28"/>
      <c r="BF56" s="28" t="s">
        <v>938</v>
      </c>
      <c r="BG56" s="28" t="s">
        <v>82</v>
      </c>
      <c r="BH56" s="28"/>
      <c r="BI56" s="28" t="s">
        <v>84</v>
      </c>
      <c r="BJ56" s="28" t="s">
        <v>84</v>
      </c>
      <c r="BK56" s="28">
        <v>4</v>
      </c>
      <c r="BL56" s="28">
        <v>5</v>
      </c>
      <c r="BM56" s="28">
        <v>4</v>
      </c>
      <c r="BN56" s="28">
        <v>5</v>
      </c>
      <c r="BO56" s="28">
        <v>4</v>
      </c>
      <c r="BP56" s="28">
        <v>5</v>
      </c>
      <c r="BQ56" s="28">
        <v>3</v>
      </c>
      <c r="BR56" s="28">
        <v>5</v>
      </c>
      <c r="BS56" s="28">
        <v>3</v>
      </c>
      <c r="BT56" s="28">
        <v>5</v>
      </c>
      <c r="BU56" s="28">
        <v>3</v>
      </c>
      <c r="BV56" s="28">
        <v>5</v>
      </c>
      <c r="BW56" s="28" t="s">
        <v>118</v>
      </c>
      <c r="BX56" s="28" t="s">
        <v>82</v>
      </c>
      <c r="BY56" s="28" t="s">
        <v>939</v>
      </c>
      <c r="BZ56" s="28" t="s">
        <v>84</v>
      </c>
      <c r="CA56" s="28" t="s">
        <v>113</v>
      </c>
      <c r="CB56" s="28" t="s">
        <v>940</v>
      </c>
      <c r="CC56" s="28" t="s">
        <v>113</v>
      </c>
      <c r="CD56" s="28" t="s">
        <v>941</v>
      </c>
      <c r="CE56" s="28" t="s">
        <v>82</v>
      </c>
      <c r="CF56" s="28"/>
      <c r="CG56" s="28" t="s">
        <v>942</v>
      </c>
      <c r="CH56" s="28" t="s">
        <v>84</v>
      </c>
      <c r="CI56" s="28" t="s">
        <v>84</v>
      </c>
      <c r="CJ56" s="28" t="s">
        <v>82</v>
      </c>
      <c r="CK56" s="28"/>
      <c r="CL56" s="28" t="s">
        <v>943</v>
      </c>
      <c r="CM56" s="28" t="s">
        <v>944</v>
      </c>
      <c r="CN56" s="28" t="s">
        <v>945</v>
      </c>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row>
    <row r="57" spans="1:119" s="27" customFormat="1" ht="12.95" customHeight="1" x14ac:dyDescent="0.2">
      <c r="A57" s="27">
        <v>56</v>
      </c>
      <c r="B57" s="28">
        <v>88</v>
      </c>
      <c r="C57" s="28" t="s">
        <v>83</v>
      </c>
      <c r="D57" s="28">
        <v>11</v>
      </c>
      <c r="E57" s="28" t="s">
        <v>79</v>
      </c>
      <c r="F57" s="28">
        <v>207977191</v>
      </c>
      <c r="G57" s="28" t="s">
        <v>81</v>
      </c>
      <c r="H57" s="28" t="s">
        <v>84</v>
      </c>
      <c r="I57" s="28" t="s">
        <v>107</v>
      </c>
      <c r="J57" s="28"/>
      <c r="K57" s="28" t="s">
        <v>84</v>
      </c>
      <c r="L57" s="28" t="s">
        <v>84</v>
      </c>
      <c r="M57" s="28" t="s">
        <v>108</v>
      </c>
      <c r="N57" s="28"/>
      <c r="O57" s="28" t="s">
        <v>253</v>
      </c>
      <c r="P57" s="28" t="s">
        <v>946</v>
      </c>
      <c r="Q57" s="28" t="s">
        <v>947</v>
      </c>
      <c r="R57" s="28" t="s">
        <v>84</v>
      </c>
      <c r="S57" s="28" t="s">
        <v>948</v>
      </c>
      <c r="T57" s="28" t="s">
        <v>84</v>
      </c>
      <c r="U57" s="28" t="s">
        <v>929</v>
      </c>
      <c r="V57" s="28"/>
      <c r="W57" s="28" t="s">
        <v>948</v>
      </c>
      <c r="X57" s="28" t="s">
        <v>80</v>
      </c>
      <c r="Y57" s="28"/>
      <c r="Z57" s="28" t="s">
        <v>84</v>
      </c>
      <c r="AA57" s="28"/>
      <c r="AB57" s="28" t="s">
        <v>949</v>
      </c>
      <c r="AC57" s="28" t="s">
        <v>126</v>
      </c>
      <c r="AD57" s="28" t="s">
        <v>91</v>
      </c>
      <c r="AE57" s="28"/>
      <c r="AF57" s="28" t="s">
        <v>80</v>
      </c>
      <c r="AG57" s="28"/>
      <c r="AH57" s="28" t="s">
        <v>950</v>
      </c>
      <c r="AI57" s="28" t="s">
        <v>84</v>
      </c>
      <c r="AJ57" s="28" t="s">
        <v>80</v>
      </c>
      <c r="AK57" s="28" t="s">
        <v>113</v>
      </c>
      <c r="AL57" s="28" t="s">
        <v>93</v>
      </c>
      <c r="AM57" s="28" t="s">
        <v>84</v>
      </c>
      <c r="AN57" s="28" t="s">
        <v>84</v>
      </c>
      <c r="AO57" s="28" t="s">
        <v>84</v>
      </c>
      <c r="AP57" s="28" t="s">
        <v>84</v>
      </c>
      <c r="AQ57" s="28" t="s">
        <v>80</v>
      </c>
      <c r="AR57" s="28">
        <v>5</v>
      </c>
      <c r="AS57" s="28">
        <v>1</v>
      </c>
      <c r="AT57" s="28">
        <v>4</v>
      </c>
      <c r="AU57" s="28">
        <v>1</v>
      </c>
      <c r="AV57" s="28">
        <v>5</v>
      </c>
      <c r="AW57" s="28">
        <v>2</v>
      </c>
      <c r="AX57" s="28" t="s">
        <v>209</v>
      </c>
      <c r="AY57" s="28" t="s">
        <v>951</v>
      </c>
      <c r="AZ57" s="28" t="s">
        <v>952</v>
      </c>
      <c r="BA57" s="28" t="s">
        <v>97</v>
      </c>
      <c r="BB57" s="28" t="s">
        <v>84</v>
      </c>
      <c r="BC57" s="28" t="s">
        <v>953</v>
      </c>
      <c r="BD57" s="28" t="s">
        <v>82</v>
      </c>
      <c r="BE57" s="28"/>
      <c r="BF57" s="28" t="s">
        <v>954</v>
      </c>
      <c r="BG57" s="28" t="s">
        <v>82</v>
      </c>
      <c r="BH57" s="28"/>
      <c r="BI57" s="28" t="s">
        <v>82</v>
      </c>
      <c r="BJ57" s="28" t="s">
        <v>82</v>
      </c>
      <c r="BK57" s="28">
        <v>3</v>
      </c>
      <c r="BL57" s="28">
        <v>1</v>
      </c>
      <c r="BM57" s="28">
        <v>4</v>
      </c>
      <c r="BN57" s="28">
        <v>1</v>
      </c>
      <c r="BO57" s="28">
        <v>5</v>
      </c>
      <c r="BP57" s="28">
        <v>2</v>
      </c>
      <c r="BQ57" s="28">
        <v>3</v>
      </c>
      <c r="BR57" s="28">
        <v>1</v>
      </c>
      <c r="BS57" s="28">
        <v>3</v>
      </c>
      <c r="BT57" s="28">
        <v>1</v>
      </c>
      <c r="BU57" s="28">
        <v>5</v>
      </c>
      <c r="BV57" s="28">
        <v>1</v>
      </c>
      <c r="BW57" s="28" t="s">
        <v>97</v>
      </c>
      <c r="BX57" s="28" t="s">
        <v>106</v>
      </c>
      <c r="BY57" s="28"/>
      <c r="BZ57" s="28" t="s">
        <v>84</v>
      </c>
      <c r="CA57" s="28" t="s">
        <v>100</v>
      </c>
      <c r="CB57" s="28" t="s">
        <v>955</v>
      </c>
      <c r="CC57" s="28" t="s">
        <v>100</v>
      </c>
      <c r="CD57" s="28" t="s">
        <v>956</v>
      </c>
      <c r="CE57" s="28" t="s">
        <v>82</v>
      </c>
      <c r="CF57" s="28"/>
      <c r="CG57" s="28" t="s">
        <v>957</v>
      </c>
      <c r="CH57" s="28" t="s">
        <v>82</v>
      </c>
      <c r="CI57" s="28" t="s">
        <v>82</v>
      </c>
      <c r="CJ57" s="28" t="s">
        <v>84</v>
      </c>
      <c r="CK57" s="28" t="s">
        <v>958</v>
      </c>
      <c r="CL57" s="28" t="s">
        <v>959</v>
      </c>
      <c r="CM57" s="28" t="s">
        <v>960</v>
      </c>
      <c r="CN57" s="28" t="s">
        <v>961</v>
      </c>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row>
    <row r="58" spans="1:119" s="27" customFormat="1" ht="12.95" customHeight="1" x14ac:dyDescent="0.2">
      <c r="A58" s="27">
        <v>57</v>
      </c>
      <c r="B58" s="28">
        <v>90</v>
      </c>
      <c r="C58" s="28" t="s">
        <v>83</v>
      </c>
      <c r="D58" s="28">
        <v>11</v>
      </c>
      <c r="E58" s="28" t="s">
        <v>79</v>
      </c>
      <c r="F58" s="28">
        <v>2014012560</v>
      </c>
      <c r="G58" s="28" t="s">
        <v>81</v>
      </c>
      <c r="H58" s="28" t="s">
        <v>84</v>
      </c>
      <c r="I58" s="28" t="s">
        <v>107</v>
      </c>
      <c r="J58" s="28"/>
      <c r="K58" s="28" t="s">
        <v>84</v>
      </c>
      <c r="L58" s="28" t="s">
        <v>84</v>
      </c>
      <c r="M58" s="28" t="s">
        <v>108</v>
      </c>
      <c r="N58" s="28"/>
      <c r="O58" s="28" t="s">
        <v>87</v>
      </c>
      <c r="P58" s="28">
        <v>15</v>
      </c>
      <c r="Q58" s="28" t="s">
        <v>962</v>
      </c>
      <c r="R58" s="28" t="s">
        <v>82</v>
      </c>
      <c r="S58" s="28"/>
      <c r="T58" s="28" t="s">
        <v>82</v>
      </c>
      <c r="U58" s="28"/>
      <c r="V58" s="28"/>
      <c r="W58" s="28"/>
      <c r="X58" s="28" t="s">
        <v>82</v>
      </c>
      <c r="Y58" s="28"/>
      <c r="Z58" s="28" t="s">
        <v>84</v>
      </c>
      <c r="AA58" s="28"/>
      <c r="AB58" s="28" t="s">
        <v>963</v>
      </c>
      <c r="AC58" s="28" t="s">
        <v>126</v>
      </c>
      <c r="AD58" s="28" t="s">
        <v>111</v>
      </c>
      <c r="AE58" s="28"/>
      <c r="AF58" s="28" t="s">
        <v>80</v>
      </c>
      <c r="AG58" s="28" t="s">
        <v>421</v>
      </c>
      <c r="AH58" s="28"/>
      <c r="AI58" s="28" t="s">
        <v>84</v>
      </c>
      <c r="AJ58" s="28" t="s">
        <v>80</v>
      </c>
      <c r="AK58" s="28" t="s">
        <v>100</v>
      </c>
      <c r="AL58" s="28" t="s">
        <v>113</v>
      </c>
      <c r="AM58" s="28" t="s">
        <v>82</v>
      </c>
      <c r="AN58" s="28" t="s">
        <v>84</v>
      </c>
      <c r="AO58" s="28" t="s">
        <v>84</v>
      </c>
      <c r="AP58" s="28" t="s">
        <v>84</v>
      </c>
      <c r="AQ58" s="28" t="s">
        <v>80</v>
      </c>
      <c r="AR58" s="28">
        <v>3</v>
      </c>
      <c r="AS58" s="28">
        <v>3</v>
      </c>
      <c r="AT58" s="28">
        <v>1</v>
      </c>
      <c r="AU58" s="28">
        <v>1</v>
      </c>
      <c r="AV58" s="28">
        <v>3</v>
      </c>
      <c r="AW58" s="28">
        <v>3</v>
      </c>
      <c r="AX58" s="28" t="s">
        <v>709</v>
      </c>
      <c r="AY58" s="28" t="s">
        <v>245</v>
      </c>
      <c r="AZ58" s="28" t="s">
        <v>245</v>
      </c>
      <c r="BA58" s="28" t="s">
        <v>97</v>
      </c>
      <c r="BB58" s="28" t="s">
        <v>84</v>
      </c>
      <c r="BC58" s="28" t="s">
        <v>709</v>
      </c>
      <c r="BD58" s="28" t="s">
        <v>82</v>
      </c>
      <c r="BE58" s="28"/>
      <c r="BF58" s="28" t="s">
        <v>964</v>
      </c>
      <c r="BG58" s="28" t="s">
        <v>82</v>
      </c>
      <c r="BH58" s="28"/>
      <c r="BI58" s="28" t="s">
        <v>84</v>
      </c>
      <c r="BJ58" s="28" t="s">
        <v>84</v>
      </c>
      <c r="BK58" s="28">
        <v>5</v>
      </c>
      <c r="BL58" s="28">
        <v>5</v>
      </c>
      <c r="BM58" s="28">
        <v>3</v>
      </c>
      <c r="BN58" s="28">
        <v>3</v>
      </c>
      <c r="BO58" s="28">
        <v>1</v>
      </c>
      <c r="BP58" s="28">
        <v>4</v>
      </c>
      <c r="BQ58" s="28">
        <v>3</v>
      </c>
      <c r="BR58" s="28">
        <v>3</v>
      </c>
      <c r="BS58" s="28">
        <v>4</v>
      </c>
      <c r="BT58" s="28">
        <v>3</v>
      </c>
      <c r="BU58" s="28">
        <v>4</v>
      </c>
      <c r="BV58" s="28">
        <v>4</v>
      </c>
      <c r="BW58" s="28" t="s">
        <v>97</v>
      </c>
      <c r="BX58" s="28" t="s">
        <v>84</v>
      </c>
      <c r="BY58" s="28"/>
      <c r="BZ58" s="28" t="s">
        <v>84</v>
      </c>
      <c r="CA58" s="28" t="s">
        <v>113</v>
      </c>
      <c r="CB58" s="28"/>
      <c r="CC58" s="28" t="s">
        <v>113</v>
      </c>
      <c r="CD58" s="28" t="s">
        <v>81</v>
      </c>
      <c r="CE58" s="28" t="s">
        <v>82</v>
      </c>
      <c r="CF58" s="28"/>
      <c r="CG58" s="28"/>
      <c r="CH58" s="28" t="s">
        <v>84</v>
      </c>
      <c r="CI58" s="28" t="s">
        <v>84</v>
      </c>
      <c r="CJ58" s="28" t="s">
        <v>84</v>
      </c>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row>
    <row r="59" spans="1:119" s="28" customFormat="1" ht="12.95" customHeight="1" x14ac:dyDescent="0.2">
      <c r="A59" s="27">
        <v>58</v>
      </c>
      <c r="B59" s="28">
        <v>92</v>
      </c>
      <c r="C59" s="28" t="s">
        <v>83</v>
      </c>
      <c r="D59" s="28">
        <v>11</v>
      </c>
      <c r="E59" s="28" t="s">
        <v>79</v>
      </c>
      <c r="F59" s="28">
        <v>137604888</v>
      </c>
      <c r="G59" s="28" t="s">
        <v>81</v>
      </c>
      <c r="H59" s="28" t="s">
        <v>84</v>
      </c>
      <c r="I59" s="28" t="s">
        <v>161</v>
      </c>
      <c r="K59" s="28" t="s">
        <v>82</v>
      </c>
      <c r="L59" s="28" t="s">
        <v>82</v>
      </c>
      <c r="M59" s="28" t="s">
        <v>108</v>
      </c>
      <c r="O59" s="28" t="s">
        <v>87</v>
      </c>
      <c r="P59" s="28">
        <v>10</v>
      </c>
      <c r="Q59" s="28" t="s">
        <v>1075</v>
      </c>
      <c r="R59" s="28" t="s">
        <v>84</v>
      </c>
      <c r="S59" s="28" t="s">
        <v>1076</v>
      </c>
      <c r="T59" s="28" t="s">
        <v>82</v>
      </c>
      <c r="X59" s="28" t="s">
        <v>84</v>
      </c>
      <c r="Y59" s="28" t="s">
        <v>1077</v>
      </c>
      <c r="Z59" s="28" t="s">
        <v>84</v>
      </c>
      <c r="AA59" s="28" t="s">
        <v>1078</v>
      </c>
      <c r="AB59" s="28" t="s">
        <v>1079</v>
      </c>
      <c r="AC59" s="28" t="s">
        <v>90</v>
      </c>
      <c r="AD59" s="28" t="s">
        <v>111</v>
      </c>
      <c r="AF59" s="28" t="s">
        <v>80</v>
      </c>
      <c r="AG59" s="28" t="s">
        <v>1080</v>
      </c>
      <c r="AI59" s="28" t="s">
        <v>84</v>
      </c>
      <c r="AJ59" s="28" t="s">
        <v>80</v>
      </c>
      <c r="AK59" s="28" t="s">
        <v>113</v>
      </c>
      <c r="AL59" s="28" t="s">
        <v>113</v>
      </c>
      <c r="AM59" s="28" t="s">
        <v>84</v>
      </c>
      <c r="AN59" s="28" t="s">
        <v>84</v>
      </c>
      <c r="AO59" s="28" t="s">
        <v>84</v>
      </c>
      <c r="AP59" s="28" t="s">
        <v>84</v>
      </c>
      <c r="AQ59" s="28" t="s">
        <v>80</v>
      </c>
      <c r="AR59" s="28">
        <v>4</v>
      </c>
      <c r="AS59" s="28">
        <v>2</v>
      </c>
      <c r="AT59" s="28">
        <v>3</v>
      </c>
      <c r="AU59" s="28">
        <v>1</v>
      </c>
      <c r="AV59" s="28">
        <v>4</v>
      </c>
      <c r="AW59" s="28">
        <v>2</v>
      </c>
      <c r="AX59" s="28" t="s">
        <v>1081</v>
      </c>
      <c r="AY59" s="28" t="s">
        <v>1082</v>
      </c>
      <c r="AZ59" s="28" t="s">
        <v>1083</v>
      </c>
      <c r="BA59" s="28" t="s">
        <v>99</v>
      </c>
      <c r="BB59" s="28" t="s">
        <v>80</v>
      </c>
      <c r="BC59" s="28" t="s">
        <v>1084</v>
      </c>
      <c r="BD59" s="28" t="s">
        <v>82</v>
      </c>
      <c r="BF59" s="28" t="s">
        <v>1085</v>
      </c>
      <c r="BG59" s="28" t="s">
        <v>82</v>
      </c>
      <c r="BI59" s="28" t="s">
        <v>84</v>
      </c>
      <c r="BJ59" s="28" t="s">
        <v>84</v>
      </c>
      <c r="BK59" s="28">
        <v>5</v>
      </c>
      <c r="BL59" s="28">
        <v>5</v>
      </c>
      <c r="BM59" s="28">
        <v>1</v>
      </c>
      <c r="BN59" s="28">
        <v>5</v>
      </c>
      <c r="BO59" s="28">
        <v>1</v>
      </c>
      <c r="BP59" s="28">
        <v>5</v>
      </c>
      <c r="BQ59" s="28">
        <v>2</v>
      </c>
      <c r="BR59" s="28">
        <v>2</v>
      </c>
      <c r="BS59" s="28">
        <v>3</v>
      </c>
      <c r="BT59" s="28">
        <v>2</v>
      </c>
      <c r="BU59" s="28">
        <v>2</v>
      </c>
      <c r="BV59" s="28">
        <v>2</v>
      </c>
      <c r="BW59" s="28" t="s">
        <v>99</v>
      </c>
      <c r="BX59" s="28" t="s">
        <v>84</v>
      </c>
      <c r="BZ59" s="28" t="s">
        <v>84</v>
      </c>
      <c r="CA59" s="28" t="s">
        <v>113</v>
      </c>
      <c r="CB59" s="28" t="s">
        <v>1086</v>
      </c>
      <c r="CC59" s="28" t="s">
        <v>100</v>
      </c>
      <c r="CD59" s="28" t="s">
        <v>1087</v>
      </c>
      <c r="CE59" s="28" t="s">
        <v>82</v>
      </c>
      <c r="CG59" s="28" t="s">
        <v>1088</v>
      </c>
      <c r="CH59" s="28" t="s">
        <v>82</v>
      </c>
      <c r="CI59" s="28" t="s">
        <v>84</v>
      </c>
      <c r="CJ59" s="28" t="s">
        <v>82</v>
      </c>
      <c r="CL59" s="28" t="s">
        <v>1089</v>
      </c>
      <c r="CM59" s="28" t="s">
        <v>1090</v>
      </c>
      <c r="CN59" s="28" t="s">
        <v>1091</v>
      </c>
    </row>
    <row r="60" spans="1:119" s="28" customFormat="1" ht="12.95" customHeight="1" x14ac:dyDescent="0.2">
      <c r="A60" s="27">
        <v>59</v>
      </c>
      <c r="B60" s="28">
        <v>93</v>
      </c>
      <c r="C60" s="28" t="s">
        <v>83</v>
      </c>
      <c r="D60" s="28">
        <v>11</v>
      </c>
      <c r="E60" s="28" t="s">
        <v>79</v>
      </c>
      <c r="F60" s="28">
        <v>247729467</v>
      </c>
      <c r="G60" s="28" t="s">
        <v>81</v>
      </c>
      <c r="H60" s="28" t="s">
        <v>84</v>
      </c>
      <c r="I60" s="28" t="s">
        <v>105</v>
      </c>
      <c r="K60" s="28" t="s">
        <v>82</v>
      </c>
      <c r="L60" s="28" t="s">
        <v>84</v>
      </c>
      <c r="M60" s="28" t="s">
        <v>86</v>
      </c>
      <c r="O60" s="28" t="s">
        <v>87</v>
      </c>
      <c r="P60" s="28">
        <v>30</v>
      </c>
      <c r="Q60" s="28" t="s">
        <v>1092</v>
      </c>
      <c r="R60" s="28" t="s">
        <v>84</v>
      </c>
      <c r="S60" s="28" t="s">
        <v>1093</v>
      </c>
      <c r="T60" s="28" t="s">
        <v>82</v>
      </c>
      <c r="X60" s="28" t="s">
        <v>84</v>
      </c>
      <c r="Y60" s="28" t="s">
        <v>1094</v>
      </c>
      <c r="Z60" s="28" t="s">
        <v>84</v>
      </c>
      <c r="AB60" s="28" t="s">
        <v>1095</v>
      </c>
      <c r="AC60" s="28" t="s">
        <v>140</v>
      </c>
      <c r="AD60" s="28" t="s">
        <v>91</v>
      </c>
      <c r="AF60" s="28" t="s">
        <v>80</v>
      </c>
      <c r="AH60" s="28" t="s">
        <v>1096</v>
      </c>
      <c r="AI60" s="28" t="s">
        <v>84</v>
      </c>
      <c r="AJ60" s="28" t="s">
        <v>80</v>
      </c>
      <c r="AK60" s="28" t="s">
        <v>100</v>
      </c>
      <c r="AL60" s="28" t="s">
        <v>112</v>
      </c>
      <c r="AM60" s="28" t="s">
        <v>84</v>
      </c>
      <c r="AN60" s="28" t="s">
        <v>82</v>
      </c>
      <c r="AO60" s="28" t="s">
        <v>84</v>
      </c>
      <c r="AP60" s="28" t="s">
        <v>84</v>
      </c>
      <c r="AQ60" s="28" t="s">
        <v>80</v>
      </c>
      <c r="AR60" s="28">
        <v>3</v>
      </c>
      <c r="AS60" s="28">
        <v>3</v>
      </c>
      <c r="AT60" s="28">
        <v>3</v>
      </c>
      <c r="AU60" s="28">
        <v>2</v>
      </c>
      <c r="AV60" s="28">
        <v>5</v>
      </c>
      <c r="AW60" s="28">
        <v>4</v>
      </c>
      <c r="AX60" s="28" t="s">
        <v>1097</v>
      </c>
      <c r="AY60" s="28" t="s">
        <v>1098</v>
      </c>
      <c r="AZ60" s="28" t="s">
        <v>1099</v>
      </c>
      <c r="BA60" s="28" t="s">
        <v>97</v>
      </c>
      <c r="BB60" s="28" t="s">
        <v>84</v>
      </c>
      <c r="BC60" s="28" t="s">
        <v>1100</v>
      </c>
      <c r="BD60" s="28" t="s">
        <v>82</v>
      </c>
      <c r="BG60" s="28" t="s">
        <v>84</v>
      </c>
      <c r="BI60" s="28" t="s">
        <v>84</v>
      </c>
      <c r="BJ60" s="28" t="s">
        <v>84</v>
      </c>
      <c r="BK60" s="28">
        <v>1</v>
      </c>
      <c r="BL60" s="28">
        <v>1</v>
      </c>
      <c r="BM60" s="28">
        <v>3</v>
      </c>
      <c r="BN60" s="28">
        <v>2</v>
      </c>
      <c r="BO60" s="28">
        <v>1</v>
      </c>
      <c r="BP60" s="28">
        <v>1</v>
      </c>
      <c r="BQ60" s="28">
        <v>2</v>
      </c>
      <c r="BR60" s="28">
        <v>1</v>
      </c>
      <c r="BS60" s="28">
        <v>4</v>
      </c>
      <c r="BT60" s="28">
        <v>3</v>
      </c>
      <c r="BU60" s="28">
        <v>3</v>
      </c>
      <c r="BV60" s="28">
        <v>1</v>
      </c>
      <c r="BW60" s="28" t="s">
        <v>118</v>
      </c>
      <c r="BX60" s="28" t="s">
        <v>82</v>
      </c>
      <c r="BY60" s="28" t="s">
        <v>1101</v>
      </c>
      <c r="BZ60" s="28" t="s">
        <v>84</v>
      </c>
      <c r="CA60" s="28" t="s">
        <v>100</v>
      </c>
      <c r="CB60" s="28" t="s">
        <v>1102</v>
      </c>
      <c r="CC60" s="28" t="s">
        <v>113</v>
      </c>
      <c r="CE60" s="28" t="s">
        <v>82</v>
      </c>
      <c r="CG60" s="28" t="s">
        <v>81</v>
      </c>
      <c r="CH60" s="28" t="s">
        <v>82</v>
      </c>
      <c r="CI60" s="28" t="s">
        <v>84</v>
      </c>
      <c r="CJ60" s="28" t="s">
        <v>82</v>
      </c>
    </row>
    <row r="61" spans="1:119" s="28" customFormat="1" ht="12.95" customHeight="1" x14ac:dyDescent="0.2">
      <c r="A61" s="27">
        <v>60</v>
      </c>
      <c r="B61" s="28">
        <v>94</v>
      </c>
      <c r="C61" s="28" t="s">
        <v>83</v>
      </c>
      <c r="D61" s="28">
        <v>11</v>
      </c>
      <c r="E61" s="28" t="s">
        <v>79</v>
      </c>
      <c r="F61" s="28">
        <v>948198235</v>
      </c>
      <c r="G61" s="28" t="s">
        <v>81</v>
      </c>
      <c r="H61" s="28" t="s">
        <v>84</v>
      </c>
      <c r="I61" s="28" t="s">
        <v>105</v>
      </c>
      <c r="K61" s="28" t="s">
        <v>84</v>
      </c>
      <c r="L61" s="28" t="s">
        <v>84</v>
      </c>
      <c r="M61" s="28" t="s">
        <v>108</v>
      </c>
      <c r="O61" s="28" t="s">
        <v>87</v>
      </c>
      <c r="P61" s="28">
        <v>30</v>
      </c>
      <c r="Q61" s="28" t="s">
        <v>1103</v>
      </c>
      <c r="R61" s="28" t="s">
        <v>84</v>
      </c>
      <c r="S61" s="28" t="s">
        <v>1104</v>
      </c>
      <c r="T61" s="28" t="s">
        <v>82</v>
      </c>
      <c r="X61" s="28" t="s">
        <v>84</v>
      </c>
      <c r="Z61" s="28" t="s">
        <v>84</v>
      </c>
      <c r="AB61" s="28" t="s">
        <v>1105</v>
      </c>
      <c r="AC61" s="28" t="s">
        <v>126</v>
      </c>
      <c r="AD61" s="28" t="s">
        <v>91</v>
      </c>
      <c r="AF61" s="28" t="s">
        <v>80</v>
      </c>
      <c r="AH61" s="28" t="s">
        <v>1106</v>
      </c>
      <c r="AI61" s="28" t="s">
        <v>84</v>
      </c>
      <c r="AJ61" s="28" t="s">
        <v>80</v>
      </c>
      <c r="AK61" s="28" t="s">
        <v>100</v>
      </c>
      <c r="AL61" s="28" t="s">
        <v>100</v>
      </c>
      <c r="AM61" s="28" t="s">
        <v>82</v>
      </c>
      <c r="AN61" s="28" t="s">
        <v>84</v>
      </c>
      <c r="AO61" s="28" t="s">
        <v>84</v>
      </c>
      <c r="AP61" s="28" t="s">
        <v>84</v>
      </c>
      <c r="AQ61" s="28" t="s">
        <v>80</v>
      </c>
      <c r="AR61" s="28">
        <v>3</v>
      </c>
      <c r="AS61" s="28">
        <v>1</v>
      </c>
      <c r="AT61" s="28">
        <v>2</v>
      </c>
      <c r="AU61" s="28">
        <v>1</v>
      </c>
      <c r="AV61" s="28">
        <v>2</v>
      </c>
      <c r="AW61" s="28">
        <v>1</v>
      </c>
      <c r="AX61" s="28" t="s">
        <v>1107</v>
      </c>
      <c r="AY61" s="28" t="s">
        <v>1108</v>
      </c>
      <c r="AZ61" s="28" t="s">
        <v>1109</v>
      </c>
      <c r="BA61" s="28" t="s">
        <v>97</v>
      </c>
      <c r="BB61" s="28" t="s">
        <v>84</v>
      </c>
      <c r="BC61" s="28" t="s">
        <v>1110</v>
      </c>
      <c r="BD61" s="28" t="s">
        <v>82</v>
      </c>
      <c r="BG61" s="28" t="s">
        <v>82</v>
      </c>
      <c r="BI61" s="28" t="s">
        <v>84</v>
      </c>
      <c r="BJ61" s="28" t="s">
        <v>84</v>
      </c>
      <c r="BK61" s="28">
        <v>3</v>
      </c>
      <c r="BL61" s="28">
        <v>1</v>
      </c>
      <c r="BM61" s="28">
        <v>4</v>
      </c>
      <c r="BN61" s="28">
        <v>2</v>
      </c>
      <c r="BO61" s="28">
        <v>2</v>
      </c>
      <c r="BP61" s="28">
        <v>1</v>
      </c>
      <c r="BQ61" s="28">
        <v>2</v>
      </c>
      <c r="BR61" s="28">
        <v>1</v>
      </c>
      <c r="BS61" s="28">
        <v>4</v>
      </c>
      <c r="BT61" s="28">
        <v>1</v>
      </c>
      <c r="BU61" s="28">
        <v>4</v>
      </c>
      <c r="BV61" s="28">
        <v>2</v>
      </c>
      <c r="BW61" s="28" t="s">
        <v>97</v>
      </c>
      <c r="BX61" s="28" t="s">
        <v>82</v>
      </c>
      <c r="BY61" s="28" t="s">
        <v>1111</v>
      </c>
      <c r="BZ61" s="28" t="s">
        <v>84</v>
      </c>
      <c r="CA61" s="28" t="s">
        <v>112</v>
      </c>
      <c r="CC61" s="28" t="s">
        <v>113</v>
      </c>
      <c r="CD61" s="28" t="s">
        <v>1112</v>
      </c>
      <c r="CE61" s="28" t="s">
        <v>84</v>
      </c>
      <c r="CH61" s="28" t="s">
        <v>84</v>
      </c>
      <c r="CI61" s="28" t="s">
        <v>82</v>
      </c>
      <c r="CJ61" s="28" t="s">
        <v>82</v>
      </c>
    </row>
    <row r="62" spans="1:119" ht="12.95" customHeight="1" x14ac:dyDescent="0.2">
      <c r="B62" s="1" t="s">
        <v>1914</v>
      </c>
    </row>
  </sheetData>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4C756-8468-4410-88D4-21C19FCB5427}">
  <dimension ref="B1:DP29"/>
  <sheetViews>
    <sheetView zoomScale="70" zoomScaleNormal="70" workbookViewId="0"/>
  </sheetViews>
  <sheetFormatPr defaultColWidth="9.140625" defaultRowHeight="12.75" x14ac:dyDescent="0.2"/>
  <cols>
    <col min="1" max="1" width="9.140625" style="9"/>
    <col min="2" max="2" width="41.28515625" style="9" bestFit="1" customWidth="1"/>
    <col min="3" max="16384" width="9.140625" style="9"/>
  </cols>
  <sheetData>
    <row r="1" spans="2:120" s="35" customFormat="1" x14ac:dyDescent="0.2">
      <c r="C1" s="35" t="s">
        <v>3570</v>
      </c>
      <c r="H1" s="35" t="s">
        <v>4015</v>
      </c>
      <c r="R1" s="35" t="s">
        <v>4016</v>
      </c>
      <c r="AB1" s="35" t="s">
        <v>4017</v>
      </c>
      <c r="AV1" s="35" t="s">
        <v>3997</v>
      </c>
      <c r="BF1" s="35" t="s">
        <v>324</v>
      </c>
      <c r="BP1" s="35" t="s">
        <v>309</v>
      </c>
      <c r="BZ1" s="35" t="s">
        <v>443</v>
      </c>
      <c r="CJ1" s="35" t="s">
        <v>107</v>
      </c>
      <c r="CT1" s="35" t="s">
        <v>363</v>
      </c>
      <c r="DD1" s="35" t="s">
        <v>377</v>
      </c>
      <c r="DN1" s="35" t="s">
        <v>161</v>
      </c>
    </row>
    <row r="2" spans="2:120" x14ac:dyDescent="0.2">
      <c r="B2" s="35" t="s">
        <v>3984</v>
      </c>
      <c r="C2" s="9" t="s">
        <v>81</v>
      </c>
      <c r="D2" s="9" t="s">
        <v>246</v>
      </c>
      <c r="H2" s="9" t="s">
        <v>81</v>
      </c>
      <c r="I2" s="9" t="s">
        <v>246</v>
      </c>
      <c r="R2" s="9" t="s">
        <v>81</v>
      </c>
      <c r="S2" s="9" t="s">
        <v>246</v>
      </c>
      <c r="AB2" s="9" t="s">
        <v>81</v>
      </c>
      <c r="AC2" s="9" t="s">
        <v>246</v>
      </c>
      <c r="AK2" s="35" t="s">
        <v>3570</v>
      </c>
      <c r="AL2" s="35" t="s">
        <v>4002</v>
      </c>
      <c r="AM2" s="35" t="s">
        <v>4014</v>
      </c>
      <c r="AN2" s="35" t="s">
        <v>4003</v>
      </c>
      <c r="AV2" s="9" t="s">
        <v>81</v>
      </c>
      <c r="AW2" s="9" t="s">
        <v>246</v>
      </c>
      <c r="BF2" s="9" t="s">
        <v>81</v>
      </c>
      <c r="BG2" s="9" t="s">
        <v>246</v>
      </c>
      <c r="BP2" s="9" t="s">
        <v>81</v>
      </c>
      <c r="BQ2" s="9" t="s">
        <v>246</v>
      </c>
      <c r="BZ2" s="9" t="s">
        <v>81</v>
      </c>
      <c r="CA2" s="9" t="s">
        <v>246</v>
      </c>
      <c r="CJ2" s="9" t="s">
        <v>81</v>
      </c>
      <c r="CK2" s="9" t="s">
        <v>246</v>
      </c>
      <c r="CT2" s="9" t="s">
        <v>81</v>
      </c>
      <c r="CU2" s="9" t="s">
        <v>246</v>
      </c>
      <c r="DD2" s="9" t="s">
        <v>81</v>
      </c>
      <c r="DE2" s="9" t="s">
        <v>246</v>
      </c>
      <c r="DN2" s="9" t="s">
        <v>81</v>
      </c>
      <c r="DO2" s="9" t="s">
        <v>246</v>
      </c>
    </row>
    <row r="3" spans="2:120" x14ac:dyDescent="0.2">
      <c r="B3" s="9" t="s">
        <v>3985</v>
      </c>
      <c r="C3" s="72">
        <f>'2'!AK3/'2'!AK4*100</f>
        <v>62.681159420289859</v>
      </c>
      <c r="D3" s="72">
        <f>'2'!AK2/'2'!AK4*100</f>
        <v>37.318840579710141</v>
      </c>
      <c r="E3" s="72"/>
      <c r="H3" s="72">
        <f>COUNTIFS('2'!$L$2:$L$496,"No",'1'!$F$2:$F$496,"*staff*")/COUNTIF('1'!$F$2:$F$496,"*staff*")*100</f>
        <v>64.38356164383562</v>
      </c>
      <c r="I3" s="72">
        <f>COUNTIFS('2'!$L$2:$L$496,"Yes",'1'!$F$2:$F$496,"*staff*")/COUNTIF('1'!$F$2:$F$496,"*staff*")*100</f>
        <v>35.61643835616438</v>
      </c>
      <c r="R3" s="72">
        <f>COUNTIFS('2'!$L$2:$L$496,"No",'1'!$F$2:$F$496,"*both*")/COUNTIF('1'!$F$2:$F$496,"*both*")*100</f>
        <v>64</v>
      </c>
      <c r="S3" s="72">
        <f>COUNTIFS('2'!$L$2:$L$496,"Yes",'1'!$F$2:$F$496,"*both*")/COUNTIF('1'!$F$2:$F$496,"*both*")*100</f>
        <v>36</v>
      </c>
      <c r="AB3" s="72">
        <f>COUNTIFS('2'!$L$2:$L$496,"No",'1'!$F$2:$F$496,"*users work*")/COUNTIF('1'!$F$2:$F$496,"*users work*")*100</f>
        <v>50</v>
      </c>
      <c r="AC3" s="72">
        <f>COUNTIFS('2'!$L$2:$L$496,"Yes",'1'!$F$2:$F$496,"*users work*")/COUNTIF('1'!$F$2:$F$496,"*users work*")*100</f>
        <v>50</v>
      </c>
      <c r="AK3" s="72">
        <f>C3</f>
        <v>62.681159420289859</v>
      </c>
      <c r="AL3" s="72">
        <f>COUNTIFS('2'!$L$2:$L$496,"No",'1'!$F$2:$F$496,"*staff*")/COUNTIF('1'!$F$2:$F$496,"*staff*")*100</f>
        <v>64.38356164383562</v>
      </c>
      <c r="AM3" s="72">
        <f>COUNTIFS('2'!$L$2:$L$496,"No",'1'!$F$2:$F$496,"*both*")/COUNTIF('1'!$F$2:$F$496,"*both*")*100</f>
        <v>64</v>
      </c>
      <c r="AN3" s="72">
        <f>COUNTIFS('2'!$L$2:$L$496,"No",'1'!$F$2:$F$496,"*users work*")/COUNTIF('1'!$F$2:$F$496,"*users work*")*100</f>
        <v>50</v>
      </c>
      <c r="AV3" s="72">
        <f>COUNTIFS('2'!$L$2:$L$496,"No",'1'!$B$2:$B$496,"*flow cytometry*")/COUNTIF('1'!$B$2:$B$496,"*flow cytometry*")*100</f>
        <v>60</v>
      </c>
      <c r="AW3" s="72">
        <f>COUNTIFS('2'!$L$2:$L$496,"Yes",'1'!$B$2:$B$496,"*flow cytometry*")/COUNTIF('1'!$B$2:$B$496,"*flow cytometry*")*100</f>
        <v>40</v>
      </c>
      <c r="AX3" s="74"/>
      <c r="BF3" s="72">
        <f>COUNTIFS('2'!$L$2:$L$496,"No",'1'!$B$2:$B$496,"*genomics*")/COUNTIF('1'!$B$2:$B$496,"*genomics*")*100</f>
        <v>42.424242424242422</v>
      </c>
      <c r="BG3" s="72">
        <f>COUNTIFS('2'!$L$2:$L$496,"Yes",'1'!$B$2:$B$496,"*genomics*")/COUNTIF('1'!$B$2:$B$496,"*genomics*")*100</f>
        <v>57.575757575757578</v>
      </c>
      <c r="BH3" s="74"/>
      <c r="BP3" s="72">
        <f>COUNTIFS('2'!$L$2:$L$496,"No",'1'!$B$2:$B$496,"*histology*")/COUNTIF('1'!$B$2:$B$496,"*histology*")*100</f>
        <v>54.54545454545454</v>
      </c>
      <c r="BQ3" s="72">
        <f>COUNTIFS('2'!$L$2:$L$496,"Yes",'1'!$B$2:$B$496,"*histology*")/COUNTIF('1'!$B$2:$B$496,"*histology*")*100</f>
        <v>45.454545454545453</v>
      </c>
      <c r="BR3" s="74"/>
      <c r="BZ3" s="72">
        <f>COUNTIFS('2'!$L$2:$L$496,"No",'1'!$B$2:$B$496,"*metabolomics*")/COUNTIF('1'!$B$2:$B$496,"*metabolomics*")*100</f>
        <v>75</v>
      </c>
      <c r="CA3" s="72">
        <f>COUNTIFS('2'!$L$2:$L$496,"Yes",'1'!$B$2:$B$496,"*metabolomics*")/COUNTIF('1'!$B$2:$B$496,"*metabolomics*")*100</f>
        <v>25</v>
      </c>
      <c r="CB3" s="74"/>
      <c r="CJ3" s="72">
        <f>COUNTIFS('2'!$L$2:$L$496,"No",'1'!$B$2:$B$496,"*microscopy*")/COUNTIF('1'!$B$2:$B$496,"*microscopy*")*100</f>
        <v>66.666666666666657</v>
      </c>
      <c r="CK3" s="72">
        <f>COUNTIFS('2'!$L$2:$L$496,"Yes",'1'!$B$2:$B$496,"*microscopy*")/COUNTIF('1'!$B$2:$B$496,"*microscopy*")*100</f>
        <v>33.333333333333329</v>
      </c>
      <c r="CL3" s="74"/>
      <c r="CT3" s="72">
        <f>COUNTIFS('2'!$L$2:$L$496,"No",'1'!$B$2:$B$496,"*mouse*")/COUNTIF('1'!$B$2:$B$496,"*mouse*")*100</f>
        <v>62.5</v>
      </c>
      <c r="CU3" s="72">
        <f>COUNTIFS('2'!$L$2:$L$496,"Yes",'1'!$B$2:$B$496,"*mouse*")/COUNTIF('1'!$B$2:$B$496,"*mouse*")*100</f>
        <v>37.5</v>
      </c>
      <c r="CV3" s="74"/>
      <c r="DD3" s="72">
        <f>COUNTIFS('2'!$L$2:$L$496,"No",'1'!$B$2:$B$496,"*protein expression*")/COUNTIF('1'!$B$2:$B$496,"*protein expression*")*100</f>
        <v>50</v>
      </c>
      <c r="DE3" s="72">
        <f>COUNTIFS('2'!$L$2:$L$496,"Yes",'1'!$B$2:$B$496,"*protein expression*")/COUNTIF('1'!$B$2:$B$496,"*protein expression*")*100</f>
        <v>50</v>
      </c>
      <c r="DF3" s="74"/>
      <c r="DN3" s="72">
        <f>COUNTIFS('2'!$L$2:$L$496,"No",'1'!$B$2:$B$496,"*proteomics*")/COUNTIF('1'!$B$2:$B$496,"*proteomics*")*100</f>
        <v>54.285714285714285</v>
      </c>
      <c r="DO3" s="72">
        <f>COUNTIFS('2'!$L$2:$L$496,"Yes",'1'!$B$2:$B$496,"*proteomics*")/COUNTIF('1'!$B$2:$B$496,"*proteomics*")*100</f>
        <v>45.714285714285715</v>
      </c>
      <c r="DP3" s="74"/>
    </row>
    <row r="4" spans="2:120" x14ac:dyDescent="0.2">
      <c r="B4" s="9" t="s">
        <v>3986</v>
      </c>
      <c r="C4" s="72">
        <f>'3'!H2/'3'!H4*100</f>
        <v>89.179104477611943</v>
      </c>
      <c r="D4" s="72">
        <f>'3'!H3/'3'!H4*100</f>
        <v>10.820895522388058</v>
      </c>
      <c r="E4" s="72"/>
      <c r="H4" s="72">
        <f>COUNTIFS('3'!$B$2:$B$496,"Yes",'1'!$F$2:$F$496,"*staff*")/COUNTIFS('1'!$F$2:$F$496,"*staff*",'3'!$B$2:$B$496,"&lt;&gt;NA")*100</f>
        <v>69.117647058823522</v>
      </c>
      <c r="I4" s="72">
        <f>COUNTIFS('3'!$B$2:$B$496,"No",'1'!$F$2:$F$496,"*staff*")/COUNTIFS('1'!$F$2:$F$496,"*staff*",'3'!$B$2:$B$496,"&lt;&gt;NA")*100</f>
        <v>30.882352941176471</v>
      </c>
      <c r="R4" s="72">
        <f>COUNTIFS('3'!$B$2:$B$496,"Yes",'1'!$F$2:$F$496,"*both*")/COUNTIFS('1'!$F$2:$F$496,"*both*",'3'!$B$2:$B$496,"&lt;&gt;NA")*100</f>
        <v>95.930232558139537</v>
      </c>
      <c r="S4" s="72">
        <f>COUNTIFS('3'!$B$2:$B$496,"No",'1'!$F$2:$F$496,"*both*")/COUNTIFS('1'!$F$2:$F$496,"*both*",'3'!$B$2:$B$496,"&lt;&gt;NA")*100</f>
        <v>4.0697674418604652</v>
      </c>
      <c r="AB4" s="72">
        <f>COUNTIFS('3'!$B$2:$B$496,"Yes",'1'!$F$2:$F$496,"*users work*")/COUNTIFS('1'!$F$2:$F$496,"*users work*",'3'!$B$2:$B$496,"&lt;&gt;NA")*100</f>
        <v>96.428571428571431</v>
      </c>
      <c r="AC4" s="72">
        <f>COUNTIFS('3'!$B$2:$B$496,"No",'1'!$F$2:$F$496,"*users work*")/COUNTIFS('1'!$F$2:$F$496,"*users work*",'3'!$B$2:$B$496,"&lt;&gt;NA")*100</f>
        <v>3.5714285714285712</v>
      </c>
      <c r="AK4" s="72">
        <f t="shared" ref="AK4:AK14" si="0">C4</f>
        <v>89.179104477611943</v>
      </c>
      <c r="AL4" s="72">
        <f>COUNTIFS('3'!$B$2:$B$496,"Yes",'1'!$F$2:$F$496,"*staff*")/COUNTIFS('1'!$F$2:$F$496,"*staff*",'3'!$B$2:$B$496,"&lt;&gt;NA")*100</f>
        <v>69.117647058823522</v>
      </c>
      <c r="AM4" s="72">
        <f>COUNTIFS('3'!$B$2:$B$496,"Yes",'1'!$F$2:$F$496,"*both*")/COUNTIFS('1'!$F$2:$F$496,"*both*",'3'!$B$2:$B$496,"&lt;&gt;NA")*100</f>
        <v>95.930232558139537</v>
      </c>
      <c r="AN4" s="72">
        <f>COUNTIFS('3'!$B$2:$B$496,"Yes",'1'!$F$2:$F$496,"*users work*")/COUNTIFS('1'!$F$2:$F$496,"*users work*",'3'!$B$2:$B$496,"&lt;&gt;NA")*100</f>
        <v>96.428571428571431</v>
      </c>
      <c r="AV4" s="72">
        <f>COUNTIFS('3'!$B$2:$B$496,"Yes",'1'!$B$2:$B$496,"*flow cytometry*")/COUNTIFS('1'!$B$2:$B$496,"*flow cytometry*",'3'!$B$2:$B$496,"&lt;&gt;NA")*100</f>
        <v>97.916666666666657</v>
      </c>
      <c r="AW4" s="72">
        <f>COUNTIFS('3'!$B$2:$B$496,"No",'1'!$B$2:$B$496,"*flow cytometry*")/COUNTIFS('1'!$B$2:$B$496,"*flow cytometry*",'3'!$B$2:$B$496,"&lt;&gt;NA")*100</f>
        <v>2.083333333333333</v>
      </c>
      <c r="AX4" s="74"/>
      <c r="BF4" s="72">
        <f>COUNTIFS('3'!$B$2:$B$496,"Yes",'1'!$B$2:$B$496,"*genomics*")/COUNTIFS('1'!$B$2:$B$496,"*genomics*",'3'!$B$2:$B$496,"&lt;&gt;NA")*100</f>
        <v>75.757575757575751</v>
      </c>
      <c r="BG4" s="72">
        <f>COUNTIFS('3'!$B$2:$B$496,"No",'1'!$B$2:$B$496,"*genomics*")/COUNTIFS('1'!$B$2:$B$496,"*genomics*",'3'!$B$2:$B$496,"&lt;&gt;NA")*100</f>
        <v>24.242424242424242</v>
      </c>
      <c r="BH4" s="74"/>
      <c r="BP4" s="72">
        <f>COUNTIFS('3'!$B$2:$B$496,"Yes",'1'!$B$2:$B$496,"*histology*")/COUNTIFS('1'!$B$2:$B$496,"*histology*",'3'!$B$2:$B$496,"&lt;&gt;NA")*100</f>
        <v>100</v>
      </c>
      <c r="BQ4" s="72">
        <f>COUNTIFS('3'!$B$2:$B$496,"No",'1'!$B$2:$B$496,"*histology*")/COUNTIFS('1'!$B$2:$B$496,"*histology*",'3'!$B$2:$B$496,"&lt;&gt;NA")*100</f>
        <v>0</v>
      </c>
      <c r="BR4" s="74"/>
      <c r="BZ4" s="72">
        <f>COUNTIFS('3'!$B$2:$B$496,"Yes",'1'!$B$2:$B$496,"*metabolomics*")/COUNTIFS('1'!$B$2:$B$496,"*metabolomics*",'3'!$B$2:$B$496,"&lt;&gt;NA")*100</f>
        <v>75</v>
      </c>
      <c r="CA4" s="72">
        <f>COUNTIFS('3'!$B$2:$B$496,"No",'1'!$B$2:$B$496,"*metabolomics*")/COUNTIFS('1'!$B$2:$B$496,"*metabolomics*",'3'!$B$2:$B$496,"&lt;&gt;NA")*100</f>
        <v>25</v>
      </c>
      <c r="CB4" s="74"/>
      <c r="CJ4" s="72">
        <f>COUNTIFS('3'!$B$2:$B$496,"Yes",'1'!$B$2:$B$496,"*microscopy*")/COUNTIFS('1'!$B$2:$B$496,"*microscopy*",'3'!$B$2:$B$496,"&lt;&gt;NA")*100</f>
        <v>96.825396825396822</v>
      </c>
      <c r="CK4" s="72">
        <f>COUNTIFS('3'!$B$2:$B$496,"No",'1'!$B$2:$B$496,"*microscopy*")/COUNTIFS('1'!$B$2:$B$496,"*microscopy*",'3'!$B$2:$B$496,"&lt;&gt;NA")*100</f>
        <v>3.1746031746031744</v>
      </c>
      <c r="CL4" s="74"/>
      <c r="CT4" s="72">
        <f>COUNTIFS('3'!$B$2:$B$496,"Yes",'1'!$B$2:$B$496,"*mouse*")/COUNTIFS('1'!$B$2:$B$496,"*mouse*",'3'!$B$2:$B$496,"&lt;&gt;NA")*100</f>
        <v>93.333333333333329</v>
      </c>
      <c r="CU4" s="72">
        <f>COUNTIFS('3'!$B$2:$B$496,"No",'1'!$B$2:$B$496,"*mouse*")/COUNTIFS('1'!$B$2:$B$496,"*mouse*",'3'!$B$2:$B$496,"&lt;&gt;NA")*100</f>
        <v>6.666666666666667</v>
      </c>
      <c r="CV4" s="74"/>
      <c r="DD4" s="72">
        <f>COUNTIFS('3'!$B$2:$B$496,"Yes",'1'!$B$2:$B$496,"*protein expression*")/COUNTIFS('1'!$B$2:$B$496,"*protein expression*",'3'!$B$2:$B$496,"&lt;&gt;NA")*100</f>
        <v>75</v>
      </c>
      <c r="DE4" s="72">
        <f>COUNTIFS('3'!$B$2:$B$496,"No",'1'!$B$2:$B$496,"*protein expression*")/COUNTIFS('1'!$B$2:$B$496,"*protein expression*",'3'!$B$2:$B$496,"&lt;&gt;NA")*100</f>
        <v>25</v>
      </c>
      <c r="DF4" s="74"/>
      <c r="DN4" s="72">
        <f>COUNTIFS('3'!$B$2:$B$496,"Yes",'1'!$B$2:$B$496,"*proteomics*")/COUNTIFS('1'!$B$2:$B$496,"*proteomics*",'3'!$B$2:$B$496,"&lt;&gt;NA")*100</f>
        <v>81.818181818181827</v>
      </c>
      <c r="DO4" s="72">
        <f>COUNTIFS('3'!$B$2:$B$496,"No",'1'!$B$2:$B$496,"*proteomics*")/COUNTIFS('1'!$B$2:$B$496,"*proteomics*",'3'!$B$2:$B$496,"&lt;&gt;NA")*100</f>
        <v>18.181818181818183</v>
      </c>
      <c r="DP4" s="74"/>
    </row>
    <row r="5" spans="2:120" x14ac:dyDescent="0.2">
      <c r="B5" s="9" t="s">
        <v>3987</v>
      </c>
      <c r="C5" s="72">
        <f>('4'!S3+'4'!S4)/'4'!S5*100</f>
        <v>98.550724637681171</v>
      </c>
      <c r="D5" s="72">
        <f>'4'!S2/'4'!S5*100</f>
        <v>1.4492753623188406</v>
      </c>
      <c r="E5" s="72"/>
      <c r="H5" s="72">
        <f>COUNTIFS('4'!$B$2:$B$496,"Yes*",'1'!$F$2:$F$496,"*staff*")/COUNTIF('1'!$F$2:$F$496,"*staff*")*100</f>
        <v>98.630136986301366</v>
      </c>
      <c r="I5" s="72">
        <f>COUNTIFS('4'!$B$2:$B$496,"No",'1'!$F$2:$F$496,"*staff*")/COUNTIF('1'!$F$2:$F$496,"*staff*")*100</f>
        <v>1.3698630136986301</v>
      </c>
      <c r="R5" s="72">
        <f>COUNTIFS('4'!$B$2:$B$496,"Yes*",'1'!$F$2:$F$496,"*both*")/COUNTIF('1'!$F$2:$F$496,"*both*")*100</f>
        <v>98.857142857142861</v>
      </c>
      <c r="S5" s="72">
        <f>COUNTIFS('4'!$B$2:$B$496,"No",'1'!$F$2:$F$496,"*both*")/COUNTIF('1'!$F$2:$F$496,"*both*")*100</f>
        <v>1.1428571428571428</v>
      </c>
      <c r="AB5" s="72">
        <f>COUNTIFS('4'!$B$2:$B$496,"Yes*",'1'!$F$2:$F$496,"*users work*")/COUNTIF('1'!$F$2:$F$496,"*users work*")*100</f>
        <v>96.428571428571431</v>
      </c>
      <c r="AC5" s="72">
        <f>COUNTIFS('4'!$B$2:$B$496,"No",'1'!$F$2:$F$496,"*users work*")/COUNTIF('1'!$F$2:$F$496,"*users work*")*100</f>
        <v>3.5714285714285712</v>
      </c>
      <c r="AK5" s="72">
        <f t="shared" si="0"/>
        <v>98.550724637681171</v>
      </c>
      <c r="AL5" s="72">
        <f>COUNTIFS('4'!$B$2:$B$496,"Yes*",'1'!$F$2:$F$496,"*staff*")/COUNTIF('1'!$F$2:$F$496,"*staff*")*100</f>
        <v>98.630136986301366</v>
      </c>
      <c r="AM5" s="72">
        <f>COUNTIFS('4'!$B$2:$B$496,"Yes*",'1'!$F$2:$F$496,"*both*")/COUNTIF('1'!$F$2:$F$496,"*both*")*100</f>
        <v>98.857142857142861</v>
      </c>
      <c r="AN5" s="72">
        <f>COUNTIFS('4'!$B$2:$B$496,"Yes*",'1'!$F$2:$F$496,"*users work*")/COUNTIF('1'!$F$2:$F$496,"*users work*")*100</f>
        <v>96.428571428571431</v>
      </c>
      <c r="AV5" s="72">
        <f>COUNTIFS('4'!$B$2:$B$496,"Yes*",'1'!$B$2:$B$496,"*flow cytometry*")/COUNTIF('1'!$B$2:$B$496,"*flow cytometry*")*100</f>
        <v>100</v>
      </c>
      <c r="AW5" s="72">
        <f>COUNTIFS('4'!$B$2:$B$496,"No",'1'!$B$2:$B$496,"*flow cytometry*")/COUNTIF('1'!$B$2:$B$496,"*flow cytometry*")*100</f>
        <v>0</v>
      </c>
      <c r="AX5" s="74"/>
      <c r="BF5" s="72">
        <f>COUNTIFS('4'!$B$2:$B$496,"Yes*",'1'!$B$2:$B$496,"*genomics*")/COUNTIF('1'!$B$2:$B$496,"*genomics*")*100</f>
        <v>100</v>
      </c>
      <c r="BG5" s="72">
        <f>COUNTIFS('4'!$B$2:$B$496,"No",'1'!$B$2:$B$496,"*genomics*")/COUNTIF('1'!$B$2:$B$496,"*genomics*")*100</f>
        <v>0</v>
      </c>
      <c r="BH5" s="74"/>
      <c r="BP5" s="72">
        <f>COUNTIFS('4'!$B$2:$B$496,"Yes*",'1'!$B$2:$B$496,"*histology*")/COUNTIF('1'!$B$2:$B$496,"*histology*")*100</f>
        <v>100</v>
      </c>
      <c r="BQ5" s="72">
        <f>COUNTIFS('4'!$B$2:$B$496,"No",'1'!$B$2:$B$496,"*histology*")/COUNTIF('1'!$B$2:$B$496,"*histology*")*100</f>
        <v>0</v>
      </c>
      <c r="BR5" s="74"/>
      <c r="BZ5" s="72">
        <f>COUNTIFS('4'!$B$2:$B$496,"Yes*",'1'!$B$2:$B$496,"*metabolomics*")/COUNTIF('1'!$B$2:$B$496,"*metabolomics*")*100</f>
        <v>100</v>
      </c>
      <c r="CA5" s="72">
        <f>COUNTIFS('4'!$B$2:$B$496,"No",'1'!$B$2:$B$496,"*metabolomics*")/COUNTIF('1'!$B$2:$B$496,"*metabolomics*")*100</f>
        <v>0</v>
      </c>
      <c r="CB5" s="74"/>
      <c r="CJ5" s="72">
        <f>COUNTIFS('4'!$B$2:$B$496,"Yes*",'1'!$B$2:$B$496,"*microscopy*")/COUNTIF('1'!$B$2:$B$496,"*microscopy*")*100</f>
        <v>98.412698412698404</v>
      </c>
      <c r="CK5" s="72">
        <f>COUNTIFS('4'!$B$2:$B$496,"No",'1'!$B$2:$B$496,"*microscopy*")/COUNTIF('1'!$B$2:$B$496,"*microscopy*")*100</f>
        <v>1.5873015873015872</v>
      </c>
      <c r="CL5" s="74"/>
      <c r="CT5" s="72">
        <f>COUNTIFS('4'!$B$2:$B$496,"Yes*",'1'!$B$2:$B$496,"*mouse*")/COUNTIF('1'!$B$2:$B$496,"*mouse*")*100</f>
        <v>100</v>
      </c>
      <c r="CU5" s="72">
        <f>COUNTIFS('4'!$B$2:$B$496,"No",'1'!$B$2:$B$496,"*mouse*")/COUNTIF('1'!$B$2:$B$496,"*mouse*")*100</f>
        <v>0</v>
      </c>
      <c r="CV5" s="74"/>
      <c r="DD5" s="72">
        <f>COUNTIFS('4'!$B$2:$B$496,"Yes*",'1'!$B$2:$B$496,"*protein expression*")/COUNTIF('1'!$B$2:$B$496,"*protein expression*")*100</f>
        <v>100</v>
      </c>
      <c r="DE5" s="72">
        <f>COUNTIFS('4'!$B$2:$B$496,"No",'1'!$B$2:$B$496,"*protein expression*")/COUNTIF('1'!$B$2:$B$496,"*protein expression*")*100</f>
        <v>0</v>
      </c>
      <c r="DF5" s="74"/>
      <c r="DN5" s="72">
        <f>COUNTIFS('4'!$B$2:$B$496,"Yes*",'1'!$B$2:$B$496,"*proteomics*")/COUNTIF('1'!$B$2:$B$496,"*proteomics*")*100</f>
        <v>100</v>
      </c>
      <c r="DO5" s="72">
        <f>COUNTIFS('4'!$B$2:$B$496,"No",'1'!$B$2:$B$496,"*proteomics*")/COUNTIF('1'!$B$2:$B$496,"*proteomics*")*100</f>
        <v>0</v>
      </c>
      <c r="DP5" s="74"/>
    </row>
    <row r="6" spans="2:120" x14ac:dyDescent="0.2">
      <c r="B6" s="9" t="s">
        <v>3988</v>
      </c>
      <c r="C6" s="72">
        <f>'5'!I2/'5'!I4*100</f>
        <v>95.63636363636364</v>
      </c>
      <c r="D6" s="72">
        <f>'5'!I3/'5'!I4*100</f>
        <v>4.3636363636363642</v>
      </c>
      <c r="E6" s="72"/>
      <c r="H6" s="72">
        <f>COUNTIFS('5'!$B$2:$B$496,"Yes*",'1'!$F$2:$F$496,"*staff*")/COUNTIFS('1'!$F$2:$F$496,"*staff*",'5'!$B$2:$B$496,"&lt;&gt;NA",'5'!$B$2:$B$496,"&lt;&gt;N/A")*100</f>
        <v>98.611111111111114</v>
      </c>
      <c r="I6" s="72">
        <f>COUNTIFS('5'!$B$2:$B$496,"No*",'1'!$F$2:$F$496,"*staff*")/COUNTIFS('1'!$F$2:$F$496,"*staff*",'5'!$B$2:$B$496,"&lt;&gt;NA",'5'!$B$2:$B$496,"&lt;&gt;N/A")*100</f>
        <v>1.3888888888888888</v>
      </c>
      <c r="R6" s="72">
        <f>COUNTIFS('5'!$B$2:$B$496,"Yes*",'1'!$F$2:$F$496,"*both*")/COUNTIFS('1'!$F$2:$F$496,"*both*",'5'!$B$2:$B$496,"&lt;&gt;NA",'5'!$B$2:$B$496,"&lt;&gt;N/A")*100</f>
        <v>94.857142857142861</v>
      </c>
      <c r="S6" s="72">
        <f>COUNTIFS('5'!$B$2:$B$496,"No*",'1'!$F$2:$F$496,"*both*")/COUNTIFS('1'!$F$2:$F$496,"*both*",'5'!$B$2:$B$496,"&lt;&gt;NA",'5'!$B$2:$B$496,"&lt;&gt;N/A")*100</f>
        <v>5.1428571428571423</v>
      </c>
      <c r="AB6" s="72">
        <f>COUNTIFS('5'!$B$2:$B$496,"Yes*",'1'!$F$2:$F$496,"*users work*")/COUNTIFS('1'!$F$2:$F$496,"*users work*",'5'!$B$2:$B$496,"&lt;&gt;NA",'5'!$B$2:$B$496,"&lt;&gt;N/A")*100</f>
        <v>92.857142857142861</v>
      </c>
      <c r="AC6" s="72">
        <f>COUNTIFS('5'!$B$2:$B$496,"No*",'1'!$F$2:$F$496,"*users work*")/COUNTIFS('1'!$F$2:$F$496,"*users work*",'5'!$B$2:$B$496,"&lt;&gt;NA",'5'!$B$2:$B$496,"&lt;&gt;N/A")*100</f>
        <v>7.1428571428571423</v>
      </c>
      <c r="AK6" s="72">
        <f t="shared" si="0"/>
        <v>95.63636363636364</v>
      </c>
      <c r="AL6" s="72">
        <f>COUNTIFS('5'!$B$2:$B$496,"Yes*",'1'!$F$2:$F$496,"*staff*")/COUNTIFS('1'!$F$2:$F$496,"*staff*",'5'!$B$2:$B$496,"&lt;&gt;NA",'5'!$B$2:$B$496,"&lt;&gt;N/A")*100</f>
        <v>98.611111111111114</v>
      </c>
      <c r="AM6" s="72">
        <f>COUNTIFS('5'!$B$2:$B$496,"Yes*",'1'!$F$2:$F$496,"*both*")/COUNTIFS('1'!$F$2:$F$496,"*both*",'5'!$B$2:$B$496,"&lt;&gt;NA",'5'!$B$2:$B$496,"&lt;&gt;N/A")*100</f>
        <v>94.857142857142861</v>
      </c>
      <c r="AN6" s="72">
        <f>COUNTIFS('5'!$B$2:$B$496,"Yes*",'1'!$F$2:$F$496,"*users work*")/COUNTIFS('1'!$F$2:$F$496,"*users work*",'5'!$B$2:$B$496,"&lt;&gt;NA",'5'!$B$2:$B$496,"&lt;&gt;N/A")*100</f>
        <v>92.857142857142861</v>
      </c>
      <c r="AV6" s="72">
        <f>COUNTIFS('5'!$B$2:$B$496,"Yes*",'1'!$B$2:$B$496,"*flow cytometry*")/COUNTIFS('1'!$B$2:$B$496,"*flow cytometry*",'5'!$B$2:$B$496,"&lt;&gt;NA",'5'!$B$2:$B$496,"&lt;&gt;N/A")*100</f>
        <v>96</v>
      </c>
      <c r="AW6" s="72">
        <f>COUNTIFS('5'!$B$2:$B$496,"No*",'1'!$B$2:$B$496,"*flow cytometry*")/COUNTIFS('1'!$B$2:$B$496,"*flow cytometry*",'5'!$B$2:$B$496,"&lt;&gt;NA",'5'!$B$2:$B$496,"&lt;&gt;N/A")*100</f>
        <v>4</v>
      </c>
      <c r="AX6" s="74"/>
      <c r="BF6" s="72">
        <f>COUNTIFS('5'!$B$2:$B$496,"Yes*",'1'!$B$2:$B$496,"*genomics*")/COUNTIFS('1'!$B$2:$B$496,"*genomics*",'5'!$B$2:$B$496,"&lt;&gt;NA",'5'!$B$2:$B$496,"&lt;&gt;N/A")*100</f>
        <v>96.969696969696969</v>
      </c>
      <c r="BG6" s="72">
        <f>COUNTIFS('5'!$B$2:$B$496,"No*",'1'!$B$2:$B$496,"*genomics*")/COUNTIFS('1'!$B$2:$B$496,"*genomics*",'5'!$B$2:$B$496,"&lt;&gt;NA",'5'!$B$2:$B$496,"&lt;&gt;N/A")*100</f>
        <v>3.0303030303030303</v>
      </c>
      <c r="BH6" s="74"/>
      <c r="BP6" s="72">
        <f>COUNTIFS('5'!$B$2:$B$496,"Yes*",'1'!$B$2:$B$496,"*histology*")/COUNTIFS('1'!$B$2:$B$496,"*histology*",'5'!$B$2:$B$496,"&lt;&gt;NA",'5'!$B$2:$B$496,"&lt;&gt;N/A")*100</f>
        <v>100</v>
      </c>
      <c r="BQ6" s="72">
        <f>COUNTIFS('5'!$B$2:$B$496,"No*",'1'!$B$2:$B$496,"*histology*")/COUNTIFS('1'!$B$2:$B$496,"*histology*",'5'!$B$2:$B$496,"&lt;&gt;NA",'5'!$B$2:$B$496,"&lt;&gt;N/A")*100</f>
        <v>0</v>
      </c>
      <c r="BR6" s="74"/>
      <c r="BZ6" s="72">
        <f>COUNTIFS('5'!$B$2:$B$496,"Yes*",'1'!$B$2:$B$496,"*metabolomics*")/COUNTIFS('1'!$B$2:$B$496,"*metabolomics*",'5'!$B$2:$B$496,"&lt;&gt;NA",'5'!$B$2:$B$496,"&lt;&gt;N/A")*100</f>
        <v>100</v>
      </c>
      <c r="CA6" s="72">
        <f>COUNTIFS('5'!$B$2:$B$496,"No*",'1'!$B$2:$B$496,"*metabolomics*")/COUNTIFS('1'!$B$2:$B$496,"*metabolomics*",'5'!$B$2:$B$496,"&lt;&gt;NA",'5'!$B$2:$B$496,"&lt;&gt;N/A")*100</f>
        <v>0</v>
      </c>
      <c r="CB6" s="74"/>
      <c r="CJ6" s="72">
        <f>COUNTIFS('5'!$B$2:$B$496,"Yes*",'1'!$B$2:$B$496,"*microscopy*")/COUNTIFS('1'!$B$2:$B$496,"*microscopy*",'5'!$B$2:$B$496,"&lt;&gt;NA",'5'!$B$2:$B$496,"&lt;&gt;N/A")*100</f>
        <v>100</v>
      </c>
      <c r="CK6" s="72">
        <f>COUNTIFS('5'!$B$2:$B$496,"No*",'1'!$B$2:$B$496,"*microscopy*")/COUNTIFS('1'!$B$2:$B$496,"*microscopy*",'5'!$B$2:$B$496,"&lt;&gt;NA",'5'!$B$2:$B$496,"&lt;&gt;N/A")*100</f>
        <v>0</v>
      </c>
      <c r="CL6" s="74"/>
      <c r="CT6" s="72">
        <f>COUNTIFS('5'!$B$2:$B$496,"Yes*",'1'!$B$2:$B$496,"*mouse*")/COUNTIFS('1'!$B$2:$B$496,"*mouse*",'5'!$B$2:$B$496,"&lt;&gt;NA",'5'!$B$2:$B$496,"&lt;&gt;N/A")*100</f>
        <v>93.75</v>
      </c>
      <c r="CU6" s="72">
        <f>COUNTIFS('5'!$B$2:$B$496,"No*",'1'!$B$2:$B$496,"*mouse*")/COUNTIFS('1'!$B$2:$B$496,"*mouse*",'5'!$B$2:$B$496,"&lt;&gt;NA",'5'!$B$2:$B$496,"&lt;&gt;N/A")*100</f>
        <v>6.25</v>
      </c>
      <c r="CV6" s="74"/>
      <c r="DD6" s="72">
        <f>COUNTIFS('5'!$B$2:$B$496,"Yes*",'1'!$B$2:$B$496,"*protein expression*")/COUNTIFS('1'!$B$2:$B$496,"*protein expression*",'5'!$B$2:$B$496,"&lt;&gt;NA",'5'!$B$2:$B$496,"&lt;&gt;N/A")*100</f>
        <v>100</v>
      </c>
      <c r="DE6" s="72">
        <f>COUNTIFS('5'!$B$2:$B$496,"No*",'1'!$B$2:$B$496,"*protein expression*")/COUNTIFS('1'!$B$2:$B$496,"*protein expression*",'5'!$B$2:$B$496,"&lt;&gt;NA",'5'!$B$2:$B$496,"&lt;&gt;N/A")*100</f>
        <v>0</v>
      </c>
      <c r="DF6" s="74"/>
      <c r="DN6" s="72">
        <f>COUNTIFS('5'!$B$2:$B$496,"Yes*",'1'!$B$2:$B$496,"*proteomics*")/COUNTIFS('1'!$B$2:$B$496,"*proteomics*",'5'!$B$2:$B$496,"&lt;&gt;NA",'5'!$B$2:$B$496,"&lt;&gt;N/A")*100</f>
        <v>100</v>
      </c>
      <c r="DO6" s="72">
        <f>COUNTIFS('5'!$B$2:$B$496,"No*",'1'!$B$2:$B$496,"*proteomics*")/COUNTIFS('1'!$B$2:$B$496,"*proteomics*",'5'!$B$2:$B$496,"&lt;&gt;NA",'5'!$B$2:$B$496,"&lt;&gt;N/A")*100</f>
        <v>0</v>
      </c>
      <c r="DP6" s="74"/>
    </row>
    <row r="7" spans="2:120" x14ac:dyDescent="0.2">
      <c r="B7" s="9" t="s">
        <v>3989</v>
      </c>
      <c r="C7" s="72">
        <f>'6'!Q2/('6'!Q5-'6'!Q4)*100</f>
        <v>73.725490196078439</v>
      </c>
      <c r="D7" s="72">
        <f>'6'!Q3/('6'!Q5-'6'!Q4)*100</f>
        <v>26.274509803921571</v>
      </c>
      <c r="E7" s="72"/>
      <c r="H7" s="72">
        <f>COUNTIFS('6'!$B$2:$B$496,"Yes*",'1'!$F$2:$F$496,"*staff*")/COUNTIFS('1'!$F$2:$F$496,"*staff*",'6'!$B$2:$B$496,"&lt;&gt;NA",'6'!$B$2:$B$496,"&lt;&gt;N/A")*100</f>
        <v>74.626865671641795</v>
      </c>
      <c r="I7" s="72">
        <f>COUNTIFS('6'!$B$2:$B$496,"No",'1'!$F$2:$F$496,"*staff*")/COUNTIFS('1'!$F$2:$F$496,"*staff*",'6'!$B$2:$B$496,"&lt;&gt;NA",'6'!$B$2:$B$496,"&lt;&gt;N/A")*100</f>
        <v>25.373134328358208</v>
      </c>
      <c r="R7" s="72">
        <f>COUNTIFS('6'!$B$2:$B$496,"Yes*",'1'!$F$2:$F$496,"*both*")/COUNTIFS('1'!$F$2:$F$496,"*both*",'6'!$B$2:$B$496,"&lt;&gt;NA",'6'!$B$2:$B$496,"&lt;&gt;N/A")*100</f>
        <v>76.397515527950304</v>
      </c>
      <c r="S7" s="72">
        <f>COUNTIFS('6'!$B$2:$B$496,"No",'1'!$F$2:$F$496,"*both*")/COUNTIFS('1'!$F$2:$F$496,"*both*",'6'!$B$2:$B$496,"&lt;&gt;NA",'6'!$B$2:$B$496,"&lt;&gt;N/A")*100</f>
        <v>23.602484472049689</v>
      </c>
      <c r="AB7" s="72">
        <f>COUNTIFS('6'!$B$2:$B$496,"Yes*",'1'!$F$2:$F$496,"*users work*")/COUNTIFS('1'!$F$2:$F$496,"*users work*",'6'!$B$2:$B$496,"&lt;&gt;NA",'6'!$B$2:$B$496,"&lt;&gt;N/A")*100</f>
        <v>55.555555555555557</v>
      </c>
      <c r="AC7" s="72">
        <f>COUNTIFS('6'!$B$2:$B$496,"No",'1'!$F$2:$F$496,"*users work*")/COUNTIFS('1'!$F$2:$F$496,"*users work*",'6'!$B$2:$B$496,"&lt;&gt;NA",'6'!$B$2:$B$496,"&lt;&gt;N/A")*100</f>
        <v>44.444444444444443</v>
      </c>
      <c r="AK7" s="72">
        <f t="shared" si="0"/>
        <v>73.725490196078439</v>
      </c>
      <c r="AL7" s="72">
        <f>COUNTIFS('6'!$B$2:$B$496,"Yes*",'1'!$F$2:$F$496,"*staff*")/COUNTIFS('1'!$F$2:$F$496,"*staff*",'6'!$B$2:$B$496,"&lt;&gt;NA",'6'!$B$2:$B$496,"&lt;&gt;N/A")*100</f>
        <v>74.626865671641795</v>
      </c>
      <c r="AM7" s="72">
        <f>COUNTIFS('6'!$B$2:$B$496,"Yes*",'1'!$F$2:$F$496,"*both*")/COUNTIFS('1'!$F$2:$F$496,"*both*",'6'!$B$2:$B$496,"&lt;&gt;NA",'6'!$B$2:$B$496,"&lt;&gt;N/A")*100</f>
        <v>76.397515527950304</v>
      </c>
      <c r="AN7" s="72">
        <f>COUNTIFS('6'!$B$2:$B$496,"Yes*",'1'!$F$2:$F$496,"*users work*")/COUNTIFS('1'!$F$2:$F$496,"*users work*",'6'!$B$2:$B$496,"&lt;&gt;NA",'6'!$B$2:$B$496,"&lt;&gt;N/A")*100</f>
        <v>55.555555555555557</v>
      </c>
      <c r="AV7" s="72">
        <f>COUNTIFS('6'!$B$2:$B$496,"Yes*",'1'!$B$2:$B$496,"*flow cytometry*")/COUNTIFS('1'!$B$2:$B$496,"*flow cytometry*",'6'!$B$2:$B$496,"&lt;&gt;NA",'6'!$B$2:$B$496,"&lt;&gt;N/A")*100</f>
        <v>61.702127659574465</v>
      </c>
      <c r="AW7" s="72">
        <f>COUNTIFS('6'!$B$2:$B$496,"No",'1'!$B$2:$B$496,"*flow cytometry*")/COUNTIFS('1'!$B$2:$B$496,"*flow cytometry*",'6'!$B$2:$B$496,"&lt;&gt;NA",'6'!$B$2:$B$496,"&lt;&gt;N/A")*100</f>
        <v>38.297872340425535</v>
      </c>
      <c r="AX7" s="74"/>
      <c r="BF7" s="72">
        <f>COUNTIFS('6'!$B$2:$B$496,"Yes*",'1'!$B$2:$B$496,"*genomics*")/COUNTIFS('1'!$B$2:$B$496,"*genomics*",'6'!$B$2:$B$496,"&lt;&gt;NA",'6'!$B$2:$B$496,"&lt;&gt;N/A")*100</f>
        <v>60</v>
      </c>
      <c r="BG7" s="72">
        <f>COUNTIFS('6'!$B$2:$B$496,"No",'1'!$B$2:$B$496,"*genomics*")/COUNTIFS('1'!$B$2:$B$496,"*genomics*",'6'!$B$2:$B$496,"&lt;&gt;NA",'6'!$B$2:$B$496,"&lt;&gt;N/A")*100</f>
        <v>40</v>
      </c>
      <c r="BH7" s="74"/>
      <c r="BP7" s="72">
        <f>COUNTIFS('6'!$B$2:$B$496,"Yes*",'1'!$B$2:$B$496,"*histology*")/COUNTIFS('1'!$B$2:$B$496,"*histology*",'6'!$B$2:$B$496,"&lt;&gt;NA",'6'!$B$2:$B$496,"&lt;&gt;N/A")*100</f>
        <v>90</v>
      </c>
      <c r="BQ7" s="72">
        <f>COUNTIFS('6'!$B$2:$B$496,"No",'1'!$B$2:$B$496,"*histology*")/COUNTIFS('1'!$B$2:$B$496,"*histology*",'6'!$B$2:$B$496,"&lt;&gt;NA",'6'!$B$2:$B$496,"&lt;&gt;N/A")*100</f>
        <v>10</v>
      </c>
      <c r="BR7" s="74"/>
      <c r="BZ7" s="72">
        <f>COUNTIFS('6'!$B$2:$B$496,"Yes*",'1'!$B$2:$B$496,"*metabolomics*")/COUNTIFS('1'!$B$2:$B$496,"*metabolomics*",'6'!$B$2:$B$496,"&lt;&gt;NA",'6'!$B$2:$B$496,"&lt;&gt;N/A")*100</f>
        <v>75</v>
      </c>
      <c r="CA7" s="72">
        <f>COUNTIFS('6'!$B$2:$B$496,"No",'1'!$B$2:$B$496,"*metabolomics*")/COUNTIFS('1'!$B$2:$B$496,"*metabolomics*",'6'!$B$2:$B$496,"&lt;&gt;NA",'6'!$B$2:$B$496,"&lt;&gt;N/A")*100</f>
        <v>25</v>
      </c>
      <c r="CB7" s="74"/>
      <c r="CJ7" s="72">
        <f>COUNTIFS('6'!$B$2:$B$496,"Yes*",'1'!$B$2:$B$496,"*microscopy*")/COUNTIFS('1'!$B$2:$B$496,"*microscopy*",'6'!$B$2:$B$496,"&lt;&gt;NA",'6'!$B$2:$B$496,"&lt;&gt;N/A")*100</f>
        <v>70.689655172413794</v>
      </c>
      <c r="CK7" s="72">
        <f>COUNTIFS('6'!$B$2:$B$496,"No",'1'!$B$2:$B$496,"*microscopy*")/COUNTIFS('1'!$B$2:$B$496,"*microscopy*",'6'!$B$2:$B$496,"&lt;&gt;NA",'6'!$B$2:$B$496,"&lt;&gt;N/A")*100</f>
        <v>29.310344827586203</v>
      </c>
      <c r="CL7" s="74"/>
      <c r="CT7" s="72">
        <f>COUNTIFS('6'!$B$2:$B$496,"Yes*",'1'!$B$2:$B$496,"*mouse*")/COUNTIFS('1'!$B$2:$B$496,"*mouse*",'6'!$B$2:$B$496,"&lt;&gt;NA",'6'!$B$2:$B$496,"&lt;&gt;N/A")*100</f>
        <v>93.333333333333329</v>
      </c>
      <c r="CU7" s="72">
        <f>COUNTIFS('6'!$B$2:$B$496,"No",'1'!$B$2:$B$496,"*mouse*")/COUNTIFS('1'!$B$2:$B$496,"*mouse*",'6'!$B$2:$B$496,"&lt;&gt;NA",'6'!$B$2:$B$496,"&lt;&gt;N/A")*100</f>
        <v>6.666666666666667</v>
      </c>
      <c r="CV7" s="74"/>
      <c r="DD7" s="72">
        <f>COUNTIFS('6'!$B$2:$B$496,"Yes*",'1'!$B$2:$B$496,"*protein expression*")/COUNTIFS('1'!$B$2:$B$496,"*protein expression*",'6'!$B$2:$B$496,"&lt;&gt;NA",'6'!$B$2:$B$496,"&lt;&gt;N/A")*100</f>
        <v>87.5</v>
      </c>
      <c r="DE7" s="72">
        <f>COUNTIFS('6'!$B$2:$B$496,"No",'1'!$B$2:$B$496,"*protein expression*")/COUNTIFS('1'!$B$2:$B$496,"*protein expression*",'6'!$B$2:$B$496,"&lt;&gt;NA",'6'!$B$2:$B$496,"&lt;&gt;N/A")*100</f>
        <v>12.5</v>
      </c>
      <c r="DF7" s="74"/>
      <c r="DN7" s="72">
        <f>COUNTIFS('6'!$B$2:$B$496,"Yes*",'1'!$B$2:$B$496,"*proteomics*")/COUNTIFS('1'!$B$2:$B$496,"*proteomics*",'6'!$B$2:$B$496,"&lt;&gt;NA",'6'!$B$2:$B$496,"&lt;&gt;N/A")*100</f>
        <v>84.848484848484844</v>
      </c>
      <c r="DO7" s="72">
        <f>COUNTIFS('6'!$B$2:$B$496,"No",'1'!$B$2:$B$496,"*proteomics*")/COUNTIFS('1'!$B$2:$B$496,"*proteomics*",'6'!$B$2:$B$496,"&lt;&gt;NA",'6'!$B$2:$B$496,"&lt;&gt;N/A")*100</f>
        <v>15.151515151515152</v>
      </c>
      <c r="DP7" s="74"/>
    </row>
    <row r="8" spans="2:120" x14ac:dyDescent="0.2">
      <c r="B8" s="9" t="s">
        <v>3990</v>
      </c>
      <c r="C8" s="72">
        <f>'6'!AX2/'6'!AX4*100</f>
        <v>98.892988929889299</v>
      </c>
      <c r="D8" s="72">
        <f>'6'!AX3/'6'!AX4*100</f>
        <v>1.107011070110701</v>
      </c>
      <c r="E8" s="72"/>
      <c r="H8" s="72">
        <f>COUNTIFS('6'!$F$2:$F$496,"Yes*",'1'!$F$2:$F$496,"*staff*")/COUNTIFS('1'!$F$2:$F$496,"*staff*",'6'!$F$2:$F$496,"&lt;&gt;N/A")*100</f>
        <v>97.142857142857139</v>
      </c>
      <c r="I8" s="72">
        <f>COUNTIFS('6'!$F$2:$F$496,"No",'1'!$F$2:$F$496,"*staff*")/COUNTIFS('1'!$F$2:$F$496,"*staff*",'6'!$F$2:$F$496,"&lt;&gt;N/A")*100</f>
        <v>2.8571428571428572</v>
      </c>
      <c r="R8" s="72">
        <f>COUNTIFS('6'!$F$2:$F$496,"Yes*",'1'!$F$2:$F$496,"*both*")/COUNTIFS('1'!$F$2:$F$496,"*both*",'6'!$F$2:$F$496,"&lt;&gt;N/A")*100</f>
        <v>99.421965317919074</v>
      </c>
      <c r="S8" s="72">
        <f>COUNTIFS('6'!$F$2:$F$496,"No",'1'!$F$2:$F$496,"*both*")/COUNTIFS('1'!$F$2:$F$496,"*both*",'6'!$F$2:$F$496,"&lt;&gt;N/A")*100</f>
        <v>0.57803468208092479</v>
      </c>
      <c r="AB8" s="72">
        <f>COUNTIFS('6'!$F$2:$F$496,"Yes*",'1'!$F$2:$F$496,"*users work*")/COUNTIFS('1'!$F$2:$F$496,"*users work*",'6'!$F$2:$F$496,"&lt;&gt;N/A")*100</f>
        <v>100</v>
      </c>
      <c r="AC8" s="72">
        <f>COUNTIFS('6'!$F$2:$F$496,"No",'1'!$F$2:$F$496,"*users work*")/COUNTIFS('1'!$F$2:$F$496,"*users work*",'6'!$F$2:$F$496,"&lt;&gt;N/A")*100</f>
        <v>0</v>
      </c>
      <c r="AK8" s="72">
        <f t="shared" si="0"/>
        <v>98.892988929889299</v>
      </c>
      <c r="AL8" s="72">
        <f>COUNTIFS('6'!$F$2:$F$496,"Yes*",'1'!$F$2:$F$496,"*staff*")/COUNTIFS('1'!$F$2:$F$496,"*staff*",'6'!$F$2:$F$496,"&lt;&gt;N/A")*100</f>
        <v>97.142857142857139</v>
      </c>
      <c r="AM8" s="72">
        <f>COUNTIFS('6'!$F$2:$F$496,"Yes*",'1'!$F$2:$F$496,"*both*")/COUNTIFS('1'!$F$2:$F$496,"*both*",'6'!$F$2:$F$496,"&lt;&gt;N/A")*100</f>
        <v>99.421965317919074</v>
      </c>
      <c r="AN8" s="72">
        <f>COUNTIFS('6'!$F$2:$F$496,"Yes*",'1'!$F$2:$F$496,"*users work*")/COUNTIFS('1'!$F$2:$F$496,"*users work*",'6'!$F$2:$F$496,"&lt;&gt;N/A")*100</f>
        <v>100</v>
      </c>
      <c r="AV8" s="72">
        <f>COUNTIFS('6'!$F$2:$F$496,"Yes*",'1'!$B$2:$B$496,"*flow cytometry*")/COUNTIFS('1'!$B$2:$B$496,"*flow cytometry*",'6'!$F$2:$F$496,"&lt;&gt;N/A")*100</f>
        <v>98</v>
      </c>
      <c r="AW8" s="72">
        <f>COUNTIFS('6'!$F$2:$F$496,"No",'1'!$B$2:$B$496,"*flow cytometry*")/COUNTIFS('1'!$B$2:$B$496,"*flow cytometry*",'6'!$F$2:$F$496,"&lt;&gt;N/A")*100</f>
        <v>2</v>
      </c>
      <c r="AX8" s="74"/>
      <c r="BF8" s="72">
        <f>COUNTIFS('6'!$F$2:$F$496,"Yes*",'1'!$B$2:$B$496,"*genomics*")/COUNTIFS('1'!$B$2:$B$496,"*genomics*",'6'!$F$2:$F$496,"&lt;&gt;N/A")*100</f>
        <v>100</v>
      </c>
      <c r="BG8" s="72">
        <f>COUNTIFS('6'!$F$2:$F$496,"No",'1'!$B$2:$B$496,"*genomics*")/COUNTIFS('1'!$B$2:$B$496,"*genomics*",'6'!$F$2:$F$496,"&lt;&gt;N/A")*100</f>
        <v>0</v>
      </c>
      <c r="BH8" s="74"/>
      <c r="BP8" s="72">
        <f>COUNTIFS('6'!$F$2:$F$496,"Yes*",'1'!$B$2:$B$496,"*histology*")/COUNTIFS('1'!$B$2:$B$496,"*histology*",'6'!$F$2:$F$496,"&lt;&gt;N/A")*100</f>
        <v>100</v>
      </c>
      <c r="BQ8" s="72">
        <f>COUNTIFS('6'!$F$2:$F$496,"No",'1'!$B$2:$B$496,"*histology*")/COUNTIFS('1'!$B$2:$B$496,"*histology*",'6'!$F$2:$F$496,"&lt;&gt;N/A")*100</f>
        <v>0</v>
      </c>
      <c r="BR8" s="74"/>
      <c r="BZ8" s="72">
        <f>COUNTIFS('6'!$F$2:$F$496,"Yes*",'1'!$B$2:$B$496,"*metabolomics*")/COUNTIFS('1'!$B$2:$B$496,"*metabolomics*",'6'!$F$2:$F$496,"&lt;&gt;N/A")*100</f>
        <v>100</v>
      </c>
      <c r="CA8" s="72">
        <f>COUNTIFS('6'!$F$2:$F$496,"No",'1'!$B$2:$B$496,"*metabolomics*")/COUNTIFS('1'!$B$2:$B$496,"*metabolomics*",'6'!$F$2:$F$496,"&lt;&gt;N/A")*100</f>
        <v>0</v>
      </c>
      <c r="CB8" s="74"/>
      <c r="CJ8" s="72">
        <f>COUNTIFS('6'!$F$2:$F$496,"Yes*",'1'!$B$2:$B$496,"*microscopy*")/COUNTIFS('1'!$B$2:$B$496,"*microscopy*",'6'!$F$2:$F$496,"&lt;&gt;N/A")*100</f>
        <v>100</v>
      </c>
      <c r="CK8" s="72">
        <f>COUNTIFS('6'!$F$2:$F$496,"No",'1'!$B$2:$B$496,"*microscopy*")/COUNTIFS('1'!$B$2:$B$496,"*microscopy*",'6'!$F$2:$F$496,"&lt;&gt;N/A")*100</f>
        <v>0</v>
      </c>
      <c r="CL8" s="74"/>
      <c r="CT8" s="72">
        <f>COUNTIFS('6'!$F$2:$F$496,"Yes*",'1'!$B$2:$B$496,"*mouse*")/COUNTIFS('1'!$B$2:$B$496,"*mouse*",'6'!$F$2:$F$496,"&lt;&gt;N/A")*100</f>
        <v>100</v>
      </c>
      <c r="CU8" s="72">
        <f>COUNTIFS('6'!$F$2:$F$496,"No",'1'!$B$2:$B$496,"*mouse*")/COUNTIFS('1'!$B$2:$B$496,"*mouse*",'6'!$F$2:$F$496,"&lt;&gt;N/A")*100</f>
        <v>0</v>
      </c>
      <c r="CV8" s="74"/>
      <c r="DD8" s="72">
        <f>COUNTIFS('6'!$F$2:$F$496,"Yes*",'1'!$B$2:$B$496,"*protein expression*")/COUNTIFS('1'!$B$2:$B$496,"*protein expression*",'6'!$F$2:$F$496,"&lt;&gt;N/A")*100</f>
        <v>100</v>
      </c>
      <c r="DE8" s="72">
        <f>COUNTIFS('6'!$F$2:$F$496,"No",'1'!$B$2:$B$496,"*protein expression*")/COUNTIFS('1'!$B$2:$B$496,"*protein expression*",'6'!$F$2:$F$496,"&lt;&gt;N/A")*100</f>
        <v>0</v>
      </c>
      <c r="DF8" s="74"/>
      <c r="DN8" s="72">
        <f>COUNTIFS('6'!$F$2:$F$496,"Yes*",'1'!$B$2:$B$496,"*proteomics*")/COUNTIFS('1'!$B$2:$B$496,"*proteomics*",'6'!$F$2:$F$496,"&lt;&gt;N/A")*100</f>
        <v>97.142857142857139</v>
      </c>
      <c r="DO8" s="72">
        <f>COUNTIFS('6'!$F$2:$F$496,"No",'1'!$B$2:$B$496,"*proteomics*")/COUNTIFS('1'!$B$2:$B$496,"*proteomics*",'6'!$F$2:$F$496,"&lt;&gt;N/A")*100</f>
        <v>2.8571428571428572</v>
      </c>
      <c r="DP8" s="74"/>
    </row>
    <row r="9" spans="2:120" x14ac:dyDescent="0.2">
      <c r="B9" s="9" t="s">
        <v>3991</v>
      </c>
      <c r="C9" s="72">
        <f>'7b'!AG2/'7b'!AG4*100</f>
        <v>84.883720930232556</v>
      </c>
      <c r="D9" s="72">
        <f>'7b'!AG3/'7b'!AG4*100</f>
        <v>15.11627906976744</v>
      </c>
      <c r="E9" s="72"/>
      <c r="H9" s="72">
        <f>COUNTIFS('7b'!$C$2:$C$496,"Yes*",'1'!$F$2:$F$496,"*staff*")/COUNTIFS('1'!$F$2:$F$496,"*staff*",'7b'!$C$2:$C$496,"&lt;&gt;N/A")*100</f>
        <v>52.631578947368418</v>
      </c>
      <c r="I9" s="72">
        <f>COUNTIFS('7b'!$C$2:$C$496,"No",'1'!$F$2:$F$496,"*staff*")/COUNTIFS('1'!$F$2:$F$496,"*staff*",'7b'!$C$2:$C$496,"&lt;&gt;N/A")*100</f>
        <v>47.368421052631575</v>
      </c>
      <c r="R9" s="72">
        <f>COUNTIFS('7b'!$C$2:$C$496,"Yes*",'1'!$F$2:$F$496,"*both*")/COUNTIFS('1'!$F$2:$F$496,"*both*",'7b'!$C$2:$C$496,"&lt;&gt;N/A")*100</f>
        <v>90.769230769230774</v>
      </c>
      <c r="S9" s="72">
        <f>COUNTIFS('7b'!$C$2:$C$496,"No",'1'!$F$2:$F$496,"*both*")/COUNTIFS('1'!$F$2:$F$496,"*both*",'7b'!$C$2:$C$496,"&lt;&gt;N/A")*100</f>
        <v>9.2307692307692317</v>
      </c>
      <c r="AB9" s="72">
        <f>COUNTIFS('7b'!$C$2:$C$496,"Yes*",'1'!$F$2:$F$496,"*users work*")/COUNTIFS('1'!$F$2:$F$496,"*users work*",'7b'!$C$2:$C$496,"&lt;&gt;N/A")*100</f>
        <v>78.260869565217391</v>
      </c>
      <c r="AC9" s="72">
        <f>COUNTIFS('7b'!$C$2:$C$496,"No",'1'!$F$2:$F$496,"*users work*")/COUNTIFS('1'!$F$2:$F$496,"*users work*",'7b'!$C$2:$C$496,"&lt;&gt;N/A")*100</f>
        <v>21.739130434782609</v>
      </c>
      <c r="AK9" s="72">
        <f t="shared" si="0"/>
        <v>84.883720930232556</v>
      </c>
      <c r="AL9" s="72">
        <f>COUNTIFS('7b'!$C$2:$C$496,"Yes*",'1'!$F$2:$F$496,"*staff*")/COUNTIFS('1'!$F$2:$F$496,"*staff*",'7b'!$C$2:$C$496,"&lt;&gt;N/A")*100</f>
        <v>52.631578947368418</v>
      </c>
      <c r="AM9" s="72">
        <f>COUNTIFS('7b'!$C$2:$C$496,"Yes*",'1'!$F$2:$F$496,"*both*")/COUNTIFS('1'!$F$2:$F$496,"*both*",'7b'!$C$2:$C$496,"&lt;&gt;N/A")*100</f>
        <v>90.769230769230774</v>
      </c>
      <c r="AN9" s="72">
        <f>COUNTIFS('7b'!$C$2:$C$496,"Yes*",'1'!$F$2:$F$496,"*users work*")/COUNTIFS('1'!$F$2:$F$496,"*users work*",'7b'!$C$2:$C$496,"&lt;&gt;N/A")*100</f>
        <v>78.260869565217391</v>
      </c>
      <c r="AV9" s="72">
        <f>COUNTIFS('7b'!$C$2:$C$496,"Yes*",'1'!$B$2:$B$496,"*flow cytometry*")/COUNTIFS('1'!$B$2:$B$496,"*flow cytometry*",'7b'!$C$2:$C$496,"&lt;&gt;N/A")*100</f>
        <v>91.304347826086953</v>
      </c>
      <c r="AW9" s="72">
        <f>COUNTIFS('7b'!$C$2:$C$496,"No",'1'!$B$2:$B$496,"*flow cytometry*")/COUNTIFS('1'!$B$2:$B$496,"*flow cytometry*",'7b'!$C$2:$C$496,"&lt;&gt;N/A")*100</f>
        <v>8.695652173913043</v>
      </c>
      <c r="AX9" s="74"/>
      <c r="BF9" s="72">
        <f>COUNTIFS('7b'!$C$2:$C$496,"Yes*",'1'!$B$2:$B$496,"*genomics*")/COUNTIFS('1'!$B$2:$B$496,"*genomics*",'7b'!$C$2:$C$496,"&lt;&gt;N/A")*100</f>
        <v>50</v>
      </c>
      <c r="BG9" s="72">
        <f>COUNTIFS('7b'!$C$2:$C$496,"No",'1'!$B$2:$B$496,"*genomics*")/COUNTIFS('1'!$B$2:$B$496,"*genomics*",'7b'!$C$2:$C$496,"&lt;&gt;N/A")*100</f>
        <v>50</v>
      </c>
      <c r="BH9" s="74"/>
      <c r="BP9" s="72">
        <f>COUNTIFS('7b'!$C$2:$C$496,"Yes*",'1'!$B$2:$B$496,"*histology*")/COUNTIFS('1'!$B$2:$B$496,"*histology*",'7b'!$C$2:$C$496,"&lt;&gt;N/A")*100</f>
        <v>88.888888888888886</v>
      </c>
      <c r="BQ9" s="72">
        <f>COUNTIFS('7b'!$C$2:$C$496,"No",'1'!$B$2:$B$496,"*histology*")/COUNTIFS('1'!$B$2:$B$496,"*histology*",'7b'!$C$2:$C$496,"&lt;&gt;N/A")*100</f>
        <v>11.111111111111111</v>
      </c>
      <c r="BR9" s="74"/>
      <c r="BZ9" s="72">
        <f>COUNTIFS('7b'!$C$2:$C$496,"Yes*",'1'!$B$2:$B$496,"*metabolomics*")/COUNTIFS('1'!$B$2:$B$496,"*metabolomics*",'7b'!$C$2:$C$496,"&lt;&gt;N/A")*100</f>
        <v>100</v>
      </c>
      <c r="CA9" s="72">
        <f>COUNTIFS('7b'!$C$2:$C$496,"No",'1'!$B$2:$B$496,"*metabolomics*")/COUNTIFS('1'!$B$2:$B$496,"*metabolomics*",'7b'!$C$2:$C$496,"&lt;&gt;N/A")*100</f>
        <v>0</v>
      </c>
      <c r="CB9" s="74"/>
      <c r="CJ9" s="72">
        <f>COUNTIFS('7b'!$C$2:$C$496,"Yes*",'1'!$B$2:$B$496,"*microscopy*")/COUNTIFS('1'!$B$2:$B$496,"*microscopy*",'7b'!$C$2:$C$496,"&lt;&gt;N/A")*100</f>
        <v>92.857142857142861</v>
      </c>
      <c r="CK9" s="72">
        <f>COUNTIFS('7b'!$C$2:$C$496,"No",'1'!$B$2:$B$496,"*microscopy*")/COUNTIFS('1'!$B$2:$B$496,"*microscopy*",'7b'!$C$2:$C$496,"&lt;&gt;N/A")*100</f>
        <v>7.1428571428571423</v>
      </c>
      <c r="CL9" s="74"/>
      <c r="CT9" s="72">
        <f>COUNTIFS('7b'!$C$2:$C$496,"Yes*",'1'!$B$2:$B$496,"*mouse*")/COUNTIFS('1'!$B$2:$B$496,"*mouse*",'7b'!$C$2:$C$496,"&lt;&gt;N/A")*100</f>
        <v>54.54545454545454</v>
      </c>
      <c r="CU9" s="72">
        <f>COUNTIFS('7b'!$C$2:$C$496,"No",'1'!$B$2:$B$496,"*mouse*")/COUNTIFS('1'!$B$2:$B$496,"*mouse*",'7b'!$C$2:$C$496,"&lt;&gt;N/A")*100</f>
        <v>45.454545454545453</v>
      </c>
      <c r="CV9" s="74"/>
      <c r="DD9" s="72">
        <f>COUNTIFS('7b'!$C$2:$C$496,"Yes*",'1'!$B$2:$B$496,"*protein expression*")/COUNTIFS('1'!$B$2:$B$496,"*protein expression*",'7b'!$C$2:$C$496,"&lt;&gt;N/A")*100</f>
        <v>75</v>
      </c>
      <c r="DE9" s="72">
        <f>COUNTIFS('7b'!$C$2:$C$496,"No",'1'!$B$2:$B$496,"*protein expression*")/COUNTIFS('1'!$B$2:$B$496,"*protein expression*",'7b'!$C$2:$C$496,"&lt;&gt;N/A")*100</f>
        <v>25</v>
      </c>
      <c r="DF9" s="74"/>
      <c r="DN9" s="72">
        <f>COUNTIFS('7b'!$C$2:$C$496,"Yes*",'1'!$B$2:$B$496,"*proteomics*")/COUNTIFS('1'!$B$2:$B$496,"*proteomics*",'7b'!$C$2:$C$496,"&lt;&gt;N/A")*100</f>
        <v>100</v>
      </c>
      <c r="DO9" s="72">
        <f>COUNTIFS('7b'!$C$2:$C$496,"No",'1'!$B$2:$B$496,"*proteomics*")/COUNTIFS('1'!$B$2:$B$496,"*proteomics*",'7b'!$C$2:$C$496,"&lt;&gt;N/A")*100</f>
        <v>0</v>
      </c>
      <c r="DP9" s="74"/>
    </row>
    <row r="10" spans="2:120" x14ac:dyDescent="0.2">
      <c r="B10" s="9" t="s">
        <v>3992</v>
      </c>
      <c r="C10" s="72">
        <f>('7a'!AD2+'7a'!AD3)/'7a'!AD6*100</f>
        <v>64.390243902439025</v>
      </c>
      <c r="D10" s="72">
        <f>('7a'!AD4+'7a'!AD5)/'7a'!AD6*100</f>
        <v>35.609756097560975</v>
      </c>
      <c r="E10" s="72"/>
      <c r="H10" s="75">
        <f>(COUNTIFS('7a'!$C$2:$C$496,"*facility",'1'!$F$2:$F$496,"*staff*")+COUNTIFS('7a'!$C$2:$C$496,"both",'1'!$F$2:$F$496,"*staff*"))/COUNTIFS('1'!$F$2:$F$496,"*staff*",'7a'!$C$2:$C$496,"&lt;&gt;")*100</f>
        <v>82.142857142857139</v>
      </c>
      <c r="I10" s="75">
        <f>(COUNTIFS('7a'!$C$2:$C$496,"*user",'1'!$F$2:$F$496,"*staff*")+COUNTIFS('7a'!$C$2:$C$496,"other",'1'!$F$2:$F$496,"*staff*"))/COUNTIFS('1'!$F$2:$F$496,"*staff*",'7a'!$C$2:$C$496,"&lt;&gt;")*100</f>
        <v>17.857142857142858</v>
      </c>
      <c r="R10" s="75">
        <f>(COUNTIFS('7a'!$C$2:$C$496,"*facility",'1'!$F$2:$F$496,"*both*")+COUNTIFS('7a'!$C$2:$C$496,"both",'1'!$F$2:$F$496,"*both*"))/COUNTIFS('1'!$F$2:$F$496,"*both*",'7a'!$C$2:$C$496,"&lt;&gt;")*100</f>
        <v>58.992805755395686</v>
      </c>
      <c r="S10" s="75">
        <f>(COUNTIFS('7a'!$C$2:$C$496,"*user",'1'!$F$2:$F$496,"*both*")+COUNTIFS('7a'!$C$2:$C$496,"other",'1'!$F$2:$F$496,"*both*"))/COUNTIFS('1'!$F$2:$F$496,"*both*",'7a'!$C$2:$C$496,"&lt;&gt;")*100</f>
        <v>41.007194244604314</v>
      </c>
      <c r="AB10" s="75">
        <f>(COUNTIFS('7a'!$C$2:$C$496,"*facility",'1'!$F$2:$F$496,"*users work*")+COUNTIFS('7a'!$C$2:$C$496,"both",'1'!$F$2:$F$496,"*users work*"))/COUNTIFS('1'!$F$2:$F$496,"*users work*",'7a'!$C$2:$C$496,"&lt;&gt;")*100</f>
        <v>40</v>
      </c>
      <c r="AC10" s="75">
        <f>(COUNTIFS('7a'!$C$2:$C$496,"*user",'1'!$F$2:$F$496,"*users work*")+COUNTIFS('7a'!$C$2:$C$496,"other",'1'!$F$2:$F$496,"*users work*"))/COUNTIFS('1'!$F$2:$F$496,"*users work*",'7a'!$C$2:$C$496,"&lt;&gt;")*100</f>
        <v>60</v>
      </c>
      <c r="AK10" s="72">
        <f t="shared" si="0"/>
        <v>64.390243902439025</v>
      </c>
      <c r="AL10" s="75">
        <f>(COUNTIFS('7a'!$C$2:$C$496,"*facility",'1'!$F$2:$F$496,"*staff*")+COUNTIFS('7a'!$C$2:$C$496,"both",'1'!$F$2:$F$496,"*staff*"))/COUNTIFS('1'!$F$2:$F$496,"*staff*",'7a'!$C$2:$C$496,"&lt;&gt;")*100</f>
        <v>82.142857142857139</v>
      </c>
      <c r="AM10" s="75">
        <f>(COUNTIFS('7a'!$C$2:$C$496,"*facility",'1'!$F$2:$F$496,"*both*")+COUNTIFS('7a'!$C$2:$C$496,"both",'1'!$F$2:$F$496,"*both*"))/COUNTIFS('1'!$F$2:$F$496,"*both*",'7a'!$C$2:$C$496,"&lt;&gt;")*100</f>
        <v>58.992805755395686</v>
      </c>
      <c r="AN10" s="75">
        <f>(COUNTIFS('7a'!$C$2:$C$496,"*facility",'1'!$F$2:$F$496,"*users work*")+COUNTIFS('7a'!$C$2:$C$496,"both",'1'!$F$2:$F$496,"*users work*"))/COUNTIFS('1'!$F$2:$F$496,"*users work*",'7a'!$C$2:$C$496,"&lt;&gt;")*100</f>
        <v>40</v>
      </c>
      <c r="AV10" s="75">
        <f>(COUNTIFS('7a'!$C$2:$C$496,"*facility",'1'!$B$2:$B$496,"*flow cytometry*")+COUNTIFS('7a'!$C$2:$C$496,"both",'1'!$B$2:$B$496,"*flow cytometry*"))/COUNTIFS('1'!$B$2:$B$496,"*flow cytometry*",'7a'!$C$2:$C$496,"&lt;&gt;")*100</f>
        <v>53.658536585365859</v>
      </c>
      <c r="AW10" s="75">
        <f>(COUNTIFS('7a'!$C$2:$C$496,"*user",'1'!$B$2:$B$496,"*flow cytometry*")+COUNTIFS('7a'!$C$2:$C$496,"other",'1'!$B$2:$B$496,"*flow cytometry*"))/COUNTIFS('1'!$B$2:$B$496,"*flow cytometry*",'7a'!$C$2:$C$496,"&lt;&gt;")*100</f>
        <v>46.341463414634148</v>
      </c>
      <c r="AX10" s="74"/>
      <c r="BF10" s="75">
        <f>(COUNTIFS('7a'!$C$2:$C$496,"*facility",'1'!$B$2:$B$496,"*genomics*")+COUNTIFS('7a'!$C$2:$C$496,"both",'1'!$B$2:$B$496,"*genomics*"))/COUNTIFS('1'!$B$2:$B$496,"*genomics*",'7a'!$C$2:$C$496,"&lt;&gt;")*100</f>
        <v>75</v>
      </c>
      <c r="BG10" s="75">
        <f>(COUNTIFS('7a'!$C$2:$C$496,"*user",'1'!$B$2:$B$496,"*genomics*")+COUNTIFS('7a'!$C$2:$C$496,"other",'1'!$B$2:$B$496,"*genomics*"))/COUNTIFS('1'!$B$2:$B$496,"*genomics*",'7a'!$C$2:$C$496,"&lt;&gt;")*100</f>
        <v>25</v>
      </c>
      <c r="BH10" s="74"/>
      <c r="BP10" s="75">
        <f>(COUNTIFS('7a'!$C$2:$C$496,"*facility",'1'!$B$2:$B$496,"*histology*")+COUNTIFS('7a'!$C$2:$C$496,"both",'1'!$B$2:$B$496,"*histology*"))/COUNTIFS('1'!$B$2:$B$496,"*histology*",'7a'!$C$2:$C$496,"&lt;&gt;")*100</f>
        <v>57.142857142857139</v>
      </c>
      <c r="BQ10" s="75">
        <f>(COUNTIFS('7a'!$C$2:$C$496,"*user",'1'!$B$2:$B$496,"*histology*")+COUNTIFS('7a'!$C$2:$C$496,"other",'1'!$B$2:$B$496,"*histology*"))/COUNTIFS('1'!$B$2:$B$496,"*histology*",'7a'!$C$2:$C$496,"&lt;&gt;")*100</f>
        <v>42.857142857142854</v>
      </c>
      <c r="BR10" s="74"/>
      <c r="BZ10" s="75">
        <f>(COUNTIFS('7a'!$C$2:$C$496,"*facility",'1'!$B$2:$B$496,"*metabolomics*")+COUNTIFS('7a'!$C$2:$C$496,"both",'1'!$B$2:$B$496,"*metabolomics*"))/COUNTIFS('1'!$B$2:$B$496,"*metabolomics*",'7a'!$C$2:$C$496,"&lt;&gt;")*100</f>
        <v>100</v>
      </c>
      <c r="CA10" s="75">
        <f>(COUNTIFS('7a'!$C$2:$C$496,"*user",'1'!$B$2:$B$496,"*metabolomics*")+COUNTIFS('7a'!$C$2:$C$496,"other",'1'!$B$2:$B$496,"*metabolomics*"))/COUNTIFS('1'!$B$2:$B$496,"*metabolomics*",'7a'!$C$2:$C$496,"&lt;&gt;")*100</f>
        <v>0</v>
      </c>
      <c r="CB10" s="74"/>
      <c r="CJ10" s="75">
        <f>(COUNTIFS('7a'!$C$2:$C$496,"*facility",'1'!$B$2:$B$496,"*microscopy*")+COUNTIFS('7a'!$C$2:$C$496,"both",'1'!$B$2:$B$496,"*microscopy*"))/COUNTIFS('1'!$B$2:$B$496,"*microscopy*",'7a'!$C$2:$C$496,"&lt;&gt;")*100</f>
        <v>48</v>
      </c>
      <c r="CK10" s="75">
        <f>(COUNTIFS('7a'!$C$2:$C$496,"*user",'1'!$B$2:$B$496,"*microscopy*")+COUNTIFS('7a'!$C$2:$C$496,"other",'1'!$B$2:$B$496,"*microscopy*"))/COUNTIFS('1'!$B$2:$B$496,"*microscopy*",'7a'!$C$2:$C$496,"&lt;&gt;")*100</f>
        <v>52</v>
      </c>
      <c r="CL10" s="74"/>
      <c r="CT10" s="75">
        <f>(COUNTIFS('7a'!$C$2:$C$496,"*facility",'1'!$B$2:$B$496,"*mouse*")+COUNTIFS('7a'!$C$2:$C$496,"both",'1'!$B$2:$B$496,"*mouse*"))/COUNTIFS('1'!$B$2:$B$496,"*mouse*",'7a'!$C$2:$C$496,"&lt;&gt;")*100</f>
        <v>88.888888888888886</v>
      </c>
      <c r="CU10" s="75">
        <f>(COUNTIFS('7a'!$C$2:$C$496,"*user",'1'!$B$2:$B$496,"*mouse*")+COUNTIFS('7a'!$C$2:$C$496,"other",'1'!$B$2:$B$496,"*mouse*"))/COUNTIFS('1'!$B$2:$B$496,"*mouse*",'7a'!$C$2:$C$496,"&lt;&gt;")*100</f>
        <v>11.111111111111111</v>
      </c>
      <c r="CV10" s="74"/>
      <c r="DD10" s="75">
        <f>(COUNTIFS('7a'!$C$2:$C$496,"*facility",'1'!$B$2:$B$496,"*protein expression*")+COUNTIFS('7a'!$C$2:$C$496,"both",'1'!$B$2:$B$496,"*protein expression*"))/COUNTIFS('1'!$B$2:$B$496,"*protein expression*",'7a'!$C$2:$C$496,"&lt;&gt;")*100</f>
        <v>85.714285714285708</v>
      </c>
      <c r="DE10" s="75">
        <f>(COUNTIFS('7a'!$C$2:$C$496,"*user",'1'!$B$2:$B$496,"*protein expression*")+COUNTIFS('7a'!$C$2:$C$496,"other",'1'!$B$2:$B$496,"*protein expression*"))/COUNTIFS('1'!$B$2:$B$496,"*protein expression*",'7a'!$C$2:$C$496,"&lt;&gt;")*100</f>
        <v>14.285714285714285</v>
      </c>
      <c r="DF10" s="74"/>
      <c r="DN10" s="75">
        <f>(COUNTIFS('7a'!$C$2:$C$496,"*facility",'1'!$B$2:$B$496,"*proteomics*")+COUNTIFS('7a'!$C$2:$C$496,"both",'1'!$B$2:$B$496,"*proteomics*"))/COUNTIFS('1'!$B$2:$B$496,"*proteomics*",'7a'!$C$2:$C$496,"&lt;&gt;")*100</f>
        <v>77.777777777777786</v>
      </c>
      <c r="DO10" s="75">
        <f>(COUNTIFS('7a'!$C$2:$C$496,"*user",'1'!$B$2:$B$496,"*proteomics*")+COUNTIFS('7a'!$C$2:$C$496,"other",'1'!$B$2:$B$496,"*proteomics*"))/COUNTIFS('1'!$B$2:$B$496,"*proteomics*",'7a'!$C$2:$C$496,"&lt;&gt;")*100</f>
        <v>22.222222222222221</v>
      </c>
      <c r="DP10" s="74"/>
    </row>
    <row r="11" spans="2:120" x14ac:dyDescent="0.2">
      <c r="B11" s="9" t="s">
        <v>3993</v>
      </c>
      <c r="C11" s="72">
        <f>'7b'!EE2/'7b'!EE4*100</f>
        <v>86.973180076628353</v>
      </c>
      <c r="D11" s="72">
        <f>'7b'!EE3/'7b'!EE4*100</f>
        <v>13.026819923371647</v>
      </c>
      <c r="E11" s="72"/>
      <c r="H11" s="75">
        <f>COUNTIFS('7b'!$N$2:$N$496,"Yes*",'1'!$F$2:$F$496,"*staff*")/COUNTIFS('1'!$F$2:$F$496,"*staff*",'7b'!$N$2:$N$496,"&lt;&gt;N/A")*100</f>
        <v>92.64705882352942</v>
      </c>
      <c r="I11" s="75">
        <f>COUNTIFS('7b'!$N$2:$N$496,"No",'1'!$F$2:$F$496,"*staff*")/COUNTIFS('1'!$F$2:$F$496,"*staff*",'7b'!$N$2:$N$496,"&lt;&gt;N/A")*100</f>
        <v>7.3529411764705888</v>
      </c>
      <c r="R11" s="75">
        <f>COUNTIFS('7b'!$N$2:$N$496,"Yes*",'1'!$F$2:$F$496,"*both*")/COUNTIFS('1'!$F$2:$F$496,"*both*",'7b'!$N$2:$N$496,"&lt;&gt;N/A")*100</f>
        <v>86.746987951807228</v>
      </c>
      <c r="S11" s="75">
        <f>COUNTIFS('7b'!$N$2:$N$496,"No",'1'!$F$2:$F$496,"*both*")/COUNTIFS('1'!$F$2:$F$496,"*both*",'7b'!$N$2:$N$496,"&lt;&gt;N/A")*100</f>
        <v>13.253012048192772</v>
      </c>
      <c r="AB11" s="75">
        <f>COUNTIFS('7b'!$N$2:$N$496,"Yes*",'1'!$F$2:$F$496,"*users work*")/COUNTIFS('1'!$F$2:$F$496,"*users work*",'7b'!$N$2:$N$496,"&lt;&gt;N/A")*100</f>
        <v>74.074074074074076</v>
      </c>
      <c r="AC11" s="75">
        <f>COUNTIFS('7b'!$N$2:$N$496,"No",'1'!$F$2:$F$496,"*users work*")/COUNTIFS('1'!$F$2:$F$496,"*users work*",'7b'!$N$2:$N$496,"&lt;&gt;N/A")*100</f>
        <v>25.925925925925924</v>
      </c>
      <c r="AK11" s="72">
        <f t="shared" si="0"/>
        <v>86.973180076628353</v>
      </c>
      <c r="AL11" s="75">
        <f>COUNTIFS('7b'!$N$2:$N$496,"Yes*",'1'!$F$2:$F$496,"*staff*")/COUNTIFS('1'!$F$2:$F$496,"*staff*",'7b'!$N$2:$N$496,"&lt;&gt;N/A")*100</f>
        <v>92.64705882352942</v>
      </c>
      <c r="AM11" s="75">
        <f>COUNTIFS('7b'!$N$2:$N$496,"Yes*",'1'!$F$2:$F$496,"*both*")/COUNTIFS('1'!$F$2:$F$496,"*both*",'7b'!$N$2:$N$496,"&lt;&gt;N/A")*100</f>
        <v>86.746987951807228</v>
      </c>
      <c r="AN11" s="75">
        <f>COUNTIFS('7b'!$N$2:$N$496,"Yes*",'1'!$F$2:$F$496,"*users work*")/COUNTIFS('1'!$F$2:$F$496,"*users work*",'7b'!$N$2:$N$496,"&lt;&gt;N/A")*100</f>
        <v>74.074074074074076</v>
      </c>
      <c r="AV11" s="75">
        <f>COUNTIFS('7b'!$N$2:$N$496,"Yes*",'1'!$B$2:$B$496,"*flow cytometry*")/COUNTIFS('1'!$B$2:$B$496,"*flow cytometry*",'7b'!$N$2:$N$496,"&lt;&gt;N/A")*100</f>
        <v>82.608695652173907</v>
      </c>
      <c r="AW11" s="75">
        <f>COUNTIFS('7b'!$N$2:$N$496,"No",'1'!$B$2:$B$496,"*flow cytometry*")/COUNTIFS('1'!$B$2:$B$496,"*flow cytometry*",'7b'!$N$2:$N$496,"&lt;&gt;N/A")*100</f>
        <v>17.391304347826086</v>
      </c>
      <c r="AX11" s="74"/>
      <c r="BF11" s="75">
        <f>COUNTIFS('7b'!$N$2:$N$496,"Yes*",'1'!$B$2:$B$496,"*genomics*")/COUNTIFS('1'!$B$2:$B$496,"*genomics*",'7b'!$N$2:$N$496,"&lt;&gt;N/A")*100</f>
        <v>93.333333333333329</v>
      </c>
      <c r="BG11" s="75">
        <f>COUNTIFS('7b'!$N$2:$N$496,"No",'1'!$B$2:$B$496,"*genomics*")/COUNTIFS('1'!$B$2:$B$496,"*genomics*",'7b'!$N$2:$N$496,"&lt;&gt;N/A")*100</f>
        <v>6.666666666666667</v>
      </c>
      <c r="BH11" s="74"/>
      <c r="BP11" s="75">
        <f>COUNTIFS('7b'!$N$2:$N$496,"Yes*",'1'!$B$2:$B$496,"*histology*")/COUNTIFS('1'!$B$2:$B$496,"*histology*",'7b'!$N$2:$N$496,"&lt;&gt;N/A")*100</f>
        <v>90.909090909090907</v>
      </c>
      <c r="BQ11" s="75">
        <f>COUNTIFS('7b'!$N$2:$N$496,"No",'1'!$B$2:$B$496,"*histology*")/COUNTIFS('1'!$B$2:$B$496,"*histology*",'7b'!$N$2:$N$496,"&lt;&gt;N/A")*100</f>
        <v>9.0909090909090917</v>
      </c>
      <c r="BR11" s="74"/>
      <c r="BZ11" s="75">
        <f>COUNTIFS('7b'!$N$2:$N$496,"Yes*",'1'!$B$2:$B$496,"*metabolomics*")/COUNTIFS('1'!$B$2:$B$496,"*metabolomics*",'7b'!$N$2:$N$496,"&lt;&gt;N/A")*100</f>
        <v>85.714285714285708</v>
      </c>
      <c r="CA11" s="75">
        <f>COUNTIFS('7b'!$N$2:$N$496,"No",'1'!$B$2:$B$496,"*metabolomics*")/COUNTIFS('1'!$B$2:$B$496,"*metabolomics*",'7b'!$N$2:$N$496,"&lt;&gt;N/A")*100</f>
        <v>14.285714285714285</v>
      </c>
      <c r="CB11" s="74"/>
      <c r="CJ11" s="75">
        <f>COUNTIFS('7b'!$N$2:$N$496,"Yes*",'1'!$B$2:$B$496,"*microscopy*")/COUNTIFS('1'!$B$2:$B$496,"*microscopy*",'7b'!$N$2:$N$496,"&lt;&gt;N/A")*100</f>
        <v>78.333333333333329</v>
      </c>
      <c r="CK11" s="75">
        <f>COUNTIFS('7b'!$N$2:$N$496,"No",'1'!$B$2:$B$496,"*microscopy*")/COUNTIFS('1'!$B$2:$B$496,"*microscopy*",'7b'!$N$2:$N$496,"&lt;&gt;N/A")*100</f>
        <v>21.666666666666668</v>
      </c>
      <c r="CL11" s="74"/>
      <c r="CT11" s="75">
        <f>COUNTIFS('7b'!$N$2:$N$496,"Yes*",'1'!$B$2:$B$496,"*mouse*")/COUNTIFS('1'!$B$2:$B$496,"*mouse*",'7b'!$N$2:$N$496,"&lt;&gt;N/A")*100</f>
        <v>92.307692307692307</v>
      </c>
      <c r="CU11" s="75">
        <f>COUNTIFS('7b'!$N$2:$N$496,"No",'1'!$B$2:$B$496,"*mouse*")/COUNTIFS('1'!$B$2:$B$496,"*mouse*",'7b'!$N$2:$N$496,"&lt;&gt;N/A")*100</f>
        <v>7.6923076923076925</v>
      </c>
      <c r="CV11" s="74"/>
      <c r="DD11" s="75">
        <f>COUNTIFS('7b'!$N$2:$N$496,"Yes*",'1'!$B$2:$B$496,"*protein expression*")/COUNTIFS('1'!$B$2:$B$496,"*protein expression*",'7b'!$N$2:$N$496,"&lt;&gt;N/A")*100</f>
        <v>87.5</v>
      </c>
      <c r="DE11" s="75">
        <f>COUNTIFS('7b'!$N$2:$N$496,"No",'1'!$B$2:$B$496,"*protein expression*")/COUNTIFS('1'!$B$2:$B$496,"*protein expression*",'7b'!$N$2:$N$496,"&lt;&gt;N/A")*100</f>
        <v>12.5</v>
      </c>
      <c r="DF11" s="74"/>
      <c r="DN11" s="75">
        <f>COUNTIFS('7b'!$N$2:$N$496,"Yes*",'1'!$B$2:$B$496,"*proteomics*")/COUNTIFS('1'!$B$2:$B$496,"*proteomics*",'7b'!$N$2:$N$496,"&lt;&gt;N/A")*100</f>
        <v>97.142857142857139</v>
      </c>
      <c r="DO11" s="75">
        <f>COUNTIFS('7b'!$N$2:$N$496,"No",'1'!$B$2:$B$496,"*proteomics*")/COUNTIFS('1'!$B$2:$B$496,"*proteomics*",'7b'!$N$2:$N$496,"&lt;&gt;N/A")*100</f>
        <v>2.8571428571428572</v>
      </c>
      <c r="DP11" s="74"/>
    </row>
    <row r="12" spans="2:120" x14ac:dyDescent="0.2">
      <c r="B12" s="9" t="s">
        <v>3994</v>
      </c>
      <c r="C12" s="72">
        <f>('8'!H2+'8'!H3)/'8'!H5*100</f>
        <v>68.84615384615384</v>
      </c>
      <c r="D12" s="72">
        <f>'8'!H4/'8'!H5*100</f>
        <v>31.153846153846153</v>
      </c>
      <c r="E12" s="72"/>
      <c r="H12" s="75">
        <f>(COUNTIFS('8'!$B$2:$B$496,"*core*",'1'!$F$2:$F$496,"*staff*")+COUNTIFS('8'!$B$2:$B$496,"both",'1'!$F$2:$F$496,"*staff*"))/COUNTIFS('1'!$F$2:$F$496,"*staff*",'8'!$B$2:$B$496,"&lt;&gt;")*100</f>
        <v>95.588235294117652</v>
      </c>
      <c r="I12" s="75">
        <f>COUNTIFS('8'!$B$2:$B$496,"the user",'1'!$F$2:$F$496,"*staff*")/COUNTIFS('1'!$F$2:$F$496,"*staff*",'8'!$B$2:$B$496,"&lt;&gt;")*100</f>
        <v>4.4117647058823533</v>
      </c>
      <c r="R12" s="75">
        <f>(COUNTIFS('8'!$B$2:$B$496,"*core*",'1'!$F$2:$F$496,"*both*")+COUNTIFS('8'!$B$2:$B$496,"both",'1'!$F$2:$F$496,"*both*"))/COUNTIFS('1'!$F$2:$F$496,"*both*",'8'!$B$2:$B$496,"&lt;&gt;")*100</f>
        <v>64.848484848484844</v>
      </c>
      <c r="S12" s="75">
        <f>COUNTIFS('8'!$B$2:$B$496,"the user",'1'!$F$2:$F$496,"*both*")/COUNTIFS('1'!$F$2:$F$496,"*both*",'8'!$B$2:$B$496,"&lt;&gt;")*100</f>
        <v>35.151515151515149</v>
      </c>
      <c r="AB12" s="75">
        <f>(COUNTIFS('8'!$B$2:$B$496,"*core*",'1'!$F$2:$F$496,"*users work*")+COUNTIFS('8'!$B$2:$B$496,"both",'1'!$F$2:$F$496,"*users work*"))/COUNTIFS('1'!$F$2:$F$496,"*users work*",'8'!$B$2:$B$496,"&lt;&gt;")*100</f>
        <v>25.925925925925924</v>
      </c>
      <c r="AC12" s="75">
        <f>COUNTIFS('8'!$B$2:$B$496,"the user",'1'!$F$2:$F$496,"*users work*")/COUNTIFS('1'!$F$2:$F$496,"*users work*",'8'!$B$2:$B$496,"&lt;&gt;")*100</f>
        <v>74.074074074074076</v>
      </c>
      <c r="AK12" s="72">
        <f t="shared" si="0"/>
        <v>68.84615384615384</v>
      </c>
      <c r="AL12" s="75">
        <f>(COUNTIFS('8'!$B$2:$B$496,"*core*",'1'!$F$2:$F$496,"*staff*")+COUNTIFS('8'!$B$2:$B$496,"both",'1'!$F$2:$F$496,"*staff*"))/COUNTIFS('1'!$F$2:$F$496,"*staff*",'8'!$B$2:$B$496,"&lt;&gt;")*100</f>
        <v>95.588235294117652</v>
      </c>
      <c r="AM12" s="75">
        <f>(COUNTIFS('8'!$B$2:$B$496,"*core*",'1'!$F$2:$F$496,"*both*")+COUNTIFS('8'!$B$2:$B$496,"both",'1'!$F$2:$F$496,"*both*"))/COUNTIFS('1'!$F$2:$F$496,"*both*",'8'!$B$2:$B$496,"&lt;&gt;")*100</f>
        <v>64.848484848484844</v>
      </c>
      <c r="AN12" s="75">
        <f>(COUNTIFS('8'!$B$2:$B$496,"*core*",'1'!$F$2:$F$496,"*users work*")+COUNTIFS('8'!$B$2:$B$496,"both",'1'!$F$2:$F$496,"*users work*"))/COUNTIFS('1'!$F$2:$F$496,"*users work*",'8'!$B$2:$B$496,"&lt;&gt;")*100</f>
        <v>25.925925925925924</v>
      </c>
      <c r="AV12" s="75">
        <f>(COUNTIFS('8'!$B$2:$B$496,"*core*",'1'!$B$2:$B$496,"*flow cytometry*")+COUNTIFS('8'!$B$2:$B$496,"both",'1'!$B$2:$B$496,"*flow cytometry*"))/COUNTIFS('1'!$B$2:$B$496,"*flow cytometry*",'8'!$B$2:$B$496,"&lt;&gt;")*100</f>
        <v>45.652173913043477</v>
      </c>
      <c r="AW12" s="75">
        <f>COUNTIFS('8'!$B$2:$B$496,"the user",'1'!$B$2:$B$496,"*flow cytometry*")/COUNTIFS('1'!$B$2:$B$496,"*flow cytometry*",'8'!$B$2:$B$496,"&lt;&gt;")*100</f>
        <v>54.347826086956516</v>
      </c>
      <c r="AX12" s="74"/>
      <c r="BF12" s="75">
        <f>(COUNTIFS('8'!$B$2:$B$496,"*core*",'1'!$B$2:$B$496,"*genomics*")+COUNTIFS('8'!$B$2:$B$496,"both",'1'!$B$2:$B$496,"*genomics*"))/COUNTIFS('1'!$B$2:$B$496,"*genomics*",'8'!$B$2:$B$496,"&lt;&gt;")*100</f>
        <v>100</v>
      </c>
      <c r="BG12" s="75">
        <f>COUNTIFS('8'!$B$2:$B$496,"the user",'1'!$B$2:$B$496,"*genomics*")/COUNTIFS('1'!$B$2:$B$496,"*genomics*",'8'!$B$2:$B$496,"&lt;&gt;")*100</f>
        <v>0</v>
      </c>
      <c r="BH12" s="74"/>
      <c r="BP12" s="75">
        <f>(COUNTIFS('8'!$B$2:$B$496,"*core*",'1'!$B$2:$B$496,"*histology*")+COUNTIFS('8'!$B$2:$B$496,"both",'1'!$B$2:$B$496,"*histology*"))/COUNTIFS('1'!$B$2:$B$496,"*histology*",'8'!$B$2:$B$496,"&lt;&gt;")*100</f>
        <v>63.636363636363633</v>
      </c>
      <c r="BQ12" s="75">
        <f>COUNTIFS('8'!$B$2:$B$496,"the user",'1'!$B$2:$B$496,"*histology*")/COUNTIFS('1'!$B$2:$B$496,"*histology*",'8'!$B$2:$B$496,"&lt;&gt;")*100</f>
        <v>36.363636363636367</v>
      </c>
      <c r="BR12" s="74"/>
      <c r="BZ12" s="75">
        <f>(COUNTIFS('8'!$B$2:$B$496,"*core*",'1'!$B$2:$B$496,"*metabolomics*")+COUNTIFS('8'!$B$2:$B$496,"both",'1'!$B$2:$B$496,"*metabolomics*"))/COUNTIFS('1'!$B$2:$B$496,"*metabolomics*",'8'!$B$2:$B$496,"&lt;&gt;")*100</f>
        <v>85.714285714285708</v>
      </c>
      <c r="CA12" s="75">
        <f>COUNTIFS('8'!$B$2:$B$496,"the user",'1'!$B$2:$B$496,"*metabolomics*")/COUNTIFS('1'!$B$2:$B$496,"*metabolomics*",'8'!$B$2:$B$496,"&lt;&gt;")*100</f>
        <v>14.285714285714285</v>
      </c>
      <c r="CB12" s="74"/>
      <c r="CJ12" s="75">
        <f>(COUNTIFS('8'!$B$2:$B$496,"*core*",'1'!$B$2:$B$496,"*microscopy*")+COUNTIFS('8'!$B$2:$B$496,"both",'1'!$B$2:$B$496,"*microscopy*"))/COUNTIFS('1'!$B$2:$B$496,"*microscopy*",'8'!$B$2:$B$496,"&lt;&gt;")*100</f>
        <v>43.333333333333336</v>
      </c>
      <c r="CK12" s="75">
        <f>COUNTIFS('8'!$B$2:$B$496,"the user",'1'!$B$2:$B$496,"*microscopy*")/COUNTIFS('1'!$B$2:$B$496,"*microscopy*",'8'!$B$2:$B$496,"&lt;&gt;")*100</f>
        <v>56.666666666666664</v>
      </c>
      <c r="CL12" s="74"/>
      <c r="CT12" s="75">
        <f>(COUNTIFS('8'!$B$2:$B$496,"*core*",'1'!$B$2:$B$496,"*mouse*")+COUNTIFS('8'!$B$2:$B$496,"both",'1'!$B$2:$B$496,"*mouse*"))/COUNTIFS('1'!$B$2:$B$496,"*mouse*",'8'!$B$2:$B$496,"&lt;&gt;")*100</f>
        <v>69.230769230769226</v>
      </c>
      <c r="CU12" s="75">
        <f>COUNTIFS('8'!$B$2:$B$496,"the user",'1'!$B$2:$B$496,"*mouse*")/COUNTIFS('1'!$B$2:$B$496,"*mouse*",'8'!$B$2:$B$496,"&lt;&gt;")*100</f>
        <v>30.76923076923077</v>
      </c>
      <c r="CV12" s="74"/>
      <c r="DD12" s="75">
        <f>(COUNTIFS('8'!$B$2:$B$496,"*core*",'1'!$B$2:$B$496,"*protein expression*")+COUNTIFS('8'!$B$2:$B$496,"both",'1'!$B$2:$B$496,"*protein expression*"))/COUNTIFS('1'!$B$2:$B$496,"*protein expression*",'8'!$B$2:$B$496,"&lt;&gt;")*100</f>
        <v>87.5</v>
      </c>
      <c r="DE12" s="75">
        <f>COUNTIFS('8'!$B$2:$B$496,"the user",'1'!$B$2:$B$496,"*protein expression*")/COUNTIFS('1'!$B$2:$B$496,"*protein expression*",'8'!$B$2:$B$496,"&lt;&gt;")*100</f>
        <v>12.5</v>
      </c>
      <c r="DF12" s="74"/>
      <c r="DN12" s="75">
        <f>(COUNTIFS('8'!$B$2:$B$496,"*core*",'1'!$B$2:$B$496,"*proteomics*")+COUNTIFS('8'!$B$2:$B$496,"both",'1'!$B$2:$B$496,"*proteomics*"))/COUNTIFS('1'!$B$2:$B$496,"*proteomics*",'8'!$B$2:$B$496,"&lt;&gt;")*100</f>
        <v>94.285714285714278</v>
      </c>
      <c r="DO12" s="75">
        <f>COUNTIFS('8'!$B$2:$B$496,"the user",'1'!$B$2:$B$496,"*proteomics*")/COUNTIFS('1'!$B$2:$B$496,"*proteomics*",'8'!$B$2:$B$496,"&lt;&gt;")*100</f>
        <v>5.7142857142857144</v>
      </c>
      <c r="DP12" s="74"/>
    </row>
    <row r="13" spans="2:120" x14ac:dyDescent="0.2">
      <c r="B13" s="9" t="s">
        <v>3995</v>
      </c>
      <c r="C13" s="72">
        <f>'9'!I2/'9'!I4*100</f>
        <v>93.07692307692308</v>
      </c>
      <c r="D13" s="72">
        <f>'9'!I3/'9'!I4*100</f>
        <v>6.9230769230769234</v>
      </c>
      <c r="E13" s="72"/>
      <c r="H13" s="72">
        <f>COUNTIFS('9'!$B$2:$B$496,"Yes*",'1'!$F$2:$F$496,"*staff*")/COUNTIFS('1'!$F$2:$F$496,"*staff*",'9'!$B$2:$B$496,"&lt;&gt;N/A")*100</f>
        <v>97.058823529411768</v>
      </c>
      <c r="I13" s="72">
        <f>COUNTIFS('9'!$B$2:$B$496,"No",'1'!$F$2:$F$496,"*staff*")/COUNTIFS('1'!$F$2:$F$496,"*staff*",'9'!$B$2:$B$496,"&lt;&gt;N/A")*100</f>
        <v>2.9411764705882351</v>
      </c>
      <c r="R13" s="72">
        <f>COUNTIFS('9'!$B$2:$B$496,"Yes*",'1'!$F$2:$F$496,"*both*")/COUNTIFS('1'!$F$2:$F$496,"*both*",'9'!$B$2:$B$496,"&lt;&gt;N/A")*100</f>
        <v>93.939393939393938</v>
      </c>
      <c r="S13" s="72">
        <f>COUNTIFS('9'!$B$2:$B$496,"No",'1'!$F$2:$F$496,"*both*")/COUNTIFS('1'!$F$2:$F$496,"*both*",'9'!$B$2:$B$496,"&lt;&gt;N/A")*100</f>
        <v>6.0606060606060606</v>
      </c>
      <c r="AB13" s="72">
        <f>COUNTIFS('9'!$B$2:$B$496,"Yes*",'1'!$F$2:$F$496,"*users work*")/COUNTIFS('1'!$F$2:$F$496,"*users work*",'9'!$B$2:$B$496,"&lt;&gt;N/A")*100</f>
        <v>77.777777777777786</v>
      </c>
      <c r="AC13" s="72">
        <f>COUNTIFS('9'!$B$2:$B$496,"No",'1'!$F$2:$F$496,"*users work*")/COUNTIFS('1'!$F$2:$F$496,"*users work*",'9'!$B$2:$B$496,"&lt;&gt;N/A")*100</f>
        <v>22.222222222222221</v>
      </c>
      <c r="AK13" s="72">
        <f t="shared" si="0"/>
        <v>93.07692307692308</v>
      </c>
      <c r="AL13" s="72">
        <f>COUNTIFS('9'!$B$2:$B$496,"Yes*",'1'!$F$2:$F$496,"*staff*")/COUNTIFS('1'!$F$2:$F$496,"*staff*",'9'!$B$2:$B$496,"&lt;&gt;N/A")*100</f>
        <v>97.058823529411768</v>
      </c>
      <c r="AM13" s="72">
        <f>COUNTIFS('9'!$B$2:$B$496,"Yes*",'1'!$F$2:$F$496,"*both*")/COUNTIFS('1'!$F$2:$F$496,"*both*",'9'!$B$2:$B$496,"&lt;&gt;N/A")*100</f>
        <v>93.939393939393938</v>
      </c>
      <c r="AN13" s="72">
        <f>COUNTIFS('9'!$B$2:$B$496,"Yes*",'1'!$F$2:$F$496,"*users work*")/COUNTIFS('1'!$F$2:$F$496,"*users work*",'9'!$B$2:$B$496,"&lt;&gt;N/A")*100</f>
        <v>77.777777777777786</v>
      </c>
      <c r="AV13" s="72">
        <f>COUNTIFS('9'!$B$2:$B$496,"Yes*",'1'!$B$2:$B$496,"*flow cytometry*")/COUNTIFS('1'!$B$2:$B$496,"*flow cytometry*",'9'!$B$2:$B$496,"&lt;&gt;N/A")*100</f>
        <v>84.782608695652172</v>
      </c>
      <c r="AW13" s="72">
        <f>COUNTIFS('9'!$B$2:$B$496,"No",'1'!$B$2:$B$496,"*flow cytometry*")/COUNTIFS('1'!$B$2:$B$496,"*flow cytometry*",'9'!$B$2:$B$496,"&lt;&gt;N/A")*100</f>
        <v>15.217391304347828</v>
      </c>
      <c r="AX13" s="74"/>
      <c r="BF13" s="72">
        <f>COUNTIFS('9'!$B$2:$B$496,"Yes*",'1'!$B$2:$B$496,"*genomics*")/COUNTIFS('1'!$B$2:$B$496,"*genomics*",'9'!$B$2:$B$496,"&lt;&gt;N/A")*100</f>
        <v>90</v>
      </c>
      <c r="BG13" s="72">
        <f>COUNTIFS('9'!$B$2:$B$496,"No",'1'!$B$2:$B$496,"*genomics*")/COUNTIFS('1'!$B$2:$B$496,"*genomics*",'9'!$B$2:$B$496,"&lt;&gt;N/A")*100</f>
        <v>10</v>
      </c>
      <c r="BH13" s="74"/>
      <c r="BP13" s="72">
        <f>COUNTIFS('9'!$B$2:$B$496,"Yes*",'1'!$B$2:$B$496,"*histology*")/COUNTIFS('1'!$B$2:$B$496,"*histology*",'9'!$B$2:$B$496,"&lt;&gt;N/A")*100</f>
        <v>90.909090909090907</v>
      </c>
      <c r="BQ13" s="72">
        <f>COUNTIFS('9'!$B$2:$B$496,"No",'1'!$B$2:$B$496,"*histology*")/COUNTIFS('1'!$B$2:$B$496,"*histology*",'9'!$B$2:$B$496,"&lt;&gt;N/A")*100</f>
        <v>9.0909090909090917</v>
      </c>
      <c r="BR13" s="74"/>
      <c r="BZ13" s="72">
        <f>COUNTIFS('9'!$B$2:$B$496,"Yes*",'1'!$B$2:$B$496,"*metabolomics*")/COUNTIFS('1'!$B$2:$B$496,"*metabolomics*",'9'!$B$2:$B$496,"&lt;&gt;N/A")*100</f>
        <v>100</v>
      </c>
      <c r="CA13" s="72">
        <f>COUNTIFS('9'!$B$2:$B$496,"No",'1'!$B$2:$B$496,"*metabolomics*")/COUNTIFS('1'!$B$2:$B$496,"*metabolomics*",'9'!$B$2:$B$496,"&lt;&gt;N/A")*100</f>
        <v>0</v>
      </c>
      <c r="CB13" s="74"/>
      <c r="CJ13" s="72">
        <f>COUNTIFS('9'!$B$2:$B$496,"Yes*",'1'!$B$2:$B$496,"*microscopy*")/COUNTIFS('1'!$B$2:$B$496,"*microscopy*",'9'!$B$2:$B$496,"&lt;&gt;N/A")*100</f>
        <v>96.666666666666671</v>
      </c>
      <c r="CK13" s="72">
        <f>COUNTIFS('9'!$B$2:$B$496,"No",'1'!$B$2:$B$496,"*microscopy*")/COUNTIFS('1'!$B$2:$B$496,"*microscopy*",'9'!$B$2:$B$496,"&lt;&gt;N/A")*100</f>
        <v>3.3333333333333335</v>
      </c>
      <c r="CL13" s="74"/>
      <c r="CT13" s="72">
        <f>COUNTIFS('9'!$B$2:$B$496,"Yes*",'1'!$B$2:$B$496,"*mouse*")/COUNTIFS('1'!$B$2:$B$496,"*mouse*",'9'!$B$2:$B$496,"&lt;&gt;N/A")*100</f>
        <v>100</v>
      </c>
      <c r="CU13" s="72">
        <f>COUNTIFS('9'!$B$2:$B$496,"No",'1'!$B$2:$B$496,"*mouse*")/COUNTIFS('1'!$B$2:$B$496,"*mouse*",'9'!$B$2:$B$496,"&lt;&gt;N/A")*100</f>
        <v>0</v>
      </c>
      <c r="CV13" s="74"/>
      <c r="DD13" s="72">
        <f>COUNTIFS('9'!$B$2:$B$496,"Yes*",'1'!$B$2:$B$496,"*protein expression*")/COUNTIFS('1'!$B$2:$B$496,"*protein expression*",'9'!$B$2:$B$496,"&lt;&gt;N/A")*100</f>
        <v>100</v>
      </c>
      <c r="DE13" s="72">
        <f>COUNTIFS('9'!$B$2:$B$496,"No",'1'!$B$2:$B$496,"*protein expression*")/COUNTIFS('1'!$B$2:$B$496,"*protein expression*",'9'!$B$2:$B$496,"&lt;&gt;N/A")*100</f>
        <v>0</v>
      </c>
      <c r="DF13" s="74"/>
      <c r="DN13" s="72">
        <f>COUNTIFS('9'!$B$2:$B$496,"Yes*",'1'!$B$2:$B$496,"*proteomics*")/COUNTIFS('1'!$B$2:$B$496,"*proteomics*",'9'!$B$2:$B$496,"&lt;&gt;N/A")*100</f>
        <v>100</v>
      </c>
      <c r="DO13" s="72">
        <f>COUNTIFS('9'!$B$2:$B$496,"No",'1'!$B$2:$B$496,"*proteomics*")/COUNTIFS('1'!$B$2:$B$496,"*proteomics*",'9'!$B$2:$B$496,"&lt;&gt;N/A")*100</f>
        <v>0</v>
      </c>
      <c r="DP13" s="74"/>
    </row>
    <row r="14" spans="2:120" x14ac:dyDescent="0.2">
      <c r="B14" s="9" t="s">
        <v>3996</v>
      </c>
      <c r="C14" s="72">
        <f>'6'!AF2/'6'!AF4*100</f>
        <v>85.239852398523979</v>
      </c>
      <c r="D14" s="72">
        <f>'6'!AF3/'6'!AF4*100</f>
        <v>14.760147601476014</v>
      </c>
      <c r="E14" s="72"/>
      <c r="H14" s="72">
        <f>COUNTIFS('6'!$C$2:$C$496,"Yes*",'1'!$F$2:$F$496,"*staff*")/COUNTIFS('1'!$F$2:$F$496,"*staff*",'6'!$C$2:$C$496,"&lt;&gt;N/A")*100</f>
        <v>85.714285714285708</v>
      </c>
      <c r="I14" s="72">
        <f>COUNTIFS('6'!$C$2:$C$496,"No",'1'!$F$2:$F$496,"*staff*")/COUNTIFS('1'!$F$2:$F$496,"*staff*",'6'!$C$2:$C$496,"&lt;&gt;N/A")*100</f>
        <v>14.285714285714285</v>
      </c>
      <c r="R14" s="72">
        <f>COUNTIFS('6'!$C$2:$C$496,"Yes*",'1'!$F$2:$F$496,"*both*")/COUNTIFS('1'!$F$2:$F$496,"*both*",'6'!$C$2:$C$496,"&lt;&gt;N/A")*100</f>
        <v>84.393063583815035</v>
      </c>
      <c r="S14" s="72">
        <f>COUNTIFS('6'!$C$2:$C$496,"No",'1'!$F$2:$F$496,"*both*")/COUNTIFS('1'!$F$2:$F$496,"*both*",'6'!$C$2:$C$496,"&lt;&gt;N/A")*100</f>
        <v>15.606936416184972</v>
      </c>
      <c r="AB14" s="72">
        <f>COUNTIFS('6'!$C$2:$C$496,"Yes*",'1'!$F$2:$F$496,"*users work*")/COUNTIFS('1'!$F$2:$F$496,"*users work*",'6'!$C$2:$C$496,"&lt;&gt;N/A")*100</f>
        <v>89.285714285714292</v>
      </c>
      <c r="AC14" s="72">
        <f>COUNTIFS('6'!$C$2:$C$496,"No",'1'!$F$2:$F$496,"*users work*")/COUNTIFS('1'!$F$2:$F$496,"*users work*",'6'!$C$2:$C$496,"&lt;&gt;N/A")*100</f>
        <v>10.714285714285714</v>
      </c>
      <c r="AK14" s="72">
        <f t="shared" si="0"/>
        <v>85.239852398523979</v>
      </c>
      <c r="AL14" s="72">
        <f>COUNTIFS('6'!$C$2:$C$496,"Yes*",'1'!$F$2:$F$496,"*staff*")/COUNTIFS('1'!$F$2:$F$496,"*staff*",'6'!$C$2:$C$496,"&lt;&gt;N/A")*100</f>
        <v>85.714285714285708</v>
      </c>
      <c r="AM14" s="72">
        <f>COUNTIFS('6'!$C$2:$C$496,"Yes*",'1'!$F$2:$F$496,"*both*")/COUNTIFS('1'!$F$2:$F$496,"*both*",'6'!$C$2:$C$496,"&lt;&gt;N/A")*100</f>
        <v>84.393063583815035</v>
      </c>
      <c r="AN14" s="72">
        <f>COUNTIFS('6'!$C$2:$C$496,"Yes*",'1'!$F$2:$F$496,"*users work*")/COUNTIFS('1'!$F$2:$F$496,"*users work*",'6'!$C$2:$C$496,"&lt;&gt;N/A")*100</f>
        <v>89.285714285714292</v>
      </c>
      <c r="AV14" s="72">
        <f>COUNTIFS('6'!$C$2:$C$496,"Yes*",'1'!$B$2:$B$496,"*flow cytometry*")/COUNTIFS('1'!$B$2:$B$496,"*flow cytometry*",'6'!$C$2:$C$496,"&lt;&gt;N/A")*100</f>
        <v>90</v>
      </c>
      <c r="AW14" s="72">
        <f>COUNTIFS('6'!$C$2:$C$496,"No",'1'!$B$2:$B$496,"*flow cytometry*")/COUNTIFS('1'!$B$2:$B$496,"*flow cytometry*",'6'!$C$2:$C$496,"&lt;&gt;N/A")*100</f>
        <v>10</v>
      </c>
      <c r="AX14" s="74"/>
      <c r="BF14" s="72">
        <f>COUNTIFS('6'!$C$2:$C$496,"Yes*",'1'!$B$2:$B$496,"*genomics*")/COUNTIFS('1'!$B$2:$B$496,"*genomics*",'6'!$C$2:$C$496,"&lt;&gt;N/A")*100</f>
        <v>93.75</v>
      </c>
      <c r="BG14" s="72">
        <f>COUNTIFS('6'!$C$2:$C$496,"No",'1'!$B$2:$B$496,"*genomics*")/COUNTIFS('1'!$B$2:$B$496,"*genomics*",'6'!$C$2:$C$496,"&lt;&gt;N/A")*100</f>
        <v>6.25</v>
      </c>
      <c r="BH14" s="74"/>
      <c r="BP14" s="72">
        <f>COUNTIFS('6'!$C$2:$C$496,"Yes*",'1'!$B$2:$B$496,"*histology*")/COUNTIFS('1'!$B$2:$B$496,"*histology*",'6'!$C$2:$C$496,"&lt;&gt;N/A")*100</f>
        <v>81.818181818181827</v>
      </c>
      <c r="BQ14" s="72">
        <f>COUNTIFS('6'!$C$2:$C$496,"No",'1'!$B$2:$B$496,"*histology*")/COUNTIFS('1'!$B$2:$B$496,"*histology*",'6'!$C$2:$C$496,"&lt;&gt;N/A")*100</f>
        <v>18.181818181818183</v>
      </c>
      <c r="BR14" s="74"/>
      <c r="BZ14" s="72">
        <f>COUNTIFS('6'!$C$2:$C$496,"Yes*",'1'!$B$2:$B$496,"*metabolomics*")/COUNTIFS('1'!$B$2:$B$496,"*metabolomics*",'6'!$C$2:$C$496,"&lt;&gt;N/A")*100</f>
        <v>100</v>
      </c>
      <c r="CA14" s="72">
        <f>COUNTIFS('6'!$C$2:$C$496,"No",'1'!$B$2:$B$496,"*metabolomics*")/COUNTIFS('1'!$B$2:$B$496,"*metabolomics*",'6'!$C$2:$C$496,"&lt;&gt;N/A")*100</f>
        <v>0</v>
      </c>
      <c r="CB14" s="74"/>
      <c r="CJ14" s="72">
        <f>COUNTIFS('6'!$C$2:$C$496,"Yes*",'1'!$B$2:$B$496,"*microscopy*")/COUNTIFS('1'!$B$2:$B$496,"*microscopy*",'6'!$C$2:$C$496,"&lt;&gt;N/A")*100</f>
        <v>85</v>
      </c>
      <c r="CK14" s="72">
        <f>COUNTIFS('6'!$C$2:$C$496,"No",'1'!$B$2:$B$496,"*microscopy*")/COUNTIFS('1'!$B$2:$B$496,"*microscopy*",'6'!$C$2:$C$496,"&lt;&gt;N/A")*100</f>
        <v>15</v>
      </c>
      <c r="CL14" s="74"/>
      <c r="CT14" s="72">
        <f>COUNTIFS('6'!$C$2:$C$496,"Yes*",'1'!$B$2:$B$496,"*mouse*")/COUNTIFS('1'!$B$2:$B$496,"*mouse*",'6'!$C$2:$C$496,"&lt;&gt;N/A")*100</f>
        <v>81.25</v>
      </c>
      <c r="CU14" s="72">
        <f>COUNTIFS('6'!$C$2:$C$496,"No",'1'!$B$2:$B$496,"*mouse*")/COUNTIFS('1'!$B$2:$B$496,"*mouse*",'6'!$C$2:$C$496,"&lt;&gt;N/A")*100</f>
        <v>18.75</v>
      </c>
      <c r="CV14" s="74"/>
      <c r="DD14" s="72">
        <f>COUNTIFS('6'!$C$2:$C$496,"Yes*",'1'!$B$2:$B$496,"*protein expression*")/COUNTIFS('1'!$B$2:$B$496,"*protein expression*",'6'!$C$2:$C$496,"&lt;&gt;N/A")*100</f>
        <v>75</v>
      </c>
      <c r="DE14" s="72">
        <f>COUNTIFS('6'!$C$2:$C$496,"No",'1'!$B$2:$B$496,"*protein expression*")/COUNTIFS('1'!$B$2:$B$496,"*protein expression*",'6'!$C$2:$C$496,"&lt;&gt;N/A")*100</f>
        <v>25</v>
      </c>
      <c r="DF14" s="74"/>
      <c r="DN14" s="72">
        <f>COUNTIFS('6'!$C$2:$C$496,"Yes*",'1'!$B$2:$B$496,"*proteomics*")/COUNTIFS('1'!$B$2:$B$496,"*proteomics*",'6'!$C$2:$C$496,"&lt;&gt;N/A")*100</f>
        <v>91.428571428571431</v>
      </c>
      <c r="DO14" s="72">
        <f>COUNTIFS('6'!$C$2:$C$496,"No",'1'!$B$2:$B$496,"*proteomics*")/COUNTIFS('1'!$B$2:$B$496,"*proteomics*",'6'!$C$2:$C$496,"&lt;&gt;N/A")*100</f>
        <v>8.5714285714285712</v>
      </c>
      <c r="DP14" s="74"/>
    </row>
    <row r="28" spans="52:60" x14ac:dyDescent="0.2">
      <c r="AZ28" s="37"/>
      <c r="BA28" s="37"/>
      <c r="BB28" s="37"/>
      <c r="BC28" s="37"/>
      <c r="BD28" s="37"/>
      <c r="BE28" s="37"/>
      <c r="BF28" s="37"/>
      <c r="BG28" s="37"/>
      <c r="BH28" s="37"/>
    </row>
    <row r="29" spans="52:60" x14ac:dyDescent="0.2">
      <c r="AZ29" s="13"/>
      <c r="BA29" s="13"/>
      <c r="BB29" s="13"/>
      <c r="BC29" s="13"/>
      <c r="BD29" s="13"/>
      <c r="BE29" s="13"/>
      <c r="BF29" s="13"/>
      <c r="BG29" s="13"/>
      <c r="BH29" s="13"/>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ACC37-C340-4559-BB30-E9051D3E25CB}">
  <dimension ref="A1:I108"/>
  <sheetViews>
    <sheetView workbookViewId="0"/>
  </sheetViews>
  <sheetFormatPr defaultRowHeight="12.75" x14ac:dyDescent="0.2"/>
  <sheetData>
    <row r="1" spans="1:9" x14ac:dyDescent="0.2">
      <c r="A1" s="77"/>
      <c r="B1" s="77"/>
      <c r="C1" s="77"/>
      <c r="D1" s="77"/>
      <c r="E1" s="77"/>
      <c r="F1" s="77"/>
      <c r="G1" s="77"/>
      <c r="H1" s="77"/>
      <c r="I1" s="77"/>
    </row>
    <row r="2" spans="1:9" x14ac:dyDescent="0.2">
      <c r="A2" s="77"/>
      <c r="B2" s="78"/>
      <c r="C2" s="77"/>
      <c r="D2" s="77"/>
      <c r="E2" s="77"/>
      <c r="F2" s="77"/>
      <c r="G2" s="77"/>
      <c r="H2" s="77"/>
      <c r="I2" s="77"/>
    </row>
    <row r="3" spans="1:9" x14ac:dyDescent="0.2">
      <c r="A3" s="77"/>
      <c r="B3" s="77"/>
      <c r="C3" s="77"/>
      <c r="D3" s="77"/>
      <c r="E3" s="77"/>
      <c r="F3" s="77"/>
      <c r="G3" s="77"/>
      <c r="H3" s="77"/>
      <c r="I3" s="77"/>
    </row>
    <row r="4" spans="1:9" x14ac:dyDescent="0.2">
      <c r="A4" s="77"/>
      <c r="B4" s="77"/>
      <c r="C4" s="77"/>
      <c r="D4" s="77"/>
      <c r="E4" s="77"/>
      <c r="F4" s="77"/>
      <c r="G4" s="77"/>
      <c r="H4" s="77"/>
      <c r="I4" s="77"/>
    </row>
    <row r="5" spans="1:9" x14ac:dyDescent="0.2">
      <c r="A5" s="77"/>
      <c r="B5" s="77"/>
      <c r="C5" s="77"/>
      <c r="D5" s="77"/>
      <c r="E5" s="77"/>
      <c r="F5" s="77"/>
      <c r="G5" s="77"/>
      <c r="H5" s="77"/>
      <c r="I5" s="77"/>
    </row>
    <row r="6" spans="1:9" x14ac:dyDescent="0.2">
      <c r="A6" s="77"/>
      <c r="B6" s="77"/>
      <c r="C6" s="77"/>
      <c r="D6" s="77"/>
      <c r="E6" s="77"/>
      <c r="F6" s="77"/>
      <c r="G6" s="77"/>
      <c r="H6" s="77"/>
      <c r="I6" s="77"/>
    </row>
    <row r="7" spans="1:9" x14ac:dyDescent="0.2">
      <c r="A7" s="77"/>
      <c r="B7" s="77"/>
      <c r="C7" s="77"/>
      <c r="D7" s="77"/>
      <c r="E7" s="77"/>
      <c r="F7" s="77"/>
      <c r="G7" s="77"/>
      <c r="H7" s="77"/>
      <c r="I7" s="77"/>
    </row>
    <row r="8" spans="1:9" x14ac:dyDescent="0.2">
      <c r="A8" s="77"/>
      <c r="B8" s="77"/>
      <c r="C8" s="77"/>
      <c r="D8" s="77"/>
      <c r="E8" s="77"/>
      <c r="F8" s="77"/>
      <c r="G8" s="77"/>
      <c r="H8" s="77"/>
      <c r="I8" s="77"/>
    </row>
    <row r="9" spans="1:9" x14ac:dyDescent="0.2">
      <c r="A9" s="77"/>
      <c r="B9" s="77"/>
      <c r="C9" s="77"/>
      <c r="D9" s="77"/>
      <c r="E9" s="77"/>
      <c r="F9" s="77"/>
      <c r="G9" s="77"/>
      <c r="H9" s="77"/>
      <c r="I9" s="77"/>
    </row>
    <row r="10" spans="1:9" x14ac:dyDescent="0.2">
      <c r="A10" s="77"/>
      <c r="B10" s="77"/>
      <c r="C10" s="77"/>
      <c r="D10" s="77"/>
      <c r="E10" s="77"/>
      <c r="F10" s="77"/>
      <c r="G10" s="77"/>
      <c r="H10" s="77"/>
      <c r="I10" s="77"/>
    </row>
    <row r="11" spans="1:9" x14ac:dyDescent="0.2">
      <c r="A11" s="77"/>
      <c r="B11" s="77"/>
      <c r="C11" s="77"/>
      <c r="D11" s="77"/>
      <c r="E11" s="77"/>
      <c r="F11" s="77"/>
      <c r="G11" s="77"/>
      <c r="H11" s="77"/>
      <c r="I11" s="77"/>
    </row>
    <row r="12" spans="1:9" x14ac:dyDescent="0.2">
      <c r="A12" s="77"/>
      <c r="B12" s="77"/>
      <c r="C12" s="77"/>
      <c r="D12" s="77"/>
      <c r="E12" s="77"/>
      <c r="F12" s="77"/>
      <c r="G12" s="77"/>
      <c r="H12" s="77"/>
      <c r="I12" s="77"/>
    </row>
    <row r="13" spans="1:9" x14ac:dyDescent="0.2">
      <c r="A13" s="77"/>
      <c r="B13" s="77"/>
      <c r="C13" s="77"/>
      <c r="D13" s="77"/>
      <c r="E13" s="77"/>
      <c r="F13" s="77"/>
      <c r="G13" s="77"/>
      <c r="H13" s="77"/>
      <c r="I13" s="77"/>
    </row>
    <row r="14" spans="1:9" x14ac:dyDescent="0.2">
      <c r="A14" s="77"/>
      <c r="B14" s="77"/>
      <c r="C14" s="77"/>
      <c r="D14" s="77"/>
      <c r="E14" s="77"/>
      <c r="F14" s="77"/>
      <c r="G14" s="77"/>
      <c r="H14" s="77"/>
      <c r="I14" s="77"/>
    </row>
    <row r="15" spans="1:9" x14ac:dyDescent="0.2">
      <c r="A15" s="77"/>
      <c r="B15" s="77"/>
      <c r="C15" s="77"/>
      <c r="D15" s="77"/>
      <c r="E15" s="77"/>
      <c r="F15" s="77"/>
      <c r="G15" s="77"/>
      <c r="H15" s="77"/>
      <c r="I15" s="77"/>
    </row>
    <row r="16" spans="1:9" x14ac:dyDescent="0.2">
      <c r="A16" s="77"/>
      <c r="B16" s="77"/>
      <c r="C16" s="77"/>
      <c r="D16" s="77"/>
      <c r="E16" s="77"/>
      <c r="F16" s="77"/>
      <c r="G16" s="77"/>
      <c r="H16" s="77"/>
      <c r="I16" s="77"/>
    </row>
    <row r="17" spans="1:9" x14ac:dyDescent="0.2">
      <c r="A17" s="77"/>
      <c r="B17" s="77"/>
      <c r="C17" s="77"/>
      <c r="D17" s="77"/>
      <c r="E17" s="77"/>
      <c r="F17" s="77"/>
      <c r="G17" s="77"/>
      <c r="H17" s="77"/>
      <c r="I17" s="77"/>
    </row>
    <row r="18" spans="1:9" x14ac:dyDescent="0.2">
      <c r="A18" s="77"/>
      <c r="B18" s="77"/>
      <c r="C18" s="77"/>
      <c r="D18" s="77"/>
      <c r="E18" s="77"/>
      <c r="F18" s="77"/>
      <c r="G18" s="77"/>
      <c r="H18" s="77"/>
      <c r="I18" s="77"/>
    </row>
    <row r="19" spans="1:9" x14ac:dyDescent="0.2">
      <c r="A19" s="77"/>
      <c r="B19" s="77"/>
      <c r="C19" s="77"/>
      <c r="D19" s="77"/>
      <c r="E19" s="77"/>
      <c r="F19" s="77"/>
      <c r="G19" s="77"/>
      <c r="H19" s="77"/>
      <c r="I19" s="77"/>
    </row>
    <row r="20" spans="1:9" x14ac:dyDescent="0.2">
      <c r="A20" s="77"/>
      <c r="B20" s="77"/>
      <c r="C20" s="77"/>
      <c r="D20" s="77"/>
      <c r="E20" s="77"/>
      <c r="F20" s="77"/>
      <c r="G20" s="77"/>
      <c r="H20" s="77"/>
      <c r="I20" s="77"/>
    </row>
    <row r="21" spans="1:9" x14ac:dyDescent="0.2">
      <c r="A21" s="77"/>
      <c r="B21" s="77"/>
      <c r="C21" s="77"/>
      <c r="D21" s="77"/>
      <c r="E21" s="77"/>
      <c r="F21" s="77"/>
      <c r="G21" s="77"/>
      <c r="H21" s="77"/>
      <c r="I21" s="77"/>
    </row>
    <row r="22" spans="1:9" x14ac:dyDescent="0.2">
      <c r="A22" s="77"/>
      <c r="B22" s="77"/>
      <c r="C22" s="77"/>
      <c r="D22" s="77"/>
      <c r="E22" s="77"/>
      <c r="F22" s="77"/>
      <c r="G22" s="77"/>
      <c r="H22" s="77"/>
      <c r="I22" s="77"/>
    </row>
    <row r="23" spans="1:9" x14ac:dyDescent="0.2">
      <c r="A23" s="77"/>
      <c r="B23" s="77"/>
      <c r="C23" s="77"/>
      <c r="D23" s="77"/>
      <c r="E23" s="77"/>
      <c r="F23" s="77"/>
      <c r="G23" s="77"/>
      <c r="H23" s="77"/>
      <c r="I23" s="77"/>
    </row>
    <row r="24" spans="1:9" x14ac:dyDescent="0.2">
      <c r="A24" s="77"/>
      <c r="B24" s="77"/>
      <c r="C24" s="77"/>
      <c r="D24" s="77"/>
      <c r="E24" s="77"/>
      <c r="F24" s="77"/>
      <c r="G24" s="77"/>
      <c r="H24" s="77"/>
      <c r="I24" s="77"/>
    </row>
    <row r="25" spans="1:9" x14ac:dyDescent="0.2">
      <c r="A25" s="77"/>
      <c r="B25" s="77"/>
      <c r="C25" s="77"/>
      <c r="D25" s="77"/>
      <c r="E25" s="77"/>
      <c r="F25" s="77"/>
      <c r="G25" s="77"/>
      <c r="H25" s="77"/>
      <c r="I25" s="77"/>
    </row>
    <row r="26" spans="1:9" x14ac:dyDescent="0.2">
      <c r="A26" s="77"/>
      <c r="B26" s="77"/>
      <c r="C26" s="77"/>
      <c r="D26" s="77"/>
      <c r="E26" s="77"/>
      <c r="F26" s="77"/>
      <c r="G26" s="77"/>
      <c r="H26" s="77"/>
      <c r="I26" s="77"/>
    </row>
    <row r="27" spans="1:9" x14ac:dyDescent="0.2">
      <c r="A27" s="77"/>
      <c r="B27" s="77"/>
      <c r="C27" s="77"/>
      <c r="D27" s="77"/>
      <c r="E27" s="77"/>
      <c r="F27" s="77"/>
      <c r="G27" s="77"/>
      <c r="H27" s="77"/>
      <c r="I27" s="77"/>
    </row>
    <row r="28" spans="1:9" x14ac:dyDescent="0.2">
      <c r="A28" s="77"/>
      <c r="B28" s="77"/>
      <c r="C28" s="77"/>
      <c r="D28" s="77"/>
      <c r="E28" s="77"/>
      <c r="F28" s="77"/>
      <c r="G28" s="77"/>
      <c r="H28" s="77"/>
      <c r="I28" s="77"/>
    </row>
    <row r="29" spans="1:9" x14ac:dyDescent="0.2">
      <c r="A29" s="77"/>
      <c r="B29" s="77"/>
      <c r="C29" s="77"/>
      <c r="D29" s="77"/>
      <c r="E29" s="77"/>
      <c r="F29" s="77"/>
      <c r="G29" s="77"/>
      <c r="H29" s="77"/>
      <c r="I29" s="77"/>
    </row>
    <row r="30" spans="1:9" x14ac:dyDescent="0.2">
      <c r="A30" s="77"/>
      <c r="B30" s="77"/>
      <c r="C30" s="77"/>
      <c r="D30" s="77"/>
      <c r="E30" s="77"/>
      <c r="F30" s="77"/>
      <c r="G30" s="77"/>
      <c r="H30" s="77"/>
      <c r="I30" s="77"/>
    </row>
    <row r="31" spans="1:9" x14ac:dyDescent="0.2">
      <c r="A31" s="77"/>
      <c r="B31" s="77"/>
      <c r="C31" s="77"/>
      <c r="D31" s="77"/>
      <c r="E31" s="77"/>
      <c r="F31" s="77"/>
      <c r="G31" s="77"/>
      <c r="H31" s="77"/>
      <c r="I31" s="77"/>
    </row>
    <row r="32" spans="1:9" x14ac:dyDescent="0.2">
      <c r="A32" s="77"/>
      <c r="B32" s="77"/>
      <c r="C32" s="77"/>
      <c r="D32" s="77"/>
      <c r="E32" s="77"/>
      <c r="F32" s="77"/>
      <c r="G32" s="77"/>
      <c r="H32" s="77"/>
      <c r="I32" s="77"/>
    </row>
    <row r="33" spans="1:9" x14ac:dyDescent="0.2">
      <c r="A33" s="77"/>
      <c r="B33" s="77"/>
      <c r="C33" s="77"/>
      <c r="D33" s="77"/>
      <c r="E33" s="77"/>
      <c r="F33" s="77"/>
      <c r="G33" s="77"/>
      <c r="H33" s="77"/>
      <c r="I33" s="77"/>
    </row>
    <row r="34" spans="1:9" x14ac:dyDescent="0.2">
      <c r="A34" s="77"/>
      <c r="B34" s="77"/>
      <c r="C34" s="77"/>
      <c r="D34" s="77"/>
      <c r="E34" s="77"/>
      <c r="F34" s="77"/>
      <c r="G34" s="77"/>
      <c r="H34" s="77"/>
      <c r="I34" s="77"/>
    </row>
    <row r="35" spans="1:9" x14ac:dyDescent="0.2">
      <c r="A35" s="77"/>
      <c r="B35" s="77"/>
      <c r="C35" s="77"/>
      <c r="D35" s="77"/>
      <c r="E35" s="77"/>
      <c r="F35" s="77"/>
      <c r="G35" s="77"/>
      <c r="H35" s="77"/>
      <c r="I35" s="77"/>
    </row>
    <row r="36" spans="1:9" x14ac:dyDescent="0.2">
      <c r="A36" s="77"/>
      <c r="B36" s="77"/>
      <c r="C36" s="77"/>
      <c r="D36" s="77"/>
      <c r="E36" s="77"/>
      <c r="F36" s="77"/>
      <c r="G36" s="77"/>
      <c r="H36" s="77"/>
      <c r="I36" s="77"/>
    </row>
    <row r="37" spans="1:9" x14ac:dyDescent="0.2">
      <c r="A37" s="77"/>
      <c r="B37" s="77"/>
      <c r="C37" s="77"/>
      <c r="D37" s="77"/>
      <c r="E37" s="77"/>
      <c r="F37" s="77"/>
      <c r="G37" s="77"/>
      <c r="H37" s="77"/>
      <c r="I37" s="77"/>
    </row>
    <row r="38" spans="1:9" x14ac:dyDescent="0.2">
      <c r="A38" s="77"/>
      <c r="B38" s="77"/>
      <c r="C38" s="77"/>
      <c r="D38" s="77"/>
      <c r="E38" s="77"/>
      <c r="F38" s="77"/>
      <c r="G38" s="77"/>
      <c r="H38" s="77"/>
      <c r="I38" s="77"/>
    </row>
    <row r="39" spans="1:9" x14ac:dyDescent="0.2">
      <c r="A39" s="77"/>
      <c r="B39" s="77"/>
      <c r="C39" s="77"/>
      <c r="D39" s="77"/>
      <c r="E39" s="77"/>
      <c r="F39" s="77"/>
      <c r="G39" s="77"/>
      <c r="H39" s="77"/>
      <c r="I39" s="77"/>
    </row>
    <row r="40" spans="1:9" x14ac:dyDescent="0.2">
      <c r="A40" s="77"/>
      <c r="B40" s="77"/>
      <c r="C40" s="77"/>
      <c r="D40" s="77"/>
      <c r="E40" s="77"/>
      <c r="F40" s="77"/>
      <c r="G40" s="77"/>
      <c r="H40" s="77"/>
      <c r="I40" s="77"/>
    </row>
    <row r="41" spans="1:9" x14ac:dyDescent="0.2">
      <c r="A41" s="77"/>
      <c r="B41" s="77"/>
      <c r="C41" s="77"/>
      <c r="D41" s="77"/>
      <c r="E41" s="77"/>
      <c r="F41" s="77"/>
      <c r="G41" s="77"/>
      <c r="H41" s="77"/>
      <c r="I41" s="77"/>
    </row>
    <row r="42" spans="1:9" x14ac:dyDescent="0.2">
      <c r="A42" s="77"/>
      <c r="B42" s="77"/>
      <c r="C42" s="77"/>
      <c r="D42" s="77"/>
      <c r="E42" s="77"/>
      <c r="F42" s="77"/>
      <c r="G42" s="77"/>
      <c r="H42" s="77"/>
      <c r="I42" s="77"/>
    </row>
    <row r="43" spans="1:9" x14ac:dyDescent="0.2">
      <c r="A43" s="77"/>
      <c r="B43" s="77"/>
      <c r="C43" s="77"/>
      <c r="D43" s="77"/>
      <c r="E43" s="77"/>
      <c r="F43" s="77"/>
      <c r="G43" s="77"/>
      <c r="H43" s="77"/>
      <c r="I43" s="77"/>
    </row>
    <row r="44" spans="1:9" x14ac:dyDescent="0.2">
      <c r="A44" s="77"/>
      <c r="B44" s="77"/>
      <c r="C44" s="77"/>
      <c r="D44" s="77"/>
      <c r="E44" s="77"/>
      <c r="F44" s="77"/>
      <c r="G44" s="77"/>
      <c r="H44" s="77"/>
      <c r="I44" s="77"/>
    </row>
    <row r="45" spans="1:9" x14ac:dyDescent="0.2">
      <c r="A45" s="77"/>
      <c r="B45" s="77"/>
      <c r="C45" s="77"/>
      <c r="D45" s="77"/>
      <c r="E45" s="77"/>
      <c r="F45" s="77"/>
      <c r="G45" s="77"/>
      <c r="H45" s="77"/>
      <c r="I45" s="77"/>
    </row>
    <row r="46" spans="1:9" x14ac:dyDescent="0.2">
      <c r="A46" s="77"/>
      <c r="B46" s="77"/>
      <c r="C46" s="77"/>
      <c r="D46" s="77"/>
      <c r="E46" s="77"/>
      <c r="F46" s="77"/>
      <c r="G46" s="77"/>
      <c r="H46" s="77"/>
      <c r="I46" s="77"/>
    </row>
    <row r="47" spans="1:9" x14ac:dyDescent="0.2">
      <c r="A47" s="77"/>
      <c r="B47" s="77"/>
      <c r="C47" s="77"/>
      <c r="D47" s="77"/>
      <c r="E47" s="77"/>
      <c r="F47" s="77"/>
      <c r="G47" s="77"/>
      <c r="H47" s="77"/>
      <c r="I47" s="77"/>
    </row>
    <row r="48" spans="1:9" x14ac:dyDescent="0.2">
      <c r="A48" s="77"/>
      <c r="B48" s="77"/>
      <c r="C48" s="77"/>
      <c r="D48" s="77"/>
      <c r="E48" s="77"/>
      <c r="F48" s="77"/>
      <c r="G48" s="77"/>
      <c r="H48" s="77"/>
      <c r="I48" s="77"/>
    </row>
    <row r="49" spans="1:9" x14ac:dyDescent="0.2">
      <c r="A49" s="77"/>
      <c r="B49" s="77"/>
      <c r="C49" s="77"/>
      <c r="D49" s="77"/>
      <c r="E49" s="77"/>
      <c r="F49" s="77"/>
      <c r="G49" s="77"/>
      <c r="H49" s="77"/>
      <c r="I49" s="77"/>
    </row>
    <row r="50" spans="1:9" x14ac:dyDescent="0.2">
      <c r="A50" s="77"/>
      <c r="B50" s="77"/>
      <c r="C50" s="77"/>
      <c r="D50" s="77"/>
      <c r="E50" s="77"/>
      <c r="F50" s="77"/>
      <c r="G50" s="77"/>
      <c r="H50" s="77"/>
      <c r="I50" s="77"/>
    </row>
    <row r="51" spans="1:9" x14ac:dyDescent="0.2">
      <c r="A51" s="77"/>
      <c r="B51" s="77"/>
      <c r="C51" s="77"/>
      <c r="D51" s="77"/>
      <c r="E51" s="77"/>
      <c r="F51" s="77"/>
      <c r="G51" s="77"/>
      <c r="H51" s="77"/>
      <c r="I51" s="77"/>
    </row>
    <row r="52" spans="1:9" x14ac:dyDescent="0.2">
      <c r="A52" s="77"/>
      <c r="B52" s="77"/>
      <c r="C52" s="77"/>
      <c r="D52" s="77"/>
      <c r="E52" s="77"/>
      <c r="F52" s="77"/>
      <c r="G52" s="77"/>
      <c r="H52" s="77"/>
      <c r="I52" s="77"/>
    </row>
    <row r="53" spans="1:9" x14ac:dyDescent="0.2">
      <c r="A53" s="77"/>
      <c r="B53" s="77"/>
      <c r="C53" s="77"/>
      <c r="D53" s="77"/>
      <c r="E53" s="77"/>
      <c r="F53" s="77"/>
      <c r="G53" s="77"/>
      <c r="H53" s="77"/>
      <c r="I53" s="77"/>
    </row>
    <row r="54" spans="1:9" x14ac:dyDescent="0.2">
      <c r="A54" s="77"/>
      <c r="B54" s="77"/>
      <c r="C54" s="77"/>
      <c r="D54" s="77"/>
      <c r="E54" s="77"/>
      <c r="F54" s="77"/>
      <c r="G54" s="77"/>
      <c r="H54" s="77"/>
      <c r="I54" s="77"/>
    </row>
    <row r="55" spans="1:9" x14ac:dyDescent="0.2">
      <c r="A55" s="77"/>
      <c r="B55" s="77"/>
      <c r="C55" s="77"/>
      <c r="D55" s="77"/>
      <c r="E55" s="77"/>
      <c r="F55" s="77"/>
      <c r="G55" s="77"/>
      <c r="H55" s="77"/>
      <c r="I55" s="77"/>
    </row>
    <row r="56" spans="1:9" x14ac:dyDescent="0.2">
      <c r="A56" s="77"/>
      <c r="B56" s="77"/>
      <c r="C56" s="77"/>
      <c r="D56" s="77"/>
      <c r="E56" s="77"/>
      <c r="F56" s="77"/>
      <c r="G56" s="77"/>
      <c r="H56" s="77"/>
      <c r="I56" s="77"/>
    </row>
    <row r="57" spans="1:9" x14ac:dyDescent="0.2">
      <c r="A57" s="77"/>
      <c r="B57" s="77"/>
      <c r="C57" s="77"/>
      <c r="D57" s="77"/>
      <c r="E57" s="77"/>
      <c r="F57" s="77"/>
      <c r="G57" s="77"/>
      <c r="H57" s="77"/>
      <c r="I57" s="77"/>
    </row>
    <row r="58" spans="1:9" x14ac:dyDescent="0.2">
      <c r="A58" s="77"/>
      <c r="B58" s="77"/>
      <c r="C58" s="77"/>
      <c r="D58" s="77"/>
      <c r="E58" s="77"/>
      <c r="F58" s="77"/>
      <c r="G58" s="77"/>
      <c r="H58" s="77"/>
      <c r="I58" s="77"/>
    </row>
    <row r="59" spans="1:9" x14ac:dyDescent="0.2">
      <c r="A59" s="77"/>
      <c r="B59" s="77"/>
      <c r="C59" s="77"/>
      <c r="D59" s="77"/>
      <c r="E59" s="77"/>
      <c r="F59" s="77"/>
      <c r="G59" s="77"/>
      <c r="H59" s="77"/>
      <c r="I59" s="77"/>
    </row>
    <row r="60" spans="1:9" x14ac:dyDescent="0.2">
      <c r="A60" s="77"/>
      <c r="B60" s="77"/>
      <c r="C60" s="77"/>
      <c r="D60" s="77"/>
      <c r="E60" s="77"/>
      <c r="F60" s="77"/>
      <c r="G60" s="77"/>
      <c r="H60" s="77"/>
      <c r="I60" s="77"/>
    </row>
    <row r="61" spans="1:9" x14ac:dyDescent="0.2">
      <c r="A61" s="77"/>
      <c r="B61" s="77"/>
      <c r="C61" s="77"/>
      <c r="D61" s="77"/>
      <c r="E61" s="77"/>
      <c r="F61" s="77"/>
      <c r="G61" s="77"/>
      <c r="H61" s="77"/>
      <c r="I61" s="77"/>
    </row>
    <row r="62" spans="1:9" x14ac:dyDescent="0.2">
      <c r="A62" s="77"/>
      <c r="B62" s="77"/>
      <c r="C62" s="77"/>
      <c r="D62" s="77"/>
      <c r="E62" s="77"/>
      <c r="F62" s="77"/>
      <c r="G62" s="77"/>
      <c r="H62" s="77"/>
      <c r="I62" s="77"/>
    </row>
    <row r="63" spans="1:9" x14ac:dyDescent="0.2">
      <c r="A63" s="77"/>
      <c r="B63" s="77"/>
      <c r="C63" s="77"/>
      <c r="D63" s="77"/>
      <c r="E63" s="77"/>
      <c r="F63" s="77"/>
      <c r="G63" s="77"/>
      <c r="H63" s="77"/>
      <c r="I63" s="77"/>
    </row>
    <row r="64" spans="1:9" x14ac:dyDescent="0.2">
      <c r="A64" s="77"/>
      <c r="B64" s="77"/>
      <c r="C64" s="77"/>
      <c r="D64" s="77"/>
      <c r="E64" s="77"/>
      <c r="F64" s="77"/>
      <c r="G64" s="77"/>
      <c r="H64" s="77"/>
      <c r="I64" s="77"/>
    </row>
    <row r="65" spans="1:9" x14ac:dyDescent="0.2">
      <c r="A65" s="77"/>
      <c r="B65" s="77"/>
      <c r="C65" s="77"/>
      <c r="D65" s="77"/>
      <c r="E65" s="77"/>
      <c r="F65" s="77"/>
      <c r="G65" s="77"/>
      <c r="H65" s="77"/>
      <c r="I65" s="77"/>
    </row>
    <row r="66" spans="1:9" x14ac:dyDescent="0.2">
      <c r="A66" s="77"/>
      <c r="B66" s="77"/>
      <c r="C66" s="77"/>
      <c r="D66" s="77"/>
      <c r="E66" s="77"/>
      <c r="F66" s="77"/>
      <c r="G66" s="77"/>
      <c r="H66" s="77"/>
      <c r="I66" s="77"/>
    </row>
    <row r="67" spans="1:9" x14ac:dyDescent="0.2">
      <c r="A67" s="77"/>
      <c r="B67" s="77"/>
      <c r="C67" s="77"/>
      <c r="D67" s="77"/>
      <c r="E67" s="77"/>
      <c r="F67" s="77"/>
      <c r="G67" s="77"/>
      <c r="H67" s="77"/>
      <c r="I67" s="77"/>
    </row>
    <row r="68" spans="1:9" x14ac:dyDescent="0.2">
      <c r="A68" s="77"/>
      <c r="B68" s="77"/>
      <c r="C68" s="77"/>
      <c r="D68" s="77"/>
      <c r="E68" s="77"/>
      <c r="F68" s="77"/>
      <c r="G68" s="77"/>
      <c r="H68" s="77"/>
      <c r="I68" s="77"/>
    </row>
    <row r="69" spans="1:9" x14ac:dyDescent="0.2">
      <c r="A69" s="77"/>
      <c r="B69" s="77"/>
      <c r="C69" s="77"/>
      <c r="D69" s="77"/>
      <c r="E69" s="77"/>
      <c r="F69" s="77"/>
      <c r="G69" s="77"/>
      <c r="H69" s="77"/>
      <c r="I69" s="77"/>
    </row>
    <row r="70" spans="1:9" x14ac:dyDescent="0.2">
      <c r="A70" s="77"/>
      <c r="B70" s="77"/>
      <c r="C70" s="77"/>
      <c r="D70" s="77"/>
      <c r="E70" s="77"/>
      <c r="F70" s="77"/>
      <c r="G70" s="77"/>
      <c r="H70" s="77"/>
      <c r="I70" s="77"/>
    </row>
    <row r="71" spans="1:9" x14ac:dyDescent="0.2">
      <c r="A71" s="77"/>
      <c r="B71" s="77"/>
      <c r="C71" s="77"/>
      <c r="D71" s="77"/>
      <c r="E71" s="77"/>
      <c r="F71" s="77"/>
      <c r="G71" s="77"/>
      <c r="H71" s="77"/>
      <c r="I71" s="77"/>
    </row>
    <row r="72" spans="1:9" x14ac:dyDescent="0.2">
      <c r="A72" s="77"/>
      <c r="B72" s="77"/>
      <c r="C72" s="77"/>
      <c r="D72" s="77"/>
      <c r="E72" s="77"/>
      <c r="F72" s="77"/>
      <c r="G72" s="77"/>
      <c r="H72" s="77"/>
      <c r="I72" s="77"/>
    </row>
    <row r="73" spans="1:9" x14ac:dyDescent="0.2">
      <c r="A73" s="77"/>
      <c r="B73" s="77"/>
      <c r="C73" s="77"/>
      <c r="D73" s="77"/>
      <c r="E73" s="77"/>
      <c r="F73" s="77"/>
      <c r="G73" s="77"/>
      <c r="H73" s="77"/>
      <c r="I73" s="77"/>
    </row>
    <row r="74" spans="1:9" x14ac:dyDescent="0.2">
      <c r="A74" s="77"/>
      <c r="B74" s="77"/>
      <c r="C74" s="77"/>
      <c r="D74" s="77"/>
      <c r="E74" s="77"/>
      <c r="F74" s="77"/>
      <c r="G74" s="77"/>
      <c r="H74" s="77"/>
      <c r="I74" s="77"/>
    </row>
    <row r="75" spans="1:9" x14ac:dyDescent="0.2">
      <c r="A75" s="77"/>
      <c r="B75" s="77"/>
      <c r="C75" s="77"/>
      <c r="D75" s="77"/>
      <c r="E75" s="77"/>
      <c r="F75" s="77"/>
      <c r="G75" s="77"/>
      <c r="H75" s="77"/>
      <c r="I75" s="77"/>
    </row>
    <row r="76" spans="1:9" x14ac:dyDescent="0.2">
      <c r="A76" s="77"/>
      <c r="B76" s="77"/>
      <c r="C76" s="77"/>
      <c r="D76" s="77"/>
      <c r="E76" s="77"/>
      <c r="F76" s="77"/>
      <c r="G76" s="77"/>
      <c r="H76" s="77"/>
      <c r="I76" s="77"/>
    </row>
    <row r="77" spans="1:9" x14ac:dyDescent="0.2">
      <c r="A77" s="77"/>
      <c r="B77" s="77"/>
      <c r="C77" s="77"/>
      <c r="D77" s="77"/>
      <c r="E77" s="77"/>
      <c r="F77" s="77"/>
      <c r="G77" s="77"/>
      <c r="H77" s="77"/>
      <c r="I77" s="77"/>
    </row>
    <row r="78" spans="1:9" x14ac:dyDescent="0.2">
      <c r="A78" s="77"/>
      <c r="B78" s="77"/>
      <c r="C78" s="77"/>
      <c r="D78" s="77"/>
      <c r="E78" s="77"/>
      <c r="F78" s="77"/>
      <c r="G78" s="77"/>
      <c r="H78" s="77"/>
      <c r="I78" s="77"/>
    </row>
    <row r="79" spans="1:9" x14ac:dyDescent="0.2">
      <c r="A79" s="77"/>
      <c r="B79" s="77"/>
      <c r="C79" s="77"/>
      <c r="D79" s="77"/>
      <c r="E79" s="77"/>
      <c r="F79" s="77"/>
      <c r="G79" s="77"/>
      <c r="H79" s="77"/>
      <c r="I79" s="77"/>
    </row>
    <row r="80" spans="1:9" x14ac:dyDescent="0.2">
      <c r="A80" s="77"/>
      <c r="B80" s="77"/>
      <c r="C80" s="77"/>
      <c r="D80" s="77"/>
      <c r="E80" s="77"/>
      <c r="F80" s="77"/>
      <c r="G80" s="77"/>
      <c r="H80" s="77"/>
      <c r="I80" s="77"/>
    </row>
    <row r="81" spans="1:9" x14ac:dyDescent="0.2">
      <c r="A81" s="77"/>
      <c r="B81" s="77"/>
      <c r="C81" s="77"/>
      <c r="D81" s="77"/>
      <c r="E81" s="77"/>
      <c r="F81" s="77"/>
      <c r="G81" s="77"/>
      <c r="H81" s="77"/>
      <c r="I81" s="77"/>
    </row>
    <row r="82" spans="1:9" x14ac:dyDescent="0.2">
      <c r="A82" s="77"/>
      <c r="B82" s="77"/>
      <c r="C82" s="77"/>
      <c r="D82" s="77"/>
      <c r="E82" s="77"/>
      <c r="F82" s="77"/>
      <c r="G82" s="77"/>
      <c r="H82" s="77"/>
      <c r="I82" s="77"/>
    </row>
    <row r="83" spans="1:9" x14ac:dyDescent="0.2">
      <c r="A83" s="77"/>
      <c r="B83" s="77"/>
      <c r="C83" s="77"/>
      <c r="D83" s="77"/>
      <c r="E83" s="77"/>
      <c r="F83" s="77"/>
      <c r="G83" s="77"/>
      <c r="H83" s="77"/>
      <c r="I83" s="77"/>
    </row>
    <row r="84" spans="1:9" x14ac:dyDescent="0.2">
      <c r="A84" s="77"/>
      <c r="B84" s="77"/>
      <c r="C84" s="77"/>
      <c r="D84" s="77"/>
      <c r="E84" s="77"/>
      <c r="F84" s="77"/>
      <c r="G84" s="77"/>
      <c r="H84" s="77"/>
      <c r="I84" s="77"/>
    </row>
    <row r="85" spans="1:9" x14ac:dyDescent="0.2">
      <c r="A85" s="77"/>
      <c r="B85" s="77"/>
      <c r="C85" s="77"/>
      <c r="D85" s="77"/>
      <c r="E85" s="77"/>
      <c r="F85" s="77"/>
      <c r="G85" s="77"/>
      <c r="H85" s="77"/>
      <c r="I85" s="77"/>
    </row>
    <row r="86" spans="1:9" x14ac:dyDescent="0.2">
      <c r="A86" s="77"/>
      <c r="B86" s="77"/>
      <c r="C86" s="77"/>
      <c r="D86" s="77"/>
      <c r="E86" s="77"/>
      <c r="F86" s="77"/>
      <c r="G86" s="77"/>
      <c r="H86" s="77"/>
      <c r="I86" s="77"/>
    </row>
    <row r="87" spans="1:9" x14ac:dyDescent="0.2">
      <c r="A87" s="77"/>
      <c r="B87" s="77"/>
      <c r="C87" s="77"/>
      <c r="D87" s="77"/>
      <c r="E87" s="77"/>
      <c r="F87" s="77"/>
      <c r="G87" s="77"/>
      <c r="H87" s="77"/>
      <c r="I87" s="77"/>
    </row>
    <row r="88" spans="1:9" x14ac:dyDescent="0.2">
      <c r="A88" s="77"/>
      <c r="B88" s="77"/>
      <c r="C88" s="77"/>
      <c r="D88" s="77"/>
      <c r="E88" s="77"/>
      <c r="F88" s="77"/>
      <c r="G88" s="77"/>
      <c r="H88" s="77"/>
      <c r="I88" s="77"/>
    </row>
    <row r="89" spans="1:9" x14ac:dyDescent="0.2">
      <c r="A89" s="77"/>
      <c r="B89" s="77"/>
      <c r="C89" s="77"/>
      <c r="D89" s="77"/>
      <c r="E89" s="77"/>
      <c r="F89" s="77"/>
      <c r="G89" s="77"/>
      <c r="H89" s="77"/>
      <c r="I89" s="77"/>
    </row>
    <row r="90" spans="1:9" x14ac:dyDescent="0.2">
      <c r="A90" s="77"/>
      <c r="B90" s="77"/>
      <c r="C90" s="77"/>
      <c r="D90" s="77"/>
      <c r="E90" s="77"/>
      <c r="F90" s="77"/>
      <c r="G90" s="77"/>
      <c r="H90" s="77"/>
      <c r="I90" s="77"/>
    </row>
    <row r="91" spans="1:9" x14ac:dyDescent="0.2">
      <c r="A91" s="77"/>
      <c r="B91" s="77"/>
      <c r="C91" s="77"/>
      <c r="D91" s="77"/>
      <c r="E91" s="77"/>
      <c r="F91" s="77"/>
      <c r="G91" s="77"/>
      <c r="H91" s="77"/>
      <c r="I91" s="77"/>
    </row>
    <row r="92" spans="1:9" x14ac:dyDescent="0.2">
      <c r="A92" s="77"/>
      <c r="B92" s="77"/>
      <c r="C92" s="77"/>
      <c r="D92" s="77"/>
      <c r="E92" s="77"/>
      <c r="F92" s="77"/>
      <c r="G92" s="77"/>
      <c r="H92" s="77"/>
      <c r="I92" s="77"/>
    </row>
    <row r="93" spans="1:9" x14ac:dyDescent="0.2">
      <c r="A93" s="77"/>
      <c r="B93" s="77"/>
      <c r="C93" s="77"/>
      <c r="D93" s="77"/>
      <c r="E93" s="77"/>
      <c r="F93" s="77"/>
      <c r="G93" s="77"/>
      <c r="H93" s="77"/>
      <c r="I93" s="77"/>
    </row>
    <row r="94" spans="1:9" x14ac:dyDescent="0.2">
      <c r="A94" s="77"/>
      <c r="B94" s="77"/>
      <c r="C94" s="77"/>
      <c r="D94" s="77"/>
      <c r="E94" s="77"/>
      <c r="F94" s="77"/>
      <c r="G94" s="77"/>
      <c r="H94" s="77"/>
      <c r="I94" s="77"/>
    </row>
    <row r="95" spans="1:9" x14ac:dyDescent="0.2">
      <c r="A95" s="77"/>
      <c r="B95" s="77"/>
      <c r="C95" s="77"/>
      <c r="D95" s="77"/>
      <c r="E95" s="77"/>
      <c r="F95" s="77"/>
      <c r="G95" s="77"/>
      <c r="H95" s="77"/>
      <c r="I95" s="77"/>
    </row>
    <row r="96" spans="1:9" x14ac:dyDescent="0.2">
      <c r="A96" s="77"/>
      <c r="B96" s="77"/>
      <c r="C96" s="77"/>
      <c r="D96" s="77"/>
      <c r="E96" s="77"/>
      <c r="F96" s="77"/>
      <c r="G96" s="77"/>
      <c r="H96" s="77"/>
      <c r="I96" s="77"/>
    </row>
    <row r="97" spans="1:9" x14ac:dyDescent="0.2">
      <c r="A97" s="77"/>
      <c r="B97" s="77"/>
      <c r="C97" s="77"/>
      <c r="D97" s="77"/>
      <c r="E97" s="77"/>
      <c r="F97" s="77"/>
      <c r="G97" s="77"/>
      <c r="H97" s="77"/>
      <c r="I97" s="77"/>
    </row>
    <row r="98" spans="1:9" x14ac:dyDescent="0.2">
      <c r="A98" s="77"/>
      <c r="B98" s="77"/>
      <c r="C98" s="77"/>
      <c r="D98" s="77"/>
      <c r="E98" s="77"/>
      <c r="F98" s="77"/>
      <c r="G98" s="77"/>
      <c r="H98" s="77"/>
      <c r="I98" s="77"/>
    </row>
    <row r="99" spans="1:9" x14ac:dyDescent="0.2">
      <c r="A99" s="77"/>
      <c r="B99" s="77"/>
      <c r="C99" s="77"/>
      <c r="D99" s="77"/>
      <c r="E99" s="77"/>
      <c r="F99" s="77"/>
      <c r="G99" s="77"/>
      <c r="H99" s="77"/>
      <c r="I99" s="77"/>
    </row>
    <row r="100" spans="1:9" x14ac:dyDescent="0.2">
      <c r="A100" s="77"/>
      <c r="B100" s="77"/>
      <c r="C100" s="77"/>
      <c r="D100" s="77"/>
      <c r="E100" s="77"/>
      <c r="F100" s="77"/>
      <c r="G100" s="77"/>
      <c r="H100" s="77"/>
      <c r="I100" s="77"/>
    </row>
    <row r="101" spans="1:9" x14ac:dyDescent="0.2">
      <c r="A101" s="77"/>
      <c r="B101" s="77"/>
      <c r="C101" s="77"/>
      <c r="D101" s="77"/>
      <c r="E101" s="77"/>
      <c r="F101" s="77"/>
      <c r="G101" s="77"/>
      <c r="H101" s="77"/>
      <c r="I101" s="77"/>
    </row>
    <row r="102" spans="1:9" x14ac:dyDescent="0.2">
      <c r="A102" s="77"/>
      <c r="B102" s="77"/>
      <c r="C102" s="77"/>
      <c r="D102" s="77"/>
      <c r="E102" s="77"/>
      <c r="F102" s="77"/>
      <c r="G102" s="77"/>
      <c r="H102" s="77"/>
      <c r="I102" s="77"/>
    </row>
    <row r="103" spans="1:9" x14ac:dyDescent="0.2">
      <c r="A103" s="77"/>
      <c r="B103" s="77"/>
      <c r="C103" s="77"/>
      <c r="D103" s="77"/>
      <c r="E103" s="77"/>
      <c r="F103" s="77"/>
      <c r="G103" s="77"/>
      <c r="H103" s="77"/>
      <c r="I103" s="77"/>
    </row>
    <row r="104" spans="1:9" x14ac:dyDescent="0.2">
      <c r="A104" s="77"/>
      <c r="B104" s="77"/>
      <c r="C104" s="77"/>
      <c r="D104" s="77"/>
      <c r="E104" s="77"/>
      <c r="F104" s="77"/>
      <c r="G104" s="77"/>
      <c r="H104" s="77"/>
      <c r="I104" s="77"/>
    </row>
    <row r="105" spans="1:9" x14ac:dyDescent="0.2">
      <c r="A105" s="77"/>
      <c r="B105" s="77"/>
      <c r="C105" s="77"/>
      <c r="D105" s="77"/>
      <c r="E105" s="77"/>
      <c r="F105" s="77"/>
      <c r="G105" s="77"/>
      <c r="H105" s="77"/>
      <c r="I105" s="77"/>
    </row>
    <row r="106" spans="1:9" x14ac:dyDescent="0.2">
      <c r="A106" s="77"/>
      <c r="B106" s="77"/>
      <c r="C106" s="77"/>
      <c r="D106" s="77"/>
      <c r="E106" s="77"/>
      <c r="F106" s="77"/>
      <c r="G106" s="77"/>
      <c r="H106" s="77"/>
      <c r="I106" s="77"/>
    </row>
    <row r="107" spans="1:9" x14ac:dyDescent="0.2">
      <c r="A107" s="77"/>
      <c r="B107" s="77"/>
      <c r="C107" s="77"/>
      <c r="D107" s="77"/>
      <c r="E107" s="77"/>
      <c r="F107" s="77"/>
      <c r="G107" s="77"/>
      <c r="H107" s="77"/>
      <c r="I107" s="77"/>
    </row>
    <row r="108" spans="1:9" x14ac:dyDescent="0.2">
      <c r="A108" s="77"/>
      <c r="B108" s="77"/>
      <c r="C108" s="77"/>
      <c r="D108" s="77"/>
      <c r="E108" s="77"/>
      <c r="F108" s="77"/>
      <c r="G108" s="77"/>
      <c r="H108" s="77"/>
      <c r="I108" s="77"/>
    </row>
  </sheetData>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19197-8391-4216-959B-15F39849DA90}">
  <dimension ref="A1:IC218"/>
  <sheetViews>
    <sheetView zoomScale="85" zoomScaleNormal="85" workbookViewId="0">
      <pane ySplit="1" topLeftCell="A2" activePane="bottomLeft" state="frozen"/>
      <selection pane="bottomLeft"/>
    </sheetView>
  </sheetViews>
  <sheetFormatPr defaultColWidth="10.7109375" defaultRowHeight="12.95" customHeight="1" x14ac:dyDescent="0.2"/>
  <cols>
    <col min="1" max="1" width="5.140625" style="11" customWidth="1"/>
    <col min="2" max="10" width="10.7109375" style="11"/>
    <col min="11" max="12" width="10.7109375" style="24"/>
    <col min="13" max="17" width="10.7109375" style="11"/>
    <col min="18" max="18" width="10.7109375" style="24"/>
    <col min="19" max="41" width="10.7109375" style="11"/>
    <col min="42" max="42" width="10.7109375" style="24"/>
    <col min="43" max="47" width="10.7109375" style="11"/>
    <col min="48" max="48" width="10.7109375" style="24"/>
    <col min="49" max="69" width="10.7109375" style="11"/>
    <col min="70" max="70" width="10.7109375" style="24"/>
    <col min="71" max="74" width="10.7109375" style="11"/>
    <col min="75" max="75" width="10.7109375" style="24"/>
    <col min="76" max="85" width="10.7109375" style="11"/>
    <col min="86" max="86" width="10.7109375" style="24"/>
    <col min="87" max="108" width="10.7109375" style="11"/>
    <col min="109" max="110" width="10.7109375" style="24"/>
    <col min="111" max="234" width="10.7109375" style="11"/>
    <col min="235" max="235" width="14.85546875" style="11" bestFit="1" customWidth="1"/>
    <col min="236" max="236" width="8.5703125" style="11" bestFit="1" customWidth="1"/>
    <col min="237" max="237" width="17.7109375" style="11" bestFit="1" customWidth="1"/>
    <col min="238" max="16384" width="10.7109375" style="11"/>
  </cols>
  <sheetData>
    <row r="1" spans="1:237" ht="12.95" customHeight="1" x14ac:dyDescent="0.2">
      <c r="B1" s="11" t="s">
        <v>0</v>
      </c>
      <c r="C1" s="11" t="s">
        <v>1</v>
      </c>
      <c r="D1" s="11" t="s">
        <v>2</v>
      </c>
      <c r="E1" s="11" t="s">
        <v>3</v>
      </c>
      <c r="F1" s="11" t="s">
        <v>4</v>
      </c>
      <c r="G1" s="11" t="s">
        <v>5</v>
      </c>
      <c r="H1" s="11" t="s">
        <v>1149</v>
      </c>
      <c r="I1" s="24" t="s">
        <v>7</v>
      </c>
      <c r="J1" s="24" t="s">
        <v>8</v>
      </c>
      <c r="M1" s="24" t="s">
        <v>1150</v>
      </c>
      <c r="N1" s="24" t="s">
        <v>11</v>
      </c>
      <c r="O1" s="24" t="s">
        <v>12</v>
      </c>
      <c r="P1" s="24" t="s">
        <v>13</v>
      </c>
      <c r="Q1" s="24" t="s">
        <v>14</v>
      </c>
      <c r="S1" s="11" t="s">
        <v>1151</v>
      </c>
      <c r="T1" s="11" t="s">
        <v>1152</v>
      </c>
      <c r="U1" s="11" t="s">
        <v>1153</v>
      </c>
      <c r="V1" s="11" t="s">
        <v>1154</v>
      </c>
      <c r="W1" s="11" t="s">
        <v>1155</v>
      </c>
      <c r="X1" s="11" t="s">
        <v>1156</v>
      </c>
      <c r="Y1" s="11" t="s">
        <v>1157</v>
      </c>
      <c r="Z1" s="11" t="s">
        <v>1158</v>
      </c>
      <c r="AA1" s="11" t="s">
        <v>1159</v>
      </c>
      <c r="AB1" s="11" t="s">
        <v>16</v>
      </c>
      <c r="AC1" s="11" t="s">
        <v>17</v>
      </c>
      <c r="AD1" s="11" t="s">
        <v>18</v>
      </c>
      <c r="AE1" s="11" t="s">
        <v>19</v>
      </c>
      <c r="AF1" s="11" t="s">
        <v>21</v>
      </c>
      <c r="AG1" s="11" t="s">
        <v>22</v>
      </c>
      <c r="AH1" s="11" t="s">
        <v>23</v>
      </c>
      <c r="AI1" s="55" t="s">
        <v>24</v>
      </c>
      <c r="AJ1" s="55" t="s">
        <v>25</v>
      </c>
      <c r="AK1" s="55" t="s">
        <v>26</v>
      </c>
      <c r="AL1" s="55" t="s">
        <v>27</v>
      </c>
      <c r="AM1" s="28" t="s">
        <v>28</v>
      </c>
      <c r="AN1" s="28" t="s">
        <v>29</v>
      </c>
      <c r="AO1" s="28" t="s">
        <v>30</v>
      </c>
      <c r="AQ1" s="28" t="s">
        <v>1160</v>
      </c>
      <c r="AR1" s="28" t="s">
        <v>1161</v>
      </c>
      <c r="AS1" s="28" t="s">
        <v>1162</v>
      </c>
      <c r="AT1" s="28" t="s">
        <v>1163</v>
      </c>
      <c r="AU1" s="28" t="s">
        <v>1164</v>
      </c>
      <c r="AW1" s="11" t="s">
        <v>1165</v>
      </c>
      <c r="AX1" s="11" t="s">
        <v>1166</v>
      </c>
      <c r="AY1" s="11" t="s">
        <v>1167</v>
      </c>
      <c r="AZ1" s="11" t="s">
        <v>1168</v>
      </c>
      <c r="BA1" s="11" t="s">
        <v>1169</v>
      </c>
      <c r="BB1" s="55" t="s">
        <v>33</v>
      </c>
      <c r="BC1" s="55" t="s">
        <v>34</v>
      </c>
      <c r="BD1" s="55" t="s">
        <v>35</v>
      </c>
      <c r="BE1" s="55" t="s">
        <v>36</v>
      </c>
      <c r="BF1" s="55" t="s">
        <v>37</v>
      </c>
      <c r="BG1" s="11" t="s">
        <v>38</v>
      </c>
      <c r="BH1" s="11" t="s">
        <v>39</v>
      </c>
      <c r="BI1" s="11" t="s">
        <v>1170</v>
      </c>
      <c r="BJ1" s="11" t="s">
        <v>40</v>
      </c>
      <c r="BK1" s="11" t="s">
        <v>41</v>
      </c>
      <c r="BL1" s="11" t="s">
        <v>42</v>
      </c>
      <c r="BM1" s="11" t="s">
        <v>43</v>
      </c>
      <c r="BN1" s="11" t="s">
        <v>44</v>
      </c>
      <c r="BO1" s="11" t="s">
        <v>45</v>
      </c>
      <c r="BP1" s="11" t="s">
        <v>46</v>
      </c>
      <c r="BQ1" s="11" t="s">
        <v>47</v>
      </c>
      <c r="BS1" s="55" t="s">
        <v>1171</v>
      </c>
      <c r="BT1" s="55" t="s">
        <v>1172</v>
      </c>
      <c r="BU1" s="55" t="s">
        <v>1173</v>
      </c>
      <c r="BV1" s="55" t="s">
        <v>1174</v>
      </c>
      <c r="BX1" s="55" t="s">
        <v>1175</v>
      </c>
      <c r="BY1" s="55" t="s">
        <v>1176</v>
      </c>
      <c r="BZ1" s="55" t="s">
        <v>1177</v>
      </c>
      <c r="CA1" s="55" t="s">
        <v>1178</v>
      </c>
      <c r="CB1" s="55" t="s">
        <v>1179</v>
      </c>
      <c r="CC1" s="55" t="s">
        <v>1180</v>
      </c>
      <c r="CD1" s="55" t="s">
        <v>1181</v>
      </c>
      <c r="CE1" s="55" t="s">
        <v>1182</v>
      </c>
      <c r="CF1" s="55" t="s">
        <v>1183</v>
      </c>
      <c r="CG1" s="55" t="s">
        <v>1184</v>
      </c>
      <c r="CI1" s="55" t="s">
        <v>1185</v>
      </c>
      <c r="CJ1" s="55" t="s">
        <v>1186</v>
      </c>
      <c r="CK1" s="55" t="s">
        <v>1187</v>
      </c>
      <c r="CL1" s="55" t="s">
        <v>1188</v>
      </c>
      <c r="CM1" s="55" t="s">
        <v>1189</v>
      </c>
      <c r="CN1" s="55" t="s">
        <v>1190</v>
      </c>
      <c r="CO1" s="55" t="s">
        <v>1191</v>
      </c>
      <c r="CP1" s="55" t="s">
        <v>1192</v>
      </c>
      <c r="CQ1" s="11" t="s">
        <v>51</v>
      </c>
      <c r="CR1" s="11" t="s">
        <v>52</v>
      </c>
      <c r="CS1" s="11" t="s">
        <v>53</v>
      </c>
      <c r="CT1" s="11" t="s">
        <v>1193</v>
      </c>
      <c r="CU1" s="11" t="s">
        <v>1194</v>
      </c>
      <c r="CV1" s="11" t="s">
        <v>1195</v>
      </c>
      <c r="CW1" s="11" t="s">
        <v>54</v>
      </c>
      <c r="CX1" s="11" t="s">
        <v>55</v>
      </c>
      <c r="CY1" s="11" t="s">
        <v>1196</v>
      </c>
      <c r="CZ1" s="11" t="s">
        <v>1197</v>
      </c>
      <c r="DA1" s="11" t="s">
        <v>57</v>
      </c>
      <c r="DB1" s="11" t="s">
        <v>58</v>
      </c>
      <c r="DC1" s="11" t="s">
        <v>59</v>
      </c>
      <c r="DD1" s="11" t="s">
        <v>60</v>
      </c>
      <c r="DG1" s="55" t="s">
        <v>1198</v>
      </c>
      <c r="DH1" s="55" t="s">
        <v>1199</v>
      </c>
      <c r="DI1" s="55" t="s">
        <v>1200</v>
      </c>
      <c r="DJ1" s="55" t="s">
        <v>1201</v>
      </c>
      <c r="DK1" s="55" t="s">
        <v>1202</v>
      </c>
      <c r="DL1" s="55" t="s">
        <v>1203</v>
      </c>
      <c r="DM1" s="55" t="s">
        <v>1204</v>
      </c>
      <c r="DN1" s="55" t="s">
        <v>1205</v>
      </c>
      <c r="DO1" s="55" t="s">
        <v>1206</v>
      </c>
      <c r="DP1" s="55" t="s">
        <v>1207</v>
      </c>
      <c r="DQ1" s="55" t="s">
        <v>1208</v>
      </c>
      <c r="DR1" s="55" t="s">
        <v>1209</v>
      </c>
      <c r="DS1" s="11" t="s">
        <v>61</v>
      </c>
      <c r="DT1" s="11" t="s">
        <v>62</v>
      </c>
      <c r="DU1" s="11" t="s">
        <v>63</v>
      </c>
      <c r="DV1" s="55" t="s">
        <v>64</v>
      </c>
      <c r="DW1" s="55" t="s">
        <v>65</v>
      </c>
      <c r="DX1" s="55" t="s">
        <v>66</v>
      </c>
      <c r="DY1" s="55" t="s">
        <v>1210</v>
      </c>
      <c r="DZ1" s="11" t="s">
        <v>67</v>
      </c>
      <c r="EA1" s="11" t="s">
        <v>68</v>
      </c>
      <c r="EB1" s="11" t="s">
        <v>69</v>
      </c>
      <c r="EC1" s="11" t="s">
        <v>70</v>
      </c>
      <c r="ED1" s="11" t="s">
        <v>71</v>
      </c>
      <c r="EE1" s="11" t="s">
        <v>1211</v>
      </c>
      <c r="EF1" s="11" t="s">
        <v>1212</v>
      </c>
      <c r="EG1" s="11" t="s">
        <v>1213</v>
      </c>
      <c r="EH1" s="11" t="s">
        <v>74</v>
      </c>
      <c r="EI1" s="11" t="s">
        <v>75</v>
      </c>
      <c r="EJ1" s="11" t="s">
        <v>76</v>
      </c>
      <c r="EK1" s="11" t="s">
        <v>77</v>
      </c>
      <c r="EL1" s="11" t="s">
        <v>78</v>
      </c>
      <c r="EM1" s="55" t="s">
        <v>1214</v>
      </c>
      <c r="EN1" s="11" t="s">
        <v>1215</v>
      </c>
      <c r="EO1" s="11" t="s">
        <v>1216</v>
      </c>
      <c r="EP1" s="11" t="s">
        <v>1217</v>
      </c>
      <c r="EQ1" s="11" t="s">
        <v>1218</v>
      </c>
      <c r="ER1" s="11" t="s">
        <v>1219</v>
      </c>
      <c r="ES1" s="11" t="s">
        <v>1220</v>
      </c>
      <c r="ET1" s="11" t="s">
        <v>1221</v>
      </c>
      <c r="EU1" s="11" t="s">
        <v>1222</v>
      </c>
      <c r="EV1" s="11" t="s">
        <v>1223</v>
      </c>
      <c r="EW1" s="11" t="s">
        <v>1224</v>
      </c>
      <c r="EX1" s="11" t="s">
        <v>1225</v>
      </c>
      <c r="EY1" s="11" t="s">
        <v>1226</v>
      </c>
      <c r="EZ1" s="11" t="s">
        <v>1227</v>
      </c>
      <c r="FA1" s="11" t="s">
        <v>1228</v>
      </c>
      <c r="FB1" s="11" t="s">
        <v>1229</v>
      </c>
      <c r="FC1" s="11" t="s">
        <v>1230</v>
      </c>
      <c r="FD1" s="11" t="s">
        <v>1231</v>
      </c>
      <c r="FE1" s="11" t="s">
        <v>1232</v>
      </c>
      <c r="FF1" s="11" t="s">
        <v>1233</v>
      </c>
      <c r="FG1" s="11" t="s">
        <v>1234</v>
      </c>
      <c r="FH1" s="11" t="s">
        <v>1235</v>
      </c>
      <c r="FI1" s="11" t="s">
        <v>1236</v>
      </c>
      <c r="FJ1" s="11" t="s">
        <v>1237</v>
      </c>
      <c r="FK1" s="11" t="s">
        <v>1238</v>
      </c>
      <c r="FL1" s="11" t="s">
        <v>1239</v>
      </c>
      <c r="FM1" s="11" t="s">
        <v>1240</v>
      </c>
      <c r="FN1" s="11" t="s">
        <v>1241</v>
      </c>
      <c r="FO1" s="11" t="s">
        <v>1242</v>
      </c>
      <c r="FP1" s="11" t="s">
        <v>1243</v>
      </c>
      <c r="FQ1" s="11" t="s">
        <v>1244</v>
      </c>
      <c r="FR1" s="11" t="s">
        <v>1245</v>
      </c>
      <c r="FS1" s="11" t="s">
        <v>1246</v>
      </c>
      <c r="FT1" s="11" t="s">
        <v>1247</v>
      </c>
      <c r="FU1" s="11" t="s">
        <v>1248</v>
      </c>
      <c r="FV1" s="11" t="s">
        <v>1249</v>
      </c>
      <c r="FW1" s="11" t="s">
        <v>1250</v>
      </c>
      <c r="FX1" s="11" t="s">
        <v>1251</v>
      </c>
      <c r="FY1" s="11" t="s">
        <v>1252</v>
      </c>
      <c r="FZ1" s="11" t="s">
        <v>1253</v>
      </c>
      <c r="GA1" s="11" t="s">
        <v>1254</v>
      </c>
      <c r="GB1" s="11" t="s">
        <v>1255</v>
      </c>
      <c r="GC1" s="11" t="s">
        <v>1256</v>
      </c>
      <c r="GD1" s="11" t="s">
        <v>1257</v>
      </c>
      <c r="GE1" s="11" t="s">
        <v>1258</v>
      </c>
      <c r="GF1" s="11" t="s">
        <v>1259</v>
      </c>
      <c r="GG1" s="11" t="s">
        <v>1260</v>
      </c>
      <c r="GH1" s="11" t="s">
        <v>1261</v>
      </c>
      <c r="GI1" s="11" t="s">
        <v>1262</v>
      </c>
      <c r="GJ1" s="11" t="s">
        <v>1263</v>
      </c>
      <c r="GK1" s="11" t="s">
        <v>1264</v>
      </c>
      <c r="GL1" s="11" t="s">
        <v>1265</v>
      </c>
      <c r="GM1" s="11" t="s">
        <v>1266</v>
      </c>
      <c r="GN1" s="11" t="s">
        <v>1267</v>
      </c>
      <c r="GO1" s="11" t="s">
        <v>1268</v>
      </c>
      <c r="GP1" s="11" t="s">
        <v>1269</v>
      </c>
      <c r="GQ1" s="11" t="s">
        <v>1270</v>
      </c>
      <c r="GR1" s="11" t="s">
        <v>1271</v>
      </c>
      <c r="GS1" s="11" t="s">
        <v>1272</v>
      </c>
      <c r="GT1" s="11" t="s">
        <v>1273</v>
      </c>
      <c r="GU1" s="11" t="s">
        <v>1274</v>
      </c>
      <c r="GV1" s="11" t="s">
        <v>1275</v>
      </c>
      <c r="GW1" s="11" t="s">
        <v>1276</v>
      </c>
      <c r="GX1" s="11" t="s">
        <v>1277</v>
      </c>
      <c r="GY1" s="11" t="s">
        <v>1278</v>
      </c>
      <c r="GZ1" s="11" t="s">
        <v>1279</v>
      </c>
      <c r="HA1" s="11" t="s">
        <v>1280</v>
      </c>
      <c r="HB1" s="11" t="s">
        <v>1281</v>
      </c>
      <c r="HC1" s="11" t="s">
        <v>1282</v>
      </c>
      <c r="HD1" s="11" t="s">
        <v>1283</v>
      </c>
      <c r="HE1" s="11" t="s">
        <v>1284</v>
      </c>
      <c r="HF1" s="11" t="s">
        <v>1285</v>
      </c>
      <c r="HG1" s="11" t="s">
        <v>1286</v>
      </c>
      <c r="HH1" s="11" t="s">
        <v>1287</v>
      </c>
      <c r="HI1" s="11" t="s">
        <v>1288</v>
      </c>
      <c r="HJ1" s="11" t="s">
        <v>1289</v>
      </c>
      <c r="HK1" s="11" t="s">
        <v>1290</v>
      </c>
      <c r="HL1" s="11" t="s">
        <v>1291</v>
      </c>
      <c r="HM1" s="11" t="s">
        <v>1292</v>
      </c>
      <c r="HN1" s="11" t="s">
        <v>1293</v>
      </c>
      <c r="HQ1" s="11" t="s">
        <v>1912</v>
      </c>
      <c r="HR1" s="11" t="s">
        <v>1913</v>
      </c>
    </row>
    <row r="2" spans="1:237" ht="12.95" customHeight="1" x14ac:dyDescent="0.2">
      <c r="A2" s="11">
        <v>61</v>
      </c>
      <c r="B2" s="11">
        <v>1</v>
      </c>
      <c r="C2" s="11" t="s">
        <v>83</v>
      </c>
      <c r="D2" s="11">
        <v>11</v>
      </c>
      <c r="E2" s="11" t="s">
        <v>79</v>
      </c>
      <c r="F2" s="11">
        <v>2143820328</v>
      </c>
      <c r="G2" s="11" t="s">
        <v>81</v>
      </c>
      <c r="H2" s="11" t="s">
        <v>84</v>
      </c>
      <c r="I2" s="28" t="s">
        <v>161</v>
      </c>
      <c r="J2" s="28"/>
      <c r="M2" s="28" t="s">
        <v>1294</v>
      </c>
      <c r="N2" s="28" t="s">
        <v>108</v>
      </c>
      <c r="O2" s="28" t="s">
        <v>1295</v>
      </c>
      <c r="P2" s="28" t="s">
        <v>87</v>
      </c>
      <c r="Q2" s="28" t="s">
        <v>1296</v>
      </c>
      <c r="S2" s="28" t="s">
        <v>84</v>
      </c>
      <c r="T2" s="28" t="s">
        <v>84</v>
      </c>
      <c r="U2" s="28" t="s">
        <v>84</v>
      </c>
      <c r="V2" s="28" t="s">
        <v>82</v>
      </c>
      <c r="W2" s="28" t="s">
        <v>82</v>
      </c>
      <c r="X2" s="28" t="s">
        <v>82</v>
      </c>
      <c r="Y2" s="28" t="s">
        <v>84</v>
      </c>
      <c r="Z2" s="28" t="s">
        <v>82</v>
      </c>
      <c r="AA2" s="28"/>
      <c r="AB2" s="28" t="s">
        <v>84</v>
      </c>
      <c r="AC2" s="28" t="s">
        <v>1297</v>
      </c>
      <c r="AD2" s="28" t="s">
        <v>82</v>
      </c>
      <c r="AE2" s="28"/>
      <c r="AF2" s="28"/>
      <c r="AG2" s="28" t="s">
        <v>84</v>
      </c>
      <c r="AH2" s="28" t="s">
        <v>1298</v>
      </c>
      <c r="AI2" s="28" t="s">
        <v>84</v>
      </c>
      <c r="AJ2" s="28"/>
      <c r="AK2" s="28" t="s">
        <v>1299</v>
      </c>
      <c r="AL2" s="28" t="s">
        <v>126</v>
      </c>
      <c r="AM2" s="28" t="s">
        <v>111</v>
      </c>
      <c r="AN2" s="28"/>
      <c r="AO2" s="28" t="s">
        <v>80</v>
      </c>
      <c r="AQ2" s="28" t="s">
        <v>84</v>
      </c>
      <c r="AR2" s="28" t="s">
        <v>82</v>
      </c>
      <c r="AS2" s="28" t="s">
        <v>84</v>
      </c>
      <c r="AT2" s="28" t="s">
        <v>84</v>
      </c>
      <c r="AU2" s="28"/>
      <c r="AW2" s="28" t="s">
        <v>80</v>
      </c>
      <c r="AX2" s="28" t="s">
        <v>80</v>
      </c>
      <c r="AY2" s="28" t="s">
        <v>80</v>
      </c>
      <c r="AZ2" s="28" t="s">
        <v>80</v>
      </c>
      <c r="BA2" s="28"/>
      <c r="BB2" s="28" t="s">
        <v>84</v>
      </c>
      <c r="BC2" s="28" t="s">
        <v>80</v>
      </c>
      <c r="BD2" s="28" t="s">
        <v>93</v>
      </c>
      <c r="BE2" s="28" t="s">
        <v>93</v>
      </c>
      <c r="BF2" s="28" t="s">
        <v>112</v>
      </c>
      <c r="BG2" s="28" t="s">
        <v>84</v>
      </c>
      <c r="BH2" s="28" t="s">
        <v>84</v>
      </c>
      <c r="BI2" s="28" t="s">
        <v>1300</v>
      </c>
      <c r="BJ2" s="28" t="s">
        <v>84</v>
      </c>
      <c r="BK2" s="28" t="s">
        <v>80</v>
      </c>
      <c r="BL2" s="28">
        <v>3</v>
      </c>
      <c r="BM2" s="28">
        <v>5</v>
      </c>
      <c r="BN2" s="28">
        <v>5</v>
      </c>
      <c r="BO2" s="28">
        <v>5</v>
      </c>
      <c r="BP2" s="28">
        <v>5</v>
      </c>
      <c r="BQ2" s="28">
        <v>5</v>
      </c>
      <c r="BS2" s="28" t="s">
        <v>99</v>
      </c>
      <c r="BT2" s="28"/>
      <c r="BU2" s="28"/>
      <c r="BV2" s="28"/>
      <c r="BX2" s="28" t="s">
        <v>82</v>
      </c>
      <c r="BY2" s="28"/>
      <c r="BZ2" s="28" t="s">
        <v>84</v>
      </c>
      <c r="CA2" s="28"/>
      <c r="CB2" s="28" t="s">
        <v>82</v>
      </c>
      <c r="CC2" s="28"/>
      <c r="CD2" s="28" t="s">
        <v>82</v>
      </c>
      <c r="CE2" s="28"/>
      <c r="CF2" s="28"/>
      <c r="CG2" s="28"/>
      <c r="CI2" s="28" t="s">
        <v>84</v>
      </c>
      <c r="CJ2" s="28"/>
      <c r="CK2" s="28" t="s">
        <v>84</v>
      </c>
      <c r="CL2" s="28"/>
      <c r="CM2" s="28" t="s">
        <v>82</v>
      </c>
      <c r="CN2" s="28"/>
      <c r="CO2" s="28"/>
      <c r="CP2" s="28"/>
      <c r="CQ2" s="28" t="s">
        <v>99</v>
      </c>
      <c r="CR2" s="28" t="s">
        <v>80</v>
      </c>
      <c r="CS2" s="28" t="s">
        <v>97</v>
      </c>
      <c r="CT2" s="28"/>
      <c r="CU2" s="28" t="s">
        <v>246</v>
      </c>
      <c r="CV2" s="28"/>
      <c r="CW2" s="28" t="s">
        <v>84</v>
      </c>
      <c r="CX2" s="28" t="s">
        <v>1301</v>
      </c>
      <c r="CY2" s="28"/>
      <c r="CZ2" s="28"/>
      <c r="DA2" s="28" t="s">
        <v>82</v>
      </c>
      <c r="DB2" s="28"/>
      <c r="DC2" s="28" t="s">
        <v>84</v>
      </c>
      <c r="DD2" s="28" t="s">
        <v>84</v>
      </c>
      <c r="DG2" s="28">
        <v>2</v>
      </c>
      <c r="DH2" s="28">
        <v>5</v>
      </c>
      <c r="DI2" s="28">
        <v>5</v>
      </c>
      <c r="DJ2" s="28">
        <v>5</v>
      </c>
      <c r="DK2" s="28">
        <v>5</v>
      </c>
      <c r="DL2" s="28">
        <v>4</v>
      </c>
      <c r="DM2" s="28">
        <v>5</v>
      </c>
      <c r="DN2" s="28">
        <v>5</v>
      </c>
      <c r="DO2" s="28">
        <v>5</v>
      </c>
      <c r="DP2" s="28">
        <v>5</v>
      </c>
      <c r="DQ2" s="28">
        <v>5</v>
      </c>
      <c r="DR2" s="28">
        <v>5</v>
      </c>
      <c r="DS2" s="28" t="s">
        <v>99</v>
      </c>
      <c r="DT2" s="28" t="s">
        <v>82</v>
      </c>
      <c r="DU2" s="28" t="s">
        <v>1302</v>
      </c>
      <c r="DV2" s="28" t="s">
        <v>84</v>
      </c>
      <c r="DW2" s="28" t="s">
        <v>93</v>
      </c>
      <c r="DX2" s="28" t="s">
        <v>81</v>
      </c>
      <c r="DY2" s="28" t="s">
        <v>1303</v>
      </c>
      <c r="DZ2" s="28" t="s">
        <v>93</v>
      </c>
      <c r="EA2" s="28" t="s">
        <v>1304</v>
      </c>
      <c r="EB2" s="28" t="s">
        <v>82</v>
      </c>
      <c r="EC2" s="28"/>
      <c r="ED2" s="28" t="s">
        <v>81</v>
      </c>
      <c r="EE2" s="28" t="s">
        <v>1305</v>
      </c>
      <c r="EF2" s="28" t="s">
        <v>82</v>
      </c>
      <c r="EG2" s="28" t="s">
        <v>84</v>
      </c>
      <c r="EH2" s="28" t="s">
        <v>82</v>
      </c>
      <c r="EI2" s="28"/>
      <c r="EJ2" s="28" t="s">
        <v>1306</v>
      </c>
      <c r="EK2" s="28" t="s">
        <v>1307</v>
      </c>
      <c r="EL2" s="28" t="s">
        <v>1308</v>
      </c>
      <c r="EM2" s="11">
        <v>1043.8699999999999</v>
      </c>
      <c r="EN2" s="11">
        <v>20.25</v>
      </c>
      <c r="EQ2" s="11">
        <v>68.959999999999994</v>
      </c>
      <c r="EW2" s="11">
        <v>388.35</v>
      </c>
      <c r="FF2" s="11">
        <v>31.01</v>
      </c>
      <c r="FJ2" s="11">
        <v>12.79</v>
      </c>
      <c r="FP2" s="11">
        <v>20.82</v>
      </c>
      <c r="FV2" s="11">
        <v>53.2</v>
      </c>
      <c r="GC2" s="11">
        <v>165.42</v>
      </c>
      <c r="GT2" s="11">
        <v>53.25</v>
      </c>
      <c r="GX2" s="11">
        <v>61.76</v>
      </c>
      <c r="HB2" s="11">
        <v>168.06</v>
      </c>
      <c r="HQ2" s="62">
        <f t="shared" ref="HQ2:HQ33" si="0">EM2</f>
        <v>1043.8699999999999</v>
      </c>
      <c r="HR2" s="62">
        <f>HQ2/60</f>
        <v>17.397833333333331</v>
      </c>
    </row>
    <row r="3" spans="1:237" ht="12.95" customHeight="1" x14ac:dyDescent="0.2">
      <c r="A3" s="11">
        <v>62</v>
      </c>
      <c r="B3" s="11">
        <v>3</v>
      </c>
      <c r="C3" s="11" t="s">
        <v>83</v>
      </c>
      <c r="D3" s="11">
        <v>11</v>
      </c>
      <c r="E3" s="11" t="s">
        <v>79</v>
      </c>
      <c r="F3" s="11">
        <v>222956111</v>
      </c>
      <c r="G3" s="11" t="s">
        <v>81</v>
      </c>
      <c r="H3" s="11" t="s">
        <v>84</v>
      </c>
      <c r="I3" s="28" t="s">
        <v>107</v>
      </c>
      <c r="J3" s="28"/>
      <c r="M3" s="28" t="s">
        <v>1309</v>
      </c>
      <c r="N3" s="28" t="s">
        <v>108</v>
      </c>
      <c r="O3" s="28"/>
      <c r="P3" s="28" t="s">
        <v>87</v>
      </c>
      <c r="Q3" s="28" t="s">
        <v>1310</v>
      </c>
      <c r="S3" s="28" t="s">
        <v>84</v>
      </c>
      <c r="T3" s="28" t="s">
        <v>84</v>
      </c>
      <c r="U3" s="28" t="s">
        <v>84</v>
      </c>
      <c r="V3" s="28" t="s">
        <v>82</v>
      </c>
      <c r="W3" s="28" t="s">
        <v>82</v>
      </c>
      <c r="X3" s="28" t="s">
        <v>82</v>
      </c>
      <c r="Y3" s="28" t="s">
        <v>82</v>
      </c>
      <c r="Z3" s="28" t="s">
        <v>82</v>
      </c>
      <c r="AA3" s="28"/>
      <c r="AB3" s="28" t="s">
        <v>82</v>
      </c>
      <c r="AC3" s="28"/>
      <c r="AD3" s="28" t="s">
        <v>82</v>
      </c>
      <c r="AE3" s="28"/>
      <c r="AF3" s="28"/>
      <c r="AG3" s="28" t="s">
        <v>84</v>
      </c>
      <c r="AH3" s="28"/>
      <c r="AI3" s="28" t="s">
        <v>84</v>
      </c>
      <c r="AJ3" s="28"/>
      <c r="AK3" s="28" t="s">
        <v>1311</v>
      </c>
      <c r="AL3" s="28" t="s">
        <v>126</v>
      </c>
      <c r="AM3" s="28" t="s">
        <v>91</v>
      </c>
      <c r="AN3" s="28"/>
      <c r="AO3" s="28" t="s">
        <v>80</v>
      </c>
      <c r="AQ3" s="28" t="s">
        <v>80</v>
      </c>
      <c r="AR3" s="28" t="s">
        <v>80</v>
      </c>
      <c r="AS3" s="28" t="s">
        <v>80</v>
      </c>
      <c r="AT3" s="28" t="s">
        <v>80</v>
      </c>
      <c r="AU3" s="28"/>
      <c r="AW3" s="28" t="s">
        <v>84</v>
      </c>
      <c r="AX3" s="28" t="s">
        <v>82</v>
      </c>
      <c r="AY3" s="28" t="s">
        <v>82</v>
      </c>
      <c r="AZ3" s="28" t="s">
        <v>84</v>
      </c>
      <c r="BA3" s="28"/>
      <c r="BB3" s="28" t="s">
        <v>84</v>
      </c>
      <c r="BC3" s="28" t="s">
        <v>80</v>
      </c>
      <c r="BD3" s="28" t="s">
        <v>113</v>
      </c>
      <c r="BE3" s="28" t="s">
        <v>100</v>
      </c>
      <c r="BF3" s="28" t="s">
        <v>340</v>
      </c>
      <c r="BG3" s="28" t="s">
        <v>82</v>
      </c>
      <c r="BH3" s="28" t="s">
        <v>84</v>
      </c>
      <c r="BI3" s="28"/>
      <c r="BJ3" s="28" t="s">
        <v>84</v>
      </c>
      <c r="BK3" s="28" t="s">
        <v>80</v>
      </c>
      <c r="BL3" s="28">
        <v>3</v>
      </c>
      <c r="BM3" s="28">
        <v>1</v>
      </c>
      <c r="BN3" s="28">
        <v>3</v>
      </c>
      <c r="BO3" s="28">
        <v>1</v>
      </c>
      <c r="BP3" s="28">
        <v>4</v>
      </c>
      <c r="BQ3" s="28">
        <v>1</v>
      </c>
      <c r="BS3" s="28" t="s">
        <v>97</v>
      </c>
      <c r="BT3" s="28"/>
      <c r="BU3" s="28" t="s">
        <v>246</v>
      </c>
      <c r="BV3" s="28"/>
      <c r="BX3" s="28" t="s">
        <v>80</v>
      </c>
      <c r="BY3" s="28"/>
      <c r="BZ3" s="28" t="s">
        <v>80</v>
      </c>
      <c r="CA3" s="28"/>
      <c r="CB3" s="28" t="s">
        <v>80</v>
      </c>
      <c r="CC3" s="28"/>
      <c r="CD3" s="28" t="s">
        <v>80</v>
      </c>
      <c r="CE3" s="28"/>
      <c r="CF3" s="28"/>
      <c r="CG3" s="28"/>
      <c r="CI3" s="28" t="s">
        <v>84</v>
      </c>
      <c r="CJ3" s="28"/>
      <c r="CK3" s="28" t="s">
        <v>84</v>
      </c>
      <c r="CL3" s="28"/>
      <c r="CM3" s="28" t="s">
        <v>82</v>
      </c>
      <c r="CN3" s="28"/>
      <c r="CO3" s="28"/>
      <c r="CP3" s="28"/>
      <c r="CQ3" s="28" t="s">
        <v>99</v>
      </c>
      <c r="CR3" s="28" t="s">
        <v>80</v>
      </c>
      <c r="CS3" s="28" t="s">
        <v>1312</v>
      </c>
      <c r="CT3" s="28"/>
      <c r="CU3" s="28" t="s">
        <v>81</v>
      </c>
      <c r="CV3" s="28"/>
      <c r="CW3" s="28" t="s">
        <v>84</v>
      </c>
      <c r="CX3" s="28" t="s">
        <v>402</v>
      </c>
      <c r="CY3" s="28"/>
      <c r="CZ3" s="28"/>
      <c r="DA3" s="28" t="s">
        <v>82</v>
      </c>
      <c r="DB3" s="28"/>
      <c r="DC3" s="28" t="s">
        <v>84</v>
      </c>
      <c r="DD3" s="28" t="s">
        <v>84</v>
      </c>
      <c r="DG3" s="28">
        <v>2</v>
      </c>
      <c r="DH3" s="28">
        <v>3</v>
      </c>
      <c r="DI3" s="28">
        <v>2</v>
      </c>
      <c r="DJ3" s="28">
        <v>3</v>
      </c>
      <c r="DK3" s="28">
        <v>2</v>
      </c>
      <c r="DL3" s="28">
        <v>1</v>
      </c>
      <c r="DM3" s="28">
        <v>2</v>
      </c>
      <c r="DN3" s="28">
        <v>3</v>
      </c>
      <c r="DO3" s="28">
        <v>2</v>
      </c>
      <c r="DP3" s="28">
        <v>1</v>
      </c>
      <c r="DQ3" s="28">
        <v>2</v>
      </c>
      <c r="DR3" s="28">
        <v>3</v>
      </c>
      <c r="DS3" s="28" t="s">
        <v>97</v>
      </c>
      <c r="DT3" s="28" t="s">
        <v>82</v>
      </c>
      <c r="DU3" s="28" t="s">
        <v>1313</v>
      </c>
      <c r="DV3" s="28" t="s">
        <v>84</v>
      </c>
      <c r="DW3" s="28" t="s">
        <v>93</v>
      </c>
      <c r="DX3" s="28" t="s">
        <v>81</v>
      </c>
      <c r="DY3" s="28" t="s">
        <v>1314</v>
      </c>
      <c r="DZ3" s="28" t="s">
        <v>113</v>
      </c>
      <c r="EA3" s="28" t="s">
        <v>1315</v>
      </c>
      <c r="EB3" s="28" t="s">
        <v>82</v>
      </c>
      <c r="EC3" s="28"/>
      <c r="ED3" s="28" t="s">
        <v>81</v>
      </c>
      <c r="EE3" s="28"/>
      <c r="EF3" s="28" t="s">
        <v>82</v>
      </c>
      <c r="EG3" s="28" t="s">
        <v>84</v>
      </c>
      <c r="EH3" s="28" t="s">
        <v>84</v>
      </c>
      <c r="EI3" s="28" t="s">
        <v>1316</v>
      </c>
      <c r="EJ3" s="28" t="s">
        <v>1317</v>
      </c>
      <c r="EK3" s="28" t="s">
        <v>899</v>
      </c>
      <c r="EL3" s="28" t="s">
        <v>1318</v>
      </c>
      <c r="EM3" s="11">
        <v>1318.57</v>
      </c>
      <c r="EN3" s="11">
        <v>21.02</v>
      </c>
      <c r="EQ3" s="11">
        <v>69.41</v>
      </c>
      <c r="EW3" s="11">
        <v>411.45</v>
      </c>
      <c r="FF3" s="11">
        <v>83.39</v>
      </c>
      <c r="FJ3" s="11">
        <v>13.48</v>
      </c>
      <c r="FP3" s="11">
        <v>29.47</v>
      </c>
      <c r="FV3" s="11">
        <v>99.44</v>
      </c>
      <c r="GC3" s="11">
        <v>167.77</v>
      </c>
      <c r="GT3" s="11">
        <v>40.92</v>
      </c>
      <c r="GX3" s="11">
        <v>33.65</v>
      </c>
      <c r="HB3" s="11">
        <v>348.57</v>
      </c>
      <c r="HQ3" s="62">
        <f t="shared" si="0"/>
        <v>1318.57</v>
      </c>
      <c r="HR3" s="62">
        <f>HQ3/60</f>
        <v>21.976166666666664</v>
      </c>
    </row>
    <row r="4" spans="1:237" ht="12.95" customHeight="1" x14ac:dyDescent="0.2">
      <c r="A4" s="11">
        <v>63</v>
      </c>
      <c r="B4" s="11">
        <v>4</v>
      </c>
      <c r="C4" s="11" t="s">
        <v>83</v>
      </c>
      <c r="D4" s="11">
        <v>11</v>
      </c>
      <c r="E4" s="11" t="s">
        <v>79</v>
      </c>
      <c r="F4" s="11">
        <v>1012909930</v>
      </c>
      <c r="G4" s="11" t="s">
        <v>81</v>
      </c>
      <c r="H4" s="11" t="s">
        <v>84</v>
      </c>
      <c r="I4" s="28" t="s">
        <v>107</v>
      </c>
      <c r="J4" s="28"/>
      <c r="M4" s="28" t="s">
        <v>1319</v>
      </c>
      <c r="N4" s="28" t="s">
        <v>108</v>
      </c>
      <c r="O4" s="28"/>
      <c r="P4" s="28" t="s">
        <v>632</v>
      </c>
      <c r="Q4" s="28" t="s">
        <v>1320</v>
      </c>
      <c r="S4" s="28" t="s">
        <v>84</v>
      </c>
      <c r="T4" s="28" t="s">
        <v>84</v>
      </c>
      <c r="U4" s="28" t="s">
        <v>84</v>
      </c>
      <c r="V4" s="28" t="s">
        <v>84</v>
      </c>
      <c r="W4" s="28" t="s">
        <v>82</v>
      </c>
      <c r="X4" s="28" t="s">
        <v>82</v>
      </c>
      <c r="Y4" s="28" t="s">
        <v>84</v>
      </c>
      <c r="Z4" s="28" t="s">
        <v>82</v>
      </c>
      <c r="AA4" s="28"/>
      <c r="AB4" s="28" t="s">
        <v>84</v>
      </c>
      <c r="AC4" s="28" t="s">
        <v>1321</v>
      </c>
      <c r="AD4" s="28" t="s">
        <v>82</v>
      </c>
      <c r="AE4" s="28"/>
      <c r="AF4" s="28"/>
      <c r="AG4" s="28" t="s">
        <v>84</v>
      </c>
      <c r="AH4" s="28" t="s">
        <v>1322</v>
      </c>
      <c r="AI4" s="28" t="s">
        <v>84</v>
      </c>
      <c r="AJ4" s="28"/>
      <c r="AK4" s="28" t="s">
        <v>1323</v>
      </c>
      <c r="AL4" s="28" t="s">
        <v>126</v>
      </c>
      <c r="AM4" s="28" t="s">
        <v>111</v>
      </c>
      <c r="AN4" s="28"/>
      <c r="AO4" s="28" t="s">
        <v>80</v>
      </c>
      <c r="AQ4" s="28" t="s">
        <v>84</v>
      </c>
      <c r="AR4" s="28" t="s">
        <v>82</v>
      </c>
      <c r="AS4" s="28" t="s">
        <v>82</v>
      </c>
      <c r="AT4" s="28" t="s">
        <v>82</v>
      </c>
      <c r="AU4" s="28"/>
      <c r="AW4" s="28" t="s">
        <v>80</v>
      </c>
      <c r="AX4" s="28" t="s">
        <v>80</v>
      </c>
      <c r="AY4" s="28" t="s">
        <v>80</v>
      </c>
      <c r="AZ4" s="28" t="s">
        <v>80</v>
      </c>
      <c r="BA4" s="28"/>
      <c r="BB4" s="28" t="s">
        <v>84</v>
      </c>
      <c r="BC4" s="28" t="s">
        <v>80</v>
      </c>
      <c r="BD4" s="28" t="s">
        <v>112</v>
      </c>
      <c r="BE4" s="28" t="s">
        <v>112</v>
      </c>
      <c r="BF4" s="28" t="s">
        <v>100</v>
      </c>
      <c r="BG4" s="28" t="s">
        <v>84</v>
      </c>
      <c r="BH4" s="28" t="s">
        <v>84</v>
      </c>
      <c r="BI4" s="28" t="s">
        <v>1324</v>
      </c>
      <c r="BJ4" s="28" t="s">
        <v>84</v>
      </c>
      <c r="BK4" s="28" t="s">
        <v>80</v>
      </c>
      <c r="BL4" s="28">
        <v>3</v>
      </c>
      <c r="BM4" s="28">
        <v>5</v>
      </c>
      <c r="BN4" s="28">
        <v>3</v>
      </c>
      <c r="BO4" s="28">
        <v>1</v>
      </c>
      <c r="BP4" s="28">
        <v>3</v>
      </c>
      <c r="BQ4" s="28">
        <v>2</v>
      </c>
      <c r="BS4" s="28" t="s">
        <v>97</v>
      </c>
      <c r="BT4" s="28"/>
      <c r="BU4" s="28" t="s">
        <v>246</v>
      </c>
      <c r="BV4" s="28" t="s">
        <v>1325</v>
      </c>
      <c r="BX4" s="28" t="s">
        <v>80</v>
      </c>
      <c r="BY4" s="28"/>
      <c r="BZ4" s="28" t="s">
        <v>80</v>
      </c>
      <c r="CA4" s="28"/>
      <c r="CB4" s="28" t="s">
        <v>80</v>
      </c>
      <c r="CC4" s="28"/>
      <c r="CD4" s="28" t="s">
        <v>80</v>
      </c>
      <c r="CE4" s="28"/>
      <c r="CF4" s="28"/>
      <c r="CG4" s="28"/>
      <c r="CI4" s="28" t="s">
        <v>84</v>
      </c>
      <c r="CJ4" s="28" t="s">
        <v>1326</v>
      </c>
      <c r="CK4" s="28" t="s">
        <v>82</v>
      </c>
      <c r="CL4" s="28"/>
      <c r="CM4" s="28" t="s">
        <v>82</v>
      </c>
      <c r="CN4" s="28"/>
      <c r="CO4" s="28"/>
      <c r="CP4" s="28"/>
      <c r="CQ4" s="28" t="s">
        <v>97</v>
      </c>
      <c r="CR4" s="28" t="s">
        <v>84</v>
      </c>
      <c r="CS4" s="28" t="s">
        <v>1312</v>
      </c>
      <c r="CT4" s="28" t="s">
        <v>1327</v>
      </c>
      <c r="CU4" s="28" t="s">
        <v>246</v>
      </c>
      <c r="CV4" s="28" t="s">
        <v>1328</v>
      </c>
      <c r="CW4" s="28" t="s">
        <v>82</v>
      </c>
      <c r="CX4" s="28"/>
      <c r="CY4" s="28" t="s">
        <v>246</v>
      </c>
      <c r="CZ4" s="28" t="s">
        <v>1329</v>
      </c>
      <c r="DA4" s="28" t="s">
        <v>84</v>
      </c>
      <c r="DB4" s="28" t="s">
        <v>1330</v>
      </c>
      <c r="DC4" s="28" t="s">
        <v>84</v>
      </c>
      <c r="DD4" s="28" t="s">
        <v>84</v>
      </c>
      <c r="DG4" s="28">
        <v>2</v>
      </c>
      <c r="DH4" s="28">
        <v>2</v>
      </c>
      <c r="DI4" s="28">
        <v>2</v>
      </c>
      <c r="DJ4" s="28">
        <v>2</v>
      </c>
      <c r="DK4" s="28">
        <v>3</v>
      </c>
      <c r="DL4" s="28">
        <v>3</v>
      </c>
      <c r="DM4" s="28">
        <v>3</v>
      </c>
      <c r="DN4" s="28">
        <v>2</v>
      </c>
      <c r="DO4" s="28">
        <v>2</v>
      </c>
      <c r="DP4" s="28">
        <v>2</v>
      </c>
      <c r="DQ4" s="28">
        <v>2</v>
      </c>
      <c r="DR4" s="28">
        <v>2</v>
      </c>
      <c r="DS4" s="28" t="s">
        <v>97</v>
      </c>
      <c r="DT4" s="28" t="s">
        <v>82</v>
      </c>
      <c r="DU4" s="28" t="s">
        <v>1331</v>
      </c>
      <c r="DV4" s="28" t="s">
        <v>84</v>
      </c>
      <c r="DW4" s="28" t="s">
        <v>100</v>
      </c>
      <c r="DX4" s="28" t="s">
        <v>81</v>
      </c>
      <c r="DY4" s="28" t="s">
        <v>1332</v>
      </c>
      <c r="DZ4" s="28" t="s">
        <v>113</v>
      </c>
      <c r="EA4" s="28" t="s">
        <v>1333</v>
      </c>
      <c r="EB4" s="28" t="s">
        <v>82</v>
      </c>
      <c r="EC4" s="28"/>
      <c r="ED4" s="28" t="s">
        <v>81</v>
      </c>
      <c r="EE4" s="28"/>
      <c r="EF4" s="28" t="s">
        <v>84</v>
      </c>
      <c r="EG4" s="28" t="s">
        <v>82</v>
      </c>
      <c r="EH4" s="28" t="s">
        <v>82</v>
      </c>
      <c r="EI4" s="28"/>
      <c r="EJ4" s="28" t="s">
        <v>1334</v>
      </c>
      <c r="EK4" s="28" t="s">
        <v>1335</v>
      </c>
      <c r="EL4" s="28" t="s">
        <v>1336</v>
      </c>
      <c r="EM4" s="11">
        <v>6086.19</v>
      </c>
      <c r="EN4" s="11">
        <v>11.61</v>
      </c>
      <c r="EQ4" s="11">
        <v>4463.99</v>
      </c>
      <c r="EW4" s="11">
        <v>182.49</v>
      </c>
      <c r="FF4" s="11">
        <v>181.79</v>
      </c>
      <c r="FJ4" s="11">
        <v>12.95</v>
      </c>
      <c r="FP4" s="11">
        <v>42.88</v>
      </c>
      <c r="FV4" s="11">
        <v>127.25</v>
      </c>
      <c r="GC4" s="11">
        <v>550.70000000000005</v>
      </c>
      <c r="GT4" s="11">
        <v>149.6</v>
      </c>
      <c r="GX4" s="11">
        <v>111.19</v>
      </c>
      <c r="HB4" s="11">
        <v>251.74</v>
      </c>
      <c r="HQ4" s="62">
        <f t="shared" si="0"/>
        <v>6086.19</v>
      </c>
      <c r="HR4" s="62">
        <f>HQ4/60</f>
        <v>101.4365</v>
      </c>
    </row>
    <row r="5" spans="1:237" s="33" customFormat="1" ht="12.95" customHeight="1" x14ac:dyDescent="0.2">
      <c r="A5" s="33">
        <v>64</v>
      </c>
      <c r="B5" s="33">
        <v>5</v>
      </c>
      <c r="D5" s="33">
        <v>6</v>
      </c>
      <c r="E5" s="33" t="s">
        <v>79</v>
      </c>
      <c r="F5" s="33">
        <v>1735260339</v>
      </c>
      <c r="G5" s="33" t="s">
        <v>81</v>
      </c>
      <c r="H5" s="33" t="s">
        <v>84</v>
      </c>
      <c r="I5" s="33" t="s">
        <v>324</v>
      </c>
      <c r="K5" s="24"/>
      <c r="L5" s="24"/>
      <c r="M5" s="33" t="s">
        <v>1294</v>
      </c>
      <c r="N5" s="33" t="s">
        <v>108</v>
      </c>
      <c r="P5" s="33" t="s">
        <v>253</v>
      </c>
      <c r="Q5" s="33" t="s">
        <v>1296</v>
      </c>
      <c r="R5" s="24"/>
      <c r="S5" s="33" t="s">
        <v>84</v>
      </c>
      <c r="T5" s="33" t="s">
        <v>84</v>
      </c>
      <c r="U5" s="33" t="s">
        <v>84</v>
      </c>
      <c r="V5" s="33" t="s">
        <v>82</v>
      </c>
      <c r="W5" s="33" t="s">
        <v>82</v>
      </c>
      <c r="X5" s="33" t="s">
        <v>82</v>
      </c>
      <c r="Y5" s="33" t="s">
        <v>84</v>
      </c>
      <c r="Z5" s="33" t="s">
        <v>82</v>
      </c>
      <c r="AB5" s="33" t="s">
        <v>82</v>
      </c>
      <c r="AD5" s="33" t="s">
        <v>82</v>
      </c>
      <c r="AG5" s="33" t="s">
        <v>82</v>
      </c>
      <c r="AH5" s="33" t="s">
        <v>1337</v>
      </c>
      <c r="AI5" s="33" t="s">
        <v>82</v>
      </c>
      <c r="AL5" s="33" t="s">
        <v>90</v>
      </c>
      <c r="AM5" s="33" t="s">
        <v>111</v>
      </c>
      <c r="AO5" s="33" t="s">
        <v>80</v>
      </c>
      <c r="AP5" s="24"/>
      <c r="AQ5" s="33" t="s">
        <v>84</v>
      </c>
      <c r="AR5" s="33" t="s">
        <v>84</v>
      </c>
      <c r="AS5" s="33" t="s">
        <v>84</v>
      </c>
      <c r="AT5" s="33" t="s">
        <v>84</v>
      </c>
      <c r="AV5" s="24"/>
      <c r="AW5" s="33" t="s">
        <v>80</v>
      </c>
      <c r="AX5" s="33" t="s">
        <v>80</v>
      </c>
      <c r="AY5" s="33" t="s">
        <v>80</v>
      </c>
      <c r="AZ5" s="33" t="s">
        <v>80</v>
      </c>
      <c r="BB5" s="33" t="s">
        <v>84</v>
      </c>
      <c r="BC5" s="33" t="s">
        <v>80</v>
      </c>
      <c r="BD5" s="33" t="s">
        <v>93</v>
      </c>
      <c r="BE5" s="33" t="s">
        <v>113</v>
      </c>
      <c r="BF5" s="33" t="s">
        <v>112</v>
      </c>
      <c r="BH5" s="33" t="s">
        <v>80</v>
      </c>
      <c r="BJ5" s="33" t="s">
        <v>80</v>
      </c>
      <c r="BK5" s="33" t="s">
        <v>80</v>
      </c>
      <c r="BR5" s="24"/>
      <c r="BW5" s="24"/>
      <c r="BX5" s="33" t="s">
        <v>80</v>
      </c>
      <c r="BZ5" s="33" t="s">
        <v>80</v>
      </c>
      <c r="CB5" s="33" t="s">
        <v>80</v>
      </c>
      <c r="CD5" s="33" t="s">
        <v>80</v>
      </c>
      <c r="CH5" s="24"/>
      <c r="CI5" s="33" t="s">
        <v>80</v>
      </c>
      <c r="CK5" s="33" t="s">
        <v>80</v>
      </c>
      <c r="CM5" s="33" t="s">
        <v>80</v>
      </c>
      <c r="CR5" s="33" t="s">
        <v>80</v>
      </c>
      <c r="CW5" s="33" t="s">
        <v>80</v>
      </c>
      <c r="DA5" s="33" t="s">
        <v>80</v>
      </c>
      <c r="DC5" s="33" t="s">
        <v>80</v>
      </c>
      <c r="DD5" s="33" t="s">
        <v>80</v>
      </c>
      <c r="DE5" s="24"/>
      <c r="DF5" s="24"/>
      <c r="DV5" s="33" t="s">
        <v>80</v>
      </c>
      <c r="EB5" s="33" t="s">
        <v>80</v>
      </c>
      <c r="EF5" s="33" t="s">
        <v>80</v>
      </c>
      <c r="EG5" s="33" t="s">
        <v>80</v>
      </c>
      <c r="EH5" s="33" t="s">
        <v>80</v>
      </c>
      <c r="EM5" s="33">
        <v>317.2</v>
      </c>
      <c r="EN5" s="33">
        <v>23.04</v>
      </c>
      <c r="EQ5" s="33">
        <v>92.17</v>
      </c>
      <c r="EW5" s="33">
        <v>105.53</v>
      </c>
      <c r="FF5" s="33">
        <v>35.76</v>
      </c>
      <c r="FJ5" s="33">
        <v>19.059999999999999</v>
      </c>
      <c r="FP5" s="33">
        <v>41.64</v>
      </c>
      <c r="HQ5" s="63">
        <f t="shared" si="0"/>
        <v>317.2</v>
      </c>
      <c r="HR5" s="63"/>
      <c r="IA5" s="33" t="s">
        <v>2850</v>
      </c>
    </row>
    <row r="6" spans="1:237" ht="12.95" customHeight="1" x14ac:dyDescent="0.2">
      <c r="A6" s="11">
        <v>65</v>
      </c>
      <c r="B6" s="11">
        <v>6</v>
      </c>
      <c r="C6" s="11" t="s">
        <v>83</v>
      </c>
      <c r="D6" s="11">
        <v>11</v>
      </c>
      <c r="E6" s="11" t="s">
        <v>79</v>
      </c>
      <c r="F6" s="11">
        <v>1207243065</v>
      </c>
      <c r="G6" s="11" t="s">
        <v>81</v>
      </c>
      <c r="H6" s="11" t="s">
        <v>84</v>
      </c>
      <c r="I6" s="28" t="s">
        <v>377</v>
      </c>
      <c r="J6" s="28"/>
      <c r="M6" s="28" t="s">
        <v>1294</v>
      </c>
      <c r="N6" s="28" t="s">
        <v>86</v>
      </c>
      <c r="O6" s="28"/>
      <c r="P6" s="28" t="s">
        <v>87</v>
      </c>
      <c r="Q6" s="28" t="s">
        <v>1296</v>
      </c>
      <c r="S6" s="28" t="s">
        <v>84</v>
      </c>
      <c r="T6" s="28" t="s">
        <v>84</v>
      </c>
      <c r="U6" s="28" t="s">
        <v>84</v>
      </c>
      <c r="V6" s="28" t="s">
        <v>82</v>
      </c>
      <c r="W6" s="28" t="s">
        <v>82</v>
      </c>
      <c r="X6" s="28" t="s">
        <v>82</v>
      </c>
      <c r="Y6" s="28" t="s">
        <v>84</v>
      </c>
      <c r="Z6" s="28" t="s">
        <v>82</v>
      </c>
      <c r="AA6" s="28" t="s">
        <v>1338</v>
      </c>
      <c r="AB6" s="28" t="s">
        <v>84</v>
      </c>
      <c r="AC6" s="28" t="s">
        <v>1339</v>
      </c>
      <c r="AD6" s="28" t="s">
        <v>82</v>
      </c>
      <c r="AE6" s="28"/>
      <c r="AF6" s="28"/>
      <c r="AG6" s="28" t="s">
        <v>84</v>
      </c>
      <c r="AH6" s="28" t="s">
        <v>1340</v>
      </c>
      <c r="AI6" s="28" t="s">
        <v>84</v>
      </c>
      <c r="AJ6" s="28"/>
      <c r="AK6" s="28" t="s">
        <v>1341</v>
      </c>
      <c r="AL6" s="28" t="s">
        <v>126</v>
      </c>
      <c r="AM6" s="28" t="s">
        <v>91</v>
      </c>
      <c r="AN6" s="28"/>
      <c r="AO6" s="28" t="s">
        <v>80</v>
      </c>
      <c r="AQ6" s="28" t="s">
        <v>80</v>
      </c>
      <c r="AR6" s="28" t="s">
        <v>80</v>
      </c>
      <c r="AS6" s="28" t="s">
        <v>80</v>
      </c>
      <c r="AT6" s="28" t="s">
        <v>80</v>
      </c>
      <c r="AU6" s="28"/>
      <c r="AW6" s="28" t="s">
        <v>84</v>
      </c>
      <c r="AX6" s="28" t="s">
        <v>84</v>
      </c>
      <c r="AY6" s="28" t="s">
        <v>82</v>
      </c>
      <c r="AZ6" s="28" t="s">
        <v>84</v>
      </c>
      <c r="BA6" s="28" t="s">
        <v>1342</v>
      </c>
      <c r="BB6" s="28" t="s">
        <v>84</v>
      </c>
      <c r="BC6" s="28" t="s">
        <v>80</v>
      </c>
      <c r="BD6" s="28" t="s">
        <v>113</v>
      </c>
      <c r="BE6" s="28" t="s">
        <v>113</v>
      </c>
      <c r="BF6" s="28" t="s">
        <v>112</v>
      </c>
      <c r="BG6" s="28" t="s">
        <v>84</v>
      </c>
      <c r="BH6" s="28" t="s">
        <v>84</v>
      </c>
      <c r="BI6" s="28" t="s">
        <v>1343</v>
      </c>
      <c r="BJ6" s="28" t="s">
        <v>84</v>
      </c>
      <c r="BK6" s="28" t="s">
        <v>80</v>
      </c>
      <c r="BL6" s="28">
        <v>3</v>
      </c>
      <c r="BM6" s="28">
        <v>3</v>
      </c>
      <c r="BN6" s="28">
        <v>1</v>
      </c>
      <c r="BO6" s="28">
        <v>1</v>
      </c>
      <c r="BP6" s="28">
        <v>5</v>
      </c>
      <c r="BQ6" s="28">
        <v>5</v>
      </c>
      <c r="BS6" s="28" t="s">
        <v>99</v>
      </c>
      <c r="BT6" s="28"/>
      <c r="BU6" s="28"/>
      <c r="BV6" s="28"/>
      <c r="BX6" s="28" t="s">
        <v>82</v>
      </c>
      <c r="BY6" s="28"/>
      <c r="BZ6" s="28" t="s">
        <v>84</v>
      </c>
      <c r="CA6" s="28" t="s">
        <v>1344</v>
      </c>
      <c r="CB6" s="28" t="s">
        <v>82</v>
      </c>
      <c r="CC6" s="28"/>
      <c r="CD6" s="28" t="s">
        <v>82</v>
      </c>
      <c r="CE6" s="28"/>
      <c r="CF6" s="28"/>
      <c r="CG6" s="28"/>
      <c r="CI6" s="28" t="s">
        <v>82</v>
      </c>
      <c r="CJ6" s="28"/>
      <c r="CK6" s="28" t="s">
        <v>82</v>
      </c>
      <c r="CL6" s="28"/>
      <c r="CM6" s="28" t="s">
        <v>82</v>
      </c>
      <c r="CN6" s="28"/>
      <c r="CO6" s="28" t="s">
        <v>1345</v>
      </c>
      <c r="CP6" s="28" t="s">
        <v>1346</v>
      </c>
      <c r="CQ6" s="28" t="s">
        <v>99</v>
      </c>
      <c r="CR6" s="28" t="s">
        <v>80</v>
      </c>
      <c r="CS6" s="28" t="s">
        <v>99</v>
      </c>
      <c r="CT6" s="28"/>
      <c r="CU6" s="28"/>
      <c r="CV6" s="28"/>
      <c r="CW6" s="28" t="s">
        <v>82</v>
      </c>
      <c r="CX6" s="28"/>
      <c r="CY6" s="28" t="s">
        <v>81</v>
      </c>
      <c r="CZ6" s="28"/>
      <c r="DA6" s="28" t="s">
        <v>84</v>
      </c>
      <c r="DB6" s="28" t="s">
        <v>1347</v>
      </c>
      <c r="DC6" s="28" t="s">
        <v>84</v>
      </c>
      <c r="DD6" s="28" t="s">
        <v>84</v>
      </c>
      <c r="DG6" s="28">
        <v>1</v>
      </c>
      <c r="DH6" s="28">
        <v>1</v>
      </c>
      <c r="DI6" s="28">
        <v>1</v>
      </c>
      <c r="DJ6" s="28">
        <v>1</v>
      </c>
      <c r="DK6" s="28">
        <v>1</v>
      </c>
      <c r="DL6" s="28">
        <v>1</v>
      </c>
      <c r="DM6" s="28">
        <v>1</v>
      </c>
      <c r="DN6" s="28">
        <v>1</v>
      </c>
      <c r="DO6" s="28">
        <v>1</v>
      </c>
      <c r="DP6" s="28">
        <v>1</v>
      </c>
      <c r="DQ6" s="28">
        <v>1</v>
      </c>
      <c r="DR6" s="28">
        <v>1</v>
      </c>
      <c r="DS6" s="28" t="s">
        <v>99</v>
      </c>
      <c r="DT6" s="28" t="s">
        <v>84</v>
      </c>
      <c r="DU6" s="28"/>
      <c r="DV6" s="28" t="s">
        <v>84</v>
      </c>
      <c r="DW6" s="28" t="s">
        <v>113</v>
      </c>
      <c r="DX6" s="28" t="s">
        <v>81</v>
      </c>
      <c r="DY6" s="28"/>
      <c r="DZ6" s="28" t="s">
        <v>93</v>
      </c>
      <c r="EA6" s="28" t="s">
        <v>1348</v>
      </c>
      <c r="EB6" s="28" t="s">
        <v>84</v>
      </c>
      <c r="EC6" s="28" t="s">
        <v>1349</v>
      </c>
      <c r="ED6" s="28"/>
      <c r="EE6" s="28"/>
      <c r="EF6" s="28" t="s">
        <v>82</v>
      </c>
      <c r="EG6" s="28" t="s">
        <v>84</v>
      </c>
      <c r="EH6" s="28" t="s">
        <v>84</v>
      </c>
      <c r="EI6" s="28" t="s">
        <v>1350</v>
      </c>
      <c r="EJ6" s="28" t="s">
        <v>1351</v>
      </c>
      <c r="EK6" s="28" t="s">
        <v>1352</v>
      </c>
      <c r="EL6" s="28" t="s">
        <v>1353</v>
      </c>
      <c r="EM6" s="11">
        <v>1517.63</v>
      </c>
      <c r="EN6" s="11">
        <v>50.83</v>
      </c>
      <c r="EQ6" s="11">
        <v>76.03</v>
      </c>
      <c r="EW6" s="11">
        <v>198.75</v>
      </c>
      <c r="FF6" s="11">
        <v>109.13</v>
      </c>
      <c r="FJ6" s="11">
        <v>76.36</v>
      </c>
      <c r="FP6" s="11">
        <v>53.54</v>
      </c>
      <c r="FV6" s="11">
        <v>326.24</v>
      </c>
      <c r="GC6" s="11">
        <v>359.12</v>
      </c>
      <c r="GT6" s="11">
        <v>10.88</v>
      </c>
      <c r="GX6" s="11">
        <v>24.26</v>
      </c>
      <c r="HB6" s="11">
        <v>232.49</v>
      </c>
      <c r="HQ6" s="62">
        <f t="shared" si="0"/>
        <v>1517.63</v>
      </c>
      <c r="HR6" s="62">
        <f t="shared" ref="HR6:HR13" si="1">HQ6/60</f>
        <v>25.293833333333335</v>
      </c>
    </row>
    <row r="7" spans="1:237" ht="12.95" customHeight="1" x14ac:dyDescent="0.2">
      <c r="A7" s="11">
        <v>66</v>
      </c>
      <c r="B7" s="11">
        <v>7</v>
      </c>
      <c r="D7" s="11">
        <v>10</v>
      </c>
      <c r="E7" s="11" t="s">
        <v>79</v>
      </c>
      <c r="F7" s="11">
        <v>1157135079</v>
      </c>
      <c r="G7" s="11" t="s">
        <v>81</v>
      </c>
      <c r="H7" s="11" t="s">
        <v>84</v>
      </c>
      <c r="I7" s="28" t="s">
        <v>119</v>
      </c>
      <c r="J7" s="28" t="s">
        <v>1354</v>
      </c>
      <c r="M7" s="28" t="s">
        <v>1294</v>
      </c>
      <c r="N7" s="28" t="s">
        <v>138</v>
      </c>
      <c r="O7" s="28"/>
      <c r="P7" s="28" t="s">
        <v>87</v>
      </c>
      <c r="Q7" s="28" t="s">
        <v>1296</v>
      </c>
      <c r="S7" s="28" t="s">
        <v>84</v>
      </c>
      <c r="T7" s="28" t="s">
        <v>84</v>
      </c>
      <c r="U7" s="28" t="s">
        <v>84</v>
      </c>
      <c r="V7" s="28" t="s">
        <v>82</v>
      </c>
      <c r="W7" s="28" t="s">
        <v>84</v>
      </c>
      <c r="X7" s="28" t="s">
        <v>82</v>
      </c>
      <c r="Y7" s="28" t="s">
        <v>82</v>
      </c>
      <c r="Z7" s="28" t="s">
        <v>84</v>
      </c>
      <c r="AA7" s="28"/>
      <c r="AB7" s="28" t="s">
        <v>82</v>
      </c>
      <c r="AC7" s="28"/>
      <c r="AD7" s="28" t="s">
        <v>82</v>
      </c>
      <c r="AE7" s="28"/>
      <c r="AF7" s="28"/>
      <c r="AG7" s="28" t="s">
        <v>82</v>
      </c>
      <c r="AH7" s="28"/>
      <c r="AI7" s="28" t="s">
        <v>84</v>
      </c>
      <c r="AJ7" s="28"/>
      <c r="AK7" s="28" t="s">
        <v>1355</v>
      </c>
      <c r="AL7" s="28" t="s">
        <v>140</v>
      </c>
      <c r="AM7" s="28" t="s">
        <v>111</v>
      </c>
      <c r="AN7" s="28"/>
      <c r="AO7" s="28" t="s">
        <v>80</v>
      </c>
      <c r="AQ7" s="28" t="s">
        <v>84</v>
      </c>
      <c r="AR7" s="28" t="s">
        <v>84</v>
      </c>
      <c r="AS7" s="28" t="s">
        <v>84</v>
      </c>
      <c r="AT7" s="28" t="s">
        <v>84</v>
      </c>
      <c r="AU7" s="28"/>
      <c r="AW7" s="28" t="s">
        <v>80</v>
      </c>
      <c r="AX7" s="28" t="s">
        <v>80</v>
      </c>
      <c r="AY7" s="28" t="s">
        <v>80</v>
      </c>
      <c r="AZ7" s="28" t="s">
        <v>80</v>
      </c>
      <c r="BA7" s="28"/>
      <c r="BB7" s="28" t="s">
        <v>84</v>
      </c>
      <c r="BC7" s="28" t="s">
        <v>80</v>
      </c>
      <c r="BD7" s="28" t="s">
        <v>100</v>
      </c>
      <c r="BE7" s="28" t="s">
        <v>100</v>
      </c>
      <c r="BF7" s="28" t="s">
        <v>112</v>
      </c>
      <c r="BG7" s="28" t="s">
        <v>145</v>
      </c>
      <c r="BH7" s="28" t="s">
        <v>84</v>
      </c>
      <c r="BI7" s="28"/>
      <c r="BJ7" s="28" t="s">
        <v>84</v>
      </c>
      <c r="BK7" s="28" t="s">
        <v>80</v>
      </c>
      <c r="BL7" s="28">
        <v>1</v>
      </c>
      <c r="BM7" s="28">
        <v>1</v>
      </c>
      <c r="BN7" s="28">
        <v>1</v>
      </c>
      <c r="BO7" s="28">
        <v>1</v>
      </c>
      <c r="BP7" s="28">
        <v>2</v>
      </c>
      <c r="BQ7" s="28">
        <v>2</v>
      </c>
      <c r="BS7" s="28" t="s">
        <v>118</v>
      </c>
      <c r="BT7" s="28"/>
      <c r="BU7" s="28"/>
      <c r="BV7" s="28"/>
      <c r="BX7" s="28" t="s">
        <v>84</v>
      </c>
      <c r="BY7" s="28"/>
      <c r="BZ7" s="28" t="s">
        <v>82</v>
      </c>
      <c r="CA7" s="28"/>
      <c r="CB7" s="28" t="s">
        <v>82</v>
      </c>
      <c r="CC7" s="28"/>
      <c r="CD7" s="28" t="s">
        <v>82</v>
      </c>
      <c r="CE7" s="28"/>
      <c r="CF7" s="28"/>
      <c r="CG7" s="28"/>
      <c r="CI7" s="28" t="s">
        <v>82</v>
      </c>
      <c r="CJ7" s="28"/>
      <c r="CK7" s="28" t="s">
        <v>84</v>
      </c>
      <c r="CL7" s="28"/>
      <c r="CM7" s="28" t="s">
        <v>82</v>
      </c>
      <c r="CN7" s="28"/>
      <c r="CO7" s="28"/>
      <c r="CP7" s="28"/>
      <c r="CQ7" s="28" t="s">
        <v>118</v>
      </c>
      <c r="CR7" s="28" t="s">
        <v>84</v>
      </c>
      <c r="CS7" s="28" t="s">
        <v>97</v>
      </c>
      <c r="CT7" s="28"/>
      <c r="CU7" s="28" t="s">
        <v>246</v>
      </c>
      <c r="CV7" s="28"/>
      <c r="CW7" s="28" t="s">
        <v>82</v>
      </c>
      <c r="CX7" s="28"/>
      <c r="CY7" s="28" t="s">
        <v>246</v>
      </c>
      <c r="CZ7" s="28"/>
      <c r="DA7" s="28" t="s">
        <v>82</v>
      </c>
      <c r="DB7" s="28"/>
      <c r="DC7" s="28" t="s">
        <v>84</v>
      </c>
      <c r="DD7" s="28" t="s">
        <v>84</v>
      </c>
      <c r="DG7" s="28">
        <v>1</v>
      </c>
      <c r="DH7" s="28">
        <v>5</v>
      </c>
      <c r="DI7" s="28">
        <v>1</v>
      </c>
      <c r="DJ7" s="28">
        <v>5</v>
      </c>
      <c r="DK7" s="28">
        <v>5</v>
      </c>
      <c r="DL7" s="28">
        <v>3</v>
      </c>
      <c r="DM7" s="28">
        <v>1</v>
      </c>
      <c r="DN7" s="28">
        <v>5</v>
      </c>
      <c r="DO7" s="28">
        <v>1</v>
      </c>
      <c r="DP7" s="28">
        <v>5</v>
      </c>
      <c r="DQ7" s="28">
        <v>1</v>
      </c>
      <c r="DR7" s="28">
        <v>5</v>
      </c>
      <c r="DS7" s="28" t="s">
        <v>97</v>
      </c>
      <c r="DT7" s="28" t="s">
        <v>84</v>
      </c>
      <c r="DU7" s="28"/>
      <c r="DV7" s="28" t="s">
        <v>84</v>
      </c>
      <c r="DW7" s="28" t="s">
        <v>113</v>
      </c>
      <c r="DX7" s="28" t="s">
        <v>246</v>
      </c>
      <c r="DY7" s="28"/>
      <c r="DZ7" s="28"/>
      <c r="EA7" s="28"/>
      <c r="EB7" s="28" t="s">
        <v>80</v>
      </c>
      <c r="EC7" s="28"/>
      <c r="ED7" s="28"/>
      <c r="EE7" s="28"/>
      <c r="EF7" s="28" t="s">
        <v>80</v>
      </c>
      <c r="EG7" s="28" t="s">
        <v>80</v>
      </c>
      <c r="EH7" s="28" t="s">
        <v>80</v>
      </c>
      <c r="EI7" s="28"/>
      <c r="EJ7" s="28"/>
      <c r="EK7" s="28"/>
      <c r="EL7" s="28"/>
      <c r="EM7" s="11">
        <v>2623.09</v>
      </c>
      <c r="EN7" s="11">
        <v>31.59</v>
      </c>
      <c r="EQ7" s="11">
        <v>1611.55</v>
      </c>
      <c r="EW7" s="11">
        <v>49.49</v>
      </c>
      <c r="FF7" s="11">
        <v>91.24</v>
      </c>
      <c r="FJ7" s="11">
        <v>24.98</v>
      </c>
      <c r="FP7" s="11">
        <v>56.4</v>
      </c>
      <c r="FV7" s="11">
        <v>399.69</v>
      </c>
      <c r="GC7" s="11">
        <v>294.41000000000003</v>
      </c>
      <c r="GT7" s="11">
        <v>20.149999999999999</v>
      </c>
      <c r="GX7" s="11">
        <v>43.59</v>
      </c>
      <c r="HQ7" s="62">
        <f t="shared" si="0"/>
        <v>2623.09</v>
      </c>
      <c r="HR7" s="62">
        <f t="shared" si="1"/>
        <v>43.718166666666669</v>
      </c>
      <c r="IA7" s="11" t="s">
        <v>2844</v>
      </c>
      <c r="IB7" s="59">
        <f>IB9/1000*100</f>
        <v>27.6</v>
      </c>
      <c r="IC7" s="28" t="s">
        <v>2846</v>
      </c>
    </row>
    <row r="8" spans="1:237" ht="12.95" customHeight="1" x14ac:dyDescent="0.2">
      <c r="A8" s="11">
        <v>67</v>
      </c>
      <c r="B8" s="11">
        <v>9</v>
      </c>
      <c r="C8" s="11" t="s">
        <v>83</v>
      </c>
      <c r="D8" s="11">
        <v>11</v>
      </c>
      <c r="E8" s="11" t="s">
        <v>79</v>
      </c>
      <c r="F8" s="11">
        <v>1644350552</v>
      </c>
      <c r="G8" s="11" t="s">
        <v>81</v>
      </c>
      <c r="H8" s="11" t="s">
        <v>84</v>
      </c>
      <c r="I8" s="28" t="s">
        <v>119</v>
      </c>
      <c r="J8" s="28" t="s">
        <v>1356</v>
      </c>
      <c r="M8" s="28" t="s">
        <v>1319</v>
      </c>
      <c r="N8" s="28" t="s">
        <v>618</v>
      </c>
      <c r="O8" s="28" t="s">
        <v>1357</v>
      </c>
      <c r="P8" s="28" t="s">
        <v>195</v>
      </c>
      <c r="Q8" s="28" t="s">
        <v>1358</v>
      </c>
      <c r="S8" s="28" t="s">
        <v>84</v>
      </c>
      <c r="T8" s="28" t="s">
        <v>84</v>
      </c>
      <c r="U8" s="28" t="s">
        <v>84</v>
      </c>
      <c r="V8" s="28" t="s">
        <v>84</v>
      </c>
      <c r="W8" s="28" t="s">
        <v>82</v>
      </c>
      <c r="X8" s="28" t="s">
        <v>82</v>
      </c>
      <c r="Y8" s="28" t="s">
        <v>84</v>
      </c>
      <c r="Z8" s="28" t="s">
        <v>84</v>
      </c>
      <c r="AA8" s="28"/>
      <c r="AB8" s="28" t="s">
        <v>82</v>
      </c>
      <c r="AC8" s="28"/>
      <c r="AD8" s="28" t="s">
        <v>82</v>
      </c>
      <c r="AE8" s="28"/>
      <c r="AF8" s="28"/>
      <c r="AG8" s="28" t="s">
        <v>82</v>
      </c>
      <c r="AH8" s="28" t="s">
        <v>1359</v>
      </c>
      <c r="AI8" s="28" t="s">
        <v>84</v>
      </c>
      <c r="AJ8" s="28"/>
      <c r="AK8" s="28" t="s">
        <v>1360</v>
      </c>
      <c r="AL8" s="28" t="s">
        <v>126</v>
      </c>
      <c r="AM8" s="28" t="s">
        <v>91</v>
      </c>
      <c r="AN8" s="28"/>
      <c r="AO8" s="28" t="s">
        <v>80</v>
      </c>
      <c r="AQ8" s="28" t="s">
        <v>80</v>
      </c>
      <c r="AR8" s="28" t="s">
        <v>80</v>
      </c>
      <c r="AS8" s="28" t="s">
        <v>80</v>
      </c>
      <c r="AT8" s="28" t="s">
        <v>80</v>
      </c>
      <c r="AU8" s="28"/>
      <c r="AW8" s="28" t="s">
        <v>84</v>
      </c>
      <c r="AX8" s="28" t="s">
        <v>84</v>
      </c>
      <c r="AY8" s="28" t="s">
        <v>84</v>
      </c>
      <c r="AZ8" s="28" t="s">
        <v>84</v>
      </c>
      <c r="BA8" s="28"/>
      <c r="BB8" s="28" t="s">
        <v>84</v>
      </c>
      <c r="BC8" s="28" t="s">
        <v>80</v>
      </c>
      <c r="BD8" s="28" t="s">
        <v>113</v>
      </c>
      <c r="BE8" s="28" t="s">
        <v>113</v>
      </c>
      <c r="BF8" s="28" t="s">
        <v>340</v>
      </c>
      <c r="BG8" s="28" t="s">
        <v>84</v>
      </c>
      <c r="BH8" s="28" t="s">
        <v>84</v>
      </c>
      <c r="BI8" s="28" t="s">
        <v>1361</v>
      </c>
      <c r="BJ8" s="28" t="s">
        <v>84</v>
      </c>
      <c r="BK8" s="28" t="s">
        <v>80</v>
      </c>
      <c r="BL8" s="28">
        <v>3</v>
      </c>
      <c r="BM8" s="28">
        <v>3</v>
      </c>
      <c r="BN8" s="28">
        <v>1</v>
      </c>
      <c r="BO8" s="28">
        <v>1</v>
      </c>
      <c r="BP8" s="28">
        <v>3</v>
      </c>
      <c r="BQ8" s="28">
        <v>3</v>
      </c>
      <c r="BS8" s="28" t="s">
        <v>99</v>
      </c>
      <c r="BT8" s="28"/>
      <c r="BU8" s="28"/>
      <c r="BV8" s="28"/>
      <c r="BX8" s="28" t="s">
        <v>84</v>
      </c>
      <c r="BY8" s="28" t="s">
        <v>1362</v>
      </c>
      <c r="BZ8" s="28" t="s">
        <v>84</v>
      </c>
      <c r="CA8" s="28" t="s">
        <v>1363</v>
      </c>
      <c r="CB8" s="28" t="s">
        <v>82</v>
      </c>
      <c r="CC8" s="28"/>
      <c r="CD8" s="28" t="s">
        <v>84</v>
      </c>
      <c r="CE8" s="28" t="s">
        <v>1364</v>
      </c>
      <c r="CF8" s="28"/>
      <c r="CG8" s="28"/>
      <c r="CI8" s="28" t="s">
        <v>84</v>
      </c>
      <c r="CJ8" s="28"/>
      <c r="CK8" s="28" t="s">
        <v>84</v>
      </c>
      <c r="CL8" s="28" t="s">
        <v>112</v>
      </c>
      <c r="CM8" s="28" t="s">
        <v>82</v>
      </c>
      <c r="CN8" s="28"/>
      <c r="CO8" s="28"/>
      <c r="CP8" s="28"/>
      <c r="CQ8" s="28" t="s">
        <v>99</v>
      </c>
      <c r="CR8" s="28" t="s">
        <v>80</v>
      </c>
      <c r="CS8" s="28" t="s">
        <v>1312</v>
      </c>
      <c r="CT8" s="28"/>
      <c r="CU8" s="28" t="s">
        <v>81</v>
      </c>
      <c r="CV8" s="28"/>
      <c r="CW8" s="28" t="s">
        <v>84</v>
      </c>
      <c r="CX8" s="28" t="s">
        <v>1365</v>
      </c>
      <c r="CY8" s="28"/>
      <c r="CZ8" s="28"/>
      <c r="DA8" s="28" t="s">
        <v>84</v>
      </c>
      <c r="DB8" s="28" t="s">
        <v>1366</v>
      </c>
      <c r="DC8" s="28" t="s">
        <v>84</v>
      </c>
      <c r="DD8" s="28" t="s">
        <v>84</v>
      </c>
      <c r="DG8" s="28">
        <v>4</v>
      </c>
      <c r="DH8" s="28">
        <v>1</v>
      </c>
      <c r="DI8" s="28">
        <v>4</v>
      </c>
      <c r="DJ8" s="28">
        <v>1</v>
      </c>
      <c r="DK8" s="28">
        <v>4</v>
      </c>
      <c r="DL8" s="28">
        <v>1</v>
      </c>
      <c r="DM8" s="28">
        <v>4</v>
      </c>
      <c r="DN8" s="28">
        <v>1</v>
      </c>
      <c r="DO8" s="28">
        <v>4</v>
      </c>
      <c r="DP8" s="28">
        <v>1</v>
      </c>
      <c r="DQ8" s="28">
        <v>3</v>
      </c>
      <c r="DR8" s="28">
        <v>1</v>
      </c>
      <c r="DS8" s="28" t="s">
        <v>118</v>
      </c>
      <c r="DT8" s="28" t="s">
        <v>84</v>
      </c>
      <c r="DU8" s="28"/>
      <c r="DV8" s="28" t="s">
        <v>84</v>
      </c>
      <c r="DW8" s="28" t="s">
        <v>113</v>
      </c>
      <c r="DX8" s="28" t="s">
        <v>81</v>
      </c>
      <c r="DY8" s="28" t="s">
        <v>1367</v>
      </c>
      <c r="DZ8" s="28" t="s">
        <v>113</v>
      </c>
      <c r="EA8" s="28" t="s">
        <v>1368</v>
      </c>
      <c r="EB8" s="28" t="s">
        <v>84</v>
      </c>
      <c r="EC8" s="28"/>
      <c r="ED8" s="28"/>
      <c r="EE8" s="28"/>
      <c r="EF8" s="28" t="s">
        <v>84</v>
      </c>
      <c r="EG8" s="28" t="s">
        <v>84</v>
      </c>
      <c r="EH8" s="28" t="s">
        <v>84</v>
      </c>
      <c r="EI8" s="28" t="s">
        <v>1369</v>
      </c>
      <c r="EJ8" s="28" t="s">
        <v>1370</v>
      </c>
      <c r="EK8" s="28" t="s">
        <v>1371</v>
      </c>
      <c r="EL8" s="28" t="s">
        <v>1372</v>
      </c>
      <c r="EM8" s="11">
        <v>881.71</v>
      </c>
      <c r="EN8" s="11">
        <v>38.61</v>
      </c>
      <c r="EQ8" s="11">
        <v>84.88</v>
      </c>
      <c r="EW8" s="11">
        <v>74.760000000000005</v>
      </c>
      <c r="FF8" s="11">
        <v>36.54</v>
      </c>
      <c r="FJ8" s="11">
        <v>15.67</v>
      </c>
      <c r="FP8" s="11">
        <v>38.15</v>
      </c>
      <c r="FV8" s="11">
        <v>72.760000000000005</v>
      </c>
      <c r="GC8" s="11">
        <v>201.18</v>
      </c>
      <c r="GT8" s="11">
        <v>18.190000000000001</v>
      </c>
      <c r="GX8" s="11">
        <v>94.77</v>
      </c>
      <c r="HB8" s="11">
        <v>206.2</v>
      </c>
      <c r="HQ8" s="62">
        <f t="shared" si="0"/>
        <v>881.71</v>
      </c>
      <c r="HR8" s="62">
        <f t="shared" si="1"/>
        <v>14.695166666666667</v>
      </c>
      <c r="IA8" s="11" t="s">
        <v>2845</v>
      </c>
      <c r="IB8" s="28">
        <f>COUNTIF(D2:D529,"11")+COUNTIF('Q-CoFa Survey 1'!D2:D61,"11")</f>
        <v>253</v>
      </c>
      <c r="IC8" s="28" t="s">
        <v>2848</v>
      </c>
    </row>
    <row r="9" spans="1:237" ht="12.95" customHeight="1" x14ac:dyDescent="0.2">
      <c r="A9" s="11">
        <v>68</v>
      </c>
      <c r="B9" s="11">
        <v>13</v>
      </c>
      <c r="D9" s="11">
        <v>10</v>
      </c>
      <c r="E9" s="11" t="s">
        <v>79</v>
      </c>
      <c r="F9" s="11">
        <v>479056461</v>
      </c>
      <c r="G9" s="11" t="s">
        <v>81</v>
      </c>
      <c r="H9" s="11" t="s">
        <v>84</v>
      </c>
      <c r="I9" s="28" t="s">
        <v>363</v>
      </c>
      <c r="J9" s="28"/>
      <c r="M9" s="28" t="s">
        <v>1294</v>
      </c>
      <c r="N9" s="28" t="s">
        <v>106</v>
      </c>
      <c r="O9" s="28"/>
      <c r="P9" s="28" t="s">
        <v>87</v>
      </c>
      <c r="Q9" s="28" t="s">
        <v>1296</v>
      </c>
      <c r="S9" s="28" t="s">
        <v>84</v>
      </c>
      <c r="T9" s="28" t="s">
        <v>84</v>
      </c>
      <c r="U9" s="28" t="s">
        <v>84</v>
      </c>
      <c r="V9" s="28" t="s">
        <v>82</v>
      </c>
      <c r="W9" s="28" t="s">
        <v>82</v>
      </c>
      <c r="X9" s="28" t="s">
        <v>82</v>
      </c>
      <c r="Y9" s="28" t="s">
        <v>82</v>
      </c>
      <c r="Z9" s="28" t="s">
        <v>82</v>
      </c>
      <c r="AA9" s="28"/>
      <c r="AB9" s="28" t="s">
        <v>82</v>
      </c>
      <c r="AC9" s="28"/>
      <c r="AD9" s="28" t="s">
        <v>82</v>
      </c>
      <c r="AE9" s="28"/>
      <c r="AF9" s="28"/>
      <c r="AG9" s="28" t="s">
        <v>82</v>
      </c>
      <c r="AH9" s="28"/>
      <c r="AI9" s="28" t="s">
        <v>84</v>
      </c>
      <c r="AJ9" s="28" t="s">
        <v>1373</v>
      </c>
      <c r="AK9" s="28" t="s">
        <v>1374</v>
      </c>
      <c r="AL9" s="28" t="s">
        <v>126</v>
      </c>
      <c r="AM9" s="28" t="s">
        <v>91</v>
      </c>
      <c r="AN9" s="28"/>
      <c r="AO9" s="28" t="s">
        <v>80</v>
      </c>
      <c r="AQ9" s="28" t="s">
        <v>80</v>
      </c>
      <c r="AR9" s="28" t="s">
        <v>80</v>
      </c>
      <c r="AS9" s="28" t="s">
        <v>80</v>
      </c>
      <c r="AT9" s="28" t="s">
        <v>80</v>
      </c>
      <c r="AU9" s="28"/>
      <c r="AW9" s="28" t="s">
        <v>84</v>
      </c>
      <c r="AX9" s="28" t="s">
        <v>84</v>
      </c>
      <c r="AY9" s="28" t="s">
        <v>82</v>
      </c>
      <c r="AZ9" s="28" t="s">
        <v>84</v>
      </c>
      <c r="BA9" s="28"/>
      <c r="BB9" s="28" t="s">
        <v>84</v>
      </c>
      <c r="BC9" s="28" t="s">
        <v>80</v>
      </c>
      <c r="BD9" s="28" t="s">
        <v>93</v>
      </c>
      <c r="BE9" s="28" t="s">
        <v>93</v>
      </c>
      <c r="BF9" s="28" t="s">
        <v>340</v>
      </c>
      <c r="BG9" s="28" t="s">
        <v>84</v>
      </c>
      <c r="BH9" s="28" t="s">
        <v>84</v>
      </c>
      <c r="BI9" s="28"/>
      <c r="BJ9" s="28" t="s">
        <v>84</v>
      </c>
      <c r="BK9" s="28" t="s">
        <v>80</v>
      </c>
      <c r="BL9" s="28">
        <v>5</v>
      </c>
      <c r="BM9" s="28">
        <v>5</v>
      </c>
      <c r="BN9" s="28">
        <v>5</v>
      </c>
      <c r="BO9" s="28">
        <v>5</v>
      </c>
      <c r="BP9" s="28">
        <v>5</v>
      </c>
      <c r="BQ9" s="28">
        <v>5</v>
      </c>
      <c r="BS9" s="28" t="s">
        <v>99</v>
      </c>
      <c r="BT9" s="28"/>
      <c r="BU9" s="28"/>
      <c r="BV9" s="28"/>
      <c r="BX9" s="28" t="s">
        <v>82</v>
      </c>
      <c r="BY9" s="28"/>
      <c r="BZ9" s="28" t="s">
        <v>84</v>
      </c>
      <c r="CA9" s="28"/>
      <c r="CB9" s="28" t="s">
        <v>82</v>
      </c>
      <c r="CC9" s="28"/>
      <c r="CD9" s="28" t="s">
        <v>82</v>
      </c>
      <c r="CE9" s="28"/>
      <c r="CF9" s="28"/>
      <c r="CG9" s="28"/>
      <c r="CI9" s="28" t="s">
        <v>84</v>
      </c>
      <c r="CJ9" s="28"/>
      <c r="CK9" s="28" t="s">
        <v>82</v>
      </c>
      <c r="CL9" s="28"/>
      <c r="CM9" s="28" t="s">
        <v>84</v>
      </c>
      <c r="CN9" s="28"/>
      <c r="CO9" s="28"/>
      <c r="CP9" s="28"/>
      <c r="CQ9" s="28" t="s">
        <v>118</v>
      </c>
      <c r="CR9" s="28" t="s">
        <v>82</v>
      </c>
      <c r="CS9" s="28"/>
      <c r="CT9" s="28"/>
      <c r="CU9" s="28"/>
      <c r="CV9" s="28"/>
      <c r="CW9" s="28" t="s">
        <v>82</v>
      </c>
      <c r="CX9" s="28"/>
      <c r="CY9" s="28" t="s">
        <v>246</v>
      </c>
      <c r="CZ9" s="28"/>
      <c r="DA9" s="28" t="s">
        <v>82</v>
      </c>
      <c r="DB9" s="28"/>
      <c r="DC9" s="28" t="s">
        <v>84</v>
      </c>
      <c r="DD9" s="28" t="s">
        <v>84</v>
      </c>
      <c r="DG9" s="28">
        <v>1</v>
      </c>
      <c r="DH9" s="28">
        <v>5</v>
      </c>
      <c r="DI9" s="28">
        <v>1</v>
      </c>
      <c r="DJ9" s="28">
        <v>5</v>
      </c>
      <c r="DK9" s="28">
        <v>3</v>
      </c>
      <c r="DL9" s="28">
        <v>4</v>
      </c>
      <c r="DM9" s="28">
        <v>1</v>
      </c>
      <c r="DN9" s="28">
        <v>5</v>
      </c>
      <c r="DO9" s="28">
        <v>1</v>
      </c>
      <c r="DP9" s="28">
        <v>5</v>
      </c>
      <c r="DQ9" s="28">
        <v>2</v>
      </c>
      <c r="DR9" s="28">
        <v>2</v>
      </c>
      <c r="DS9" s="28" t="s">
        <v>99</v>
      </c>
      <c r="DT9" s="28" t="s">
        <v>84</v>
      </c>
      <c r="DU9" s="28"/>
      <c r="DV9" s="28" t="s">
        <v>84</v>
      </c>
      <c r="DW9" s="28" t="s">
        <v>113</v>
      </c>
      <c r="DX9" s="28" t="s">
        <v>81</v>
      </c>
      <c r="DY9" s="28"/>
      <c r="DZ9" s="28"/>
      <c r="EA9" s="28"/>
      <c r="EB9" s="28" t="s">
        <v>80</v>
      </c>
      <c r="EC9" s="28"/>
      <c r="ED9" s="28"/>
      <c r="EE9" s="28"/>
      <c r="EF9" s="28" t="s">
        <v>80</v>
      </c>
      <c r="EG9" s="28" t="s">
        <v>80</v>
      </c>
      <c r="EH9" s="28" t="s">
        <v>80</v>
      </c>
      <c r="EI9" s="28"/>
      <c r="EJ9" s="28"/>
      <c r="EK9" s="28"/>
      <c r="EL9" s="28"/>
      <c r="EM9" s="11">
        <v>711.14</v>
      </c>
      <c r="EN9" s="11">
        <v>9.98</v>
      </c>
      <c r="EQ9" s="11">
        <v>45.33</v>
      </c>
      <c r="EW9" s="11">
        <v>38.92</v>
      </c>
      <c r="FF9" s="11">
        <v>203.76</v>
      </c>
      <c r="FJ9" s="11">
        <v>16.07</v>
      </c>
      <c r="FP9" s="11">
        <v>62.55</v>
      </c>
      <c r="FV9" s="11">
        <v>94.09</v>
      </c>
      <c r="GC9" s="11">
        <v>198.71</v>
      </c>
      <c r="GT9" s="11">
        <v>15.66</v>
      </c>
      <c r="GX9" s="11">
        <v>21.08</v>
      </c>
      <c r="HB9" s="11">
        <v>4.99</v>
      </c>
      <c r="HQ9" s="62">
        <f t="shared" si="0"/>
        <v>711.14</v>
      </c>
      <c r="HR9" s="62">
        <f t="shared" si="1"/>
        <v>11.852333333333332</v>
      </c>
      <c r="IA9" s="11" t="s">
        <v>2842</v>
      </c>
      <c r="IB9" s="28">
        <f>COUNT(D2:D529)+COUNT('Q-CoFa Survey 1'!D2:D61)</f>
        <v>276</v>
      </c>
      <c r="IC9" s="28" t="s">
        <v>2849</v>
      </c>
    </row>
    <row r="10" spans="1:237" ht="12.95" customHeight="1" x14ac:dyDescent="0.2">
      <c r="A10" s="11">
        <v>69</v>
      </c>
      <c r="B10" s="11">
        <v>14</v>
      </c>
      <c r="D10" s="11">
        <v>10</v>
      </c>
      <c r="E10" s="11" t="s">
        <v>79</v>
      </c>
      <c r="F10" s="11">
        <v>1025168495</v>
      </c>
      <c r="G10" s="11" t="s">
        <v>81</v>
      </c>
      <c r="H10" s="11" t="s">
        <v>84</v>
      </c>
      <c r="I10" s="28" t="s">
        <v>107</v>
      </c>
      <c r="J10" s="28"/>
      <c r="M10" s="28" t="s">
        <v>1319</v>
      </c>
      <c r="N10" s="28" t="s">
        <v>108</v>
      </c>
      <c r="O10" s="28"/>
      <c r="P10" s="28" t="s">
        <v>195</v>
      </c>
      <c r="Q10" s="28" t="s">
        <v>1375</v>
      </c>
      <c r="S10" s="28" t="s">
        <v>84</v>
      </c>
      <c r="T10" s="28" t="s">
        <v>82</v>
      </c>
      <c r="U10" s="28" t="s">
        <v>82</v>
      </c>
      <c r="V10" s="28" t="s">
        <v>84</v>
      </c>
      <c r="W10" s="28" t="s">
        <v>82</v>
      </c>
      <c r="X10" s="28" t="s">
        <v>82</v>
      </c>
      <c r="Y10" s="28" t="s">
        <v>82</v>
      </c>
      <c r="Z10" s="28" t="s">
        <v>84</v>
      </c>
      <c r="AA10" s="28"/>
      <c r="AB10" s="28" t="s">
        <v>84</v>
      </c>
      <c r="AC10" s="28"/>
      <c r="AD10" s="28" t="s">
        <v>82</v>
      </c>
      <c r="AE10" s="28"/>
      <c r="AF10" s="28"/>
      <c r="AG10" s="28" t="s">
        <v>84</v>
      </c>
      <c r="AH10" s="28"/>
      <c r="AI10" s="28" t="s">
        <v>84</v>
      </c>
      <c r="AJ10" s="28"/>
      <c r="AK10" s="28"/>
      <c r="AL10" s="28" t="s">
        <v>126</v>
      </c>
      <c r="AM10" s="28" t="s">
        <v>111</v>
      </c>
      <c r="AN10" s="28"/>
      <c r="AO10" s="28" t="s">
        <v>80</v>
      </c>
      <c r="AQ10" s="28" t="s">
        <v>84</v>
      </c>
      <c r="AR10" s="28" t="s">
        <v>82</v>
      </c>
      <c r="AS10" s="28" t="s">
        <v>82</v>
      </c>
      <c r="AT10" s="28" t="s">
        <v>82</v>
      </c>
      <c r="AU10" s="28"/>
      <c r="AW10" s="28" t="s">
        <v>80</v>
      </c>
      <c r="AX10" s="28" t="s">
        <v>80</v>
      </c>
      <c r="AY10" s="28" t="s">
        <v>80</v>
      </c>
      <c r="AZ10" s="28" t="s">
        <v>80</v>
      </c>
      <c r="BA10" s="28"/>
      <c r="BB10" s="28" t="s">
        <v>84</v>
      </c>
      <c r="BC10" s="28" t="s">
        <v>80</v>
      </c>
      <c r="BD10" s="28" t="s">
        <v>100</v>
      </c>
      <c r="BE10" s="28" t="s">
        <v>100</v>
      </c>
      <c r="BF10" s="28" t="s">
        <v>93</v>
      </c>
      <c r="BG10" s="28" t="s">
        <v>84</v>
      </c>
      <c r="BH10" s="28" t="s">
        <v>84</v>
      </c>
      <c r="BI10" s="28"/>
      <c r="BJ10" s="28" t="s">
        <v>84</v>
      </c>
      <c r="BK10" s="28" t="s">
        <v>80</v>
      </c>
      <c r="BL10" s="28">
        <v>3</v>
      </c>
      <c r="BM10" s="28">
        <v>3</v>
      </c>
      <c r="BN10" s="28">
        <v>3</v>
      </c>
      <c r="BO10" s="28">
        <v>3</v>
      </c>
      <c r="BP10" s="28">
        <v>3</v>
      </c>
      <c r="BQ10" s="28">
        <v>3</v>
      </c>
      <c r="BS10" s="28" t="s">
        <v>97</v>
      </c>
      <c r="BT10" s="28"/>
      <c r="BU10" s="28" t="s">
        <v>246</v>
      </c>
      <c r="BV10" s="28"/>
      <c r="BX10" s="28" t="s">
        <v>80</v>
      </c>
      <c r="BY10" s="28"/>
      <c r="BZ10" s="28" t="s">
        <v>80</v>
      </c>
      <c r="CA10" s="28"/>
      <c r="CB10" s="28" t="s">
        <v>80</v>
      </c>
      <c r="CC10" s="28"/>
      <c r="CD10" s="28" t="s">
        <v>80</v>
      </c>
      <c r="CE10" s="28"/>
      <c r="CF10" s="28"/>
      <c r="CG10" s="28"/>
      <c r="CI10" s="28" t="s">
        <v>84</v>
      </c>
      <c r="CJ10" s="28"/>
      <c r="CK10" s="28" t="s">
        <v>84</v>
      </c>
      <c r="CL10" s="28"/>
      <c r="CM10" s="28" t="s">
        <v>82</v>
      </c>
      <c r="CN10" s="28"/>
      <c r="CO10" s="28"/>
      <c r="CP10" s="28"/>
      <c r="CQ10" s="28" t="s">
        <v>118</v>
      </c>
      <c r="CR10" s="28" t="s">
        <v>84</v>
      </c>
      <c r="CS10" s="28" t="s">
        <v>1312</v>
      </c>
      <c r="CT10" s="28"/>
      <c r="CU10" s="28" t="s">
        <v>246</v>
      </c>
      <c r="CV10" s="28"/>
      <c r="CW10" s="28" t="s">
        <v>82</v>
      </c>
      <c r="CX10" s="28"/>
      <c r="CY10" s="28" t="s">
        <v>246</v>
      </c>
      <c r="CZ10" s="28"/>
      <c r="DA10" s="28" t="s">
        <v>82</v>
      </c>
      <c r="DB10" s="28"/>
      <c r="DC10" s="28" t="s">
        <v>82</v>
      </c>
      <c r="DD10" s="28" t="s">
        <v>82</v>
      </c>
      <c r="DG10" s="28">
        <v>3</v>
      </c>
      <c r="DH10" s="28">
        <v>3</v>
      </c>
      <c r="DI10" s="28">
        <v>3</v>
      </c>
      <c r="DJ10" s="28">
        <v>3</v>
      </c>
      <c r="DK10" s="28">
        <v>3</v>
      </c>
      <c r="DL10" s="28">
        <v>3</v>
      </c>
      <c r="DM10" s="28">
        <v>3</v>
      </c>
      <c r="DN10" s="28">
        <v>3</v>
      </c>
      <c r="DO10" s="28">
        <v>3</v>
      </c>
      <c r="DP10" s="28">
        <v>3</v>
      </c>
      <c r="DQ10" s="28">
        <v>3</v>
      </c>
      <c r="DR10" s="28">
        <v>3</v>
      </c>
      <c r="DS10" s="28" t="s">
        <v>97</v>
      </c>
      <c r="DT10" s="28" t="s">
        <v>106</v>
      </c>
      <c r="DU10" s="28"/>
      <c r="DV10" s="28" t="s">
        <v>82</v>
      </c>
      <c r="DW10" s="28" t="s">
        <v>100</v>
      </c>
      <c r="DX10" s="28" t="s">
        <v>81</v>
      </c>
      <c r="DY10" s="28"/>
      <c r="DZ10" s="28"/>
      <c r="EA10" s="28"/>
      <c r="EB10" s="28" t="s">
        <v>80</v>
      </c>
      <c r="EC10" s="28"/>
      <c r="ED10" s="28"/>
      <c r="EE10" s="28"/>
      <c r="EF10" s="28" t="s">
        <v>80</v>
      </c>
      <c r="EG10" s="28" t="s">
        <v>80</v>
      </c>
      <c r="EH10" s="28" t="s">
        <v>80</v>
      </c>
      <c r="EI10" s="28"/>
      <c r="EJ10" s="28"/>
      <c r="EK10" s="28"/>
      <c r="EL10" s="28"/>
      <c r="EM10" s="11">
        <v>352.14</v>
      </c>
      <c r="EN10" s="11">
        <v>10.66</v>
      </c>
      <c r="EQ10" s="11">
        <v>49.02</v>
      </c>
      <c r="EW10" s="11">
        <v>32.729999999999997</v>
      </c>
      <c r="FF10" s="11">
        <v>11.85</v>
      </c>
      <c r="FJ10" s="11">
        <v>10.8</v>
      </c>
      <c r="FP10" s="11">
        <v>28.6</v>
      </c>
      <c r="FV10" s="11">
        <v>87.39</v>
      </c>
      <c r="GC10" s="11">
        <v>90.98</v>
      </c>
      <c r="GT10" s="11">
        <v>11.64</v>
      </c>
      <c r="GX10" s="11">
        <v>18.47</v>
      </c>
      <c r="HQ10" s="62">
        <f t="shared" si="0"/>
        <v>352.14</v>
      </c>
      <c r="HR10" s="62">
        <f t="shared" si="1"/>
        <v>5.8689999999999998</v>
      </c>
      <c r="IA10" s="11" t="s">
        <v>2843</v>
      </c>
      <c r="IB10" s="59">
        <f>(IB9-IB8)*100/IB9</f>
        <v>8.3333333333333339</v>
      </c>
      <c r="IC10" s="28" t="s">
        <v>2847</v>
      </c>
    </row>
    <row r="11" spans="1:237" ht="12.95" customHeight="1" x14ac:dyDescent="0.2">
      <c r="A11" s="11">
        <v>70</v>
      </c>
      <c r="B11" s="11">
        <v>16</v>
      </c>
      <c r="C11" s="11" t="s">
        <v>83</v>
      </c>
      <c r="D11" s="11">
        <v>11</v>
      </c>
      <c r="E11" s="11" t="s">
        <v>79</v>
      </c>
      <c r="F11" s="11">
        <v>903613840</v>
      </c>
      <c r="G11" s="11" t="s">
        <v>81</v>
      </c>
      <c r="H11" s="11" t="s">
        <v>84</v>
      </c>
      <c r="I11" s="28" t="s">
        <v>107</v>
      </c>
      <c r="J11" s="28"/>
      <c r="M11" s="28" t="s">
        <v>1294</v>
      </c>
      <c r="N11" s="28" t="s">
        <v>618</v>
      </c>
      <c r="O11" s="28"/>
      <c r="P11" s="28" t="s">
        <v>87</v>
      </c>
      <c r="Q11" s="28" t="s">
        <v>1358</v>
      </c>
      <c r="S11" s="28" t="s">
        <v>84</v>
      </c>
      <c r="T11" s="28" t="s">
        <v>84</v>
      </c>
      <c r="U11" s="28" t="s">
        <v>84</v>
      </c>
      <c r="V11" s="28" t="s">
        <v>82</v>
      </c>
      <c r="W11" s="28" t="s">
        <v>82</v>
      </c>
      <c r="X11" s="28" t="s">
        <v>84</v>
      </c>
      <c r="Y11" s="28" t="s">
        <v>84</v>
      </c>
      <c r="Z11" s="28" t="s">
        <v>84</v>
      </c>
      <c r="AA11" s="28"/>
      <c r="AB11" s="28" t="s">
        <v>82</v>
      </c>
      <c r="AC11" s="28"/>
      <c r="AD11" s="28" t="s">
        <v>84</v>
      </c>
      <c r="AE11" s="28" t="s">
        <v>1376</v>
      </c>
      <c r="AF11" s="28"/>
      <c r="AG11" s="28" t="s">
        <v>80</v>
      </c>
      <c r="AH11" s="28"/>
      <c r="AI11" s="28" t="s">
        <v>84</v>
      </c>
      <c r="AJ11" s="28"/>
      <c r="AK11" s="28" t="s">
        <v>1377</v>
      </c>
      <c r="AL11" s="28" t="s">
        <v>126</v>
      </c>
      <c r="AM11" s="28" t="s">
        <v>91</v>
      </c>
      <c r="AN11" s="28"/>
      <c r="AO11" s="28" t="s">
        <v>80</v>
      </c>
      <c r="AQ11" s="28" t="s">
        <v>80</v>
      </c>
      <c r="AR11" s="28" t="s">
        <v>80</v>
      </c>
      <c r="AS11" s="28" t="s">
        <v>80</v>
      </c>
      <c r="AT11" s="28" t="s">
        <v>80</v>
      </c>
      <c r="AU11" s="28"/>
      <c r="AW11" s="28" t="s">
        <v>84</v>
      </c>
      <c r="AX11" s="28" t="s">
        <v>84</v>
      </c>
      <c r="AY11" s="28" t="s">
        <v>84</v>
      </c>
      <c r="AZ11" s="28" t="s">
        <v>84</v>
      </c>
      <c r="BA11" s="28"/>
      <c r="BB11" s="28" t="s">
        <v>84</v>
      </c>
      <c r="BC11" s="28" t="s">
        <v>80</v>
      </c>
      <c r="BD11" s="28" t="s">
        <v>93</v>
      </c>
      <c r="BE11" s="28" t="s">
        <v>93</v>
      </c>
      <c r="BF11" s="28" t="s">
        <v>100</v>
      </c>
      <c r="BG11" s="28" t="s">
        <v>84</v>
      </c>
      <c r="BH11" s="28" t="s">
        <v>84</v>
      </c>
      <c r="BI11" s="28" t="s">
        <v>1378</v>
      </c>
      <c r="BJ11" s="28" t="s">
        <v>84</v>
      </c>
      <c r="BK11" s="28" t="s">
        <v>80</v>
      </c>
      <c r="BL11" s="28">
        <v>3</v>
      </c>
      <c r="BM11" s="28">
        <v>5</v>
      </c>
      <c r="BN11" s="28">
        <v>5</v>
      </c>
      <c r="BO11" s="28">
        <v>5</v>
      </c>
      <c r="BP11" s="28">
        <v>2</v>
      </c>
      <c r="BQ11" s="28">
        <v>5</v>
      </c>
      <c r="BS11" s="28" t="s">
        <v>99</v>
      </c>
      <c r="BT11" s="28"/>
      <c r="BU11" s="28"/>
      <c r="BV11" s="28"/>
      <c r="BX11" s="28" t="s">
        <v>82</v>
      </c>
      <c r="BY11" s="28"/>
      <c r="BZ11" s="28" t="s">
        <v>84</v>
      </c>
      <c r="CA11" s="28"/>
      <c r="CB11" s="28" t="s">
        <v>82</v>
      </c>
      <c r="CC11" s="28"/>
      <c r="CD11" s="28" t="s">
        <v>82</v>
      </c>
      <c r="CE11" s="28"/>
      <c r="CF11" s="28"/>
      <c r="CG11" s="28"/>
      <c r="CI11" s="28" t="s">
        <v>84</v>
      </c>
      <c r="CJ11" s="28"/>
      <c r="CK11" s="28" t="s">
        <v>84</v>
      </c>
      <c r="CL11" s="28"/>
      <c r="CM11" s="28" t="s">
        <v>82</v>
      </c>
      <c r="CN11" s="28"/>
      <c r="CO11" s="28"/>
      <c r="CP11" s="28"/>
      <c r="CQ11" s="28" t="s">
        <v>99</v>
      </c>
      <c r="CR11" s="28" t="s">
        <v>80</v>
      </c>
      <c r="CS11" s="28"/>
      <c r="CT11" s="28"/>
      <c r="CU11" s="28"/>
      <c r="CV11" s="28"/>
      <c r="CW11" s="28" t="s">
        <v>82</v>
      </c>
      <c r="CX11" s="28"/>
      <c r="CY11" s="28" t="s">
        <v>81</v>
      </c>
      <c r="CZ11" s="28"/>
      <c r="DA11" s="28" t="s">
        <v>82</v>
      </c>
      <c r="DB11" s="28"/>
      <c r="DC11" s="28" t="s">
        <v>84</v>
      </c>
      <c r="DD11" s="28" t="s">
        <v>84</v>
      </c>
      <c r="DG11" s="28">
        <v>4</v>
      </c>
      <c r="DH11" s="28">
        <v>5</v>
      </c>
      <c r="DI11" s="28">
        <v>5</v>
      </c>
      <c r="DJ11" s="28">
        <v>5</v>
      </c>
      <c r="DK11" s="28">
        <v>5</v>
      </c>
      <c r="DL11" s="28">
        <v>5</v>
      </c>
      <c r="DM11" s="28">
        <v>5</v>
      </c>
      <c r="DN11" s="28">
        <v>5</v>
      </c>
      <c r="DO11" s="28">
        <v>5</v>
      </c>
      <c r="DP11" s="28">
        <v>5</v>
      </c>
      <c r="DQ11" s="28">
        <v>5</v>
      </c>
      <c r="DR11" s="28">
        <v>5</v>
      </c>
      <c r="DS11" s="28" t="s">
        <v>99</v>
      </c>
      <c r="DT11" s="28" t="s">
        <v>84</v>
      </c>
      <c r="DU11" s="28"/>
      <c r="DV11" s="28" t="s">
        <v>84</v>
      </c>
      <c r="DW11" s="28" t="s">
        <v>113</v>
      </c>
      <c r="DX11" s="28" t="s">
        <v>81</v>
      </c>
      <c r="DY11" s="28"/>
      <c r="DZ11" s="28" t="s">
        <v>93</v>
      </c>
      <c r="EA11" s="28"/>
      <c r="EB11" s="28" t="s">
        <v>84</v>
      </c>
      <c r="EC11" s="28"/>
      <c r="ED11" s="28"/>
      <c r="EE11" s="28"/>
      <c r="EF11" s="28" t="s">
        <v>82</v>
      </c>
      <c r="EG11" s="28" t="s">
        <v>82</v>
      </c>
      <c r="EH11" s="28" t="s">
        <v>84</v>
      </c>
      <c r="EI11" s="28"/>
      <c r="EJ11" s="28" t="s">
        <v>1379</v>
      </c>
      <c r="EK11" s="28" t="s">
        <v>1380</v>
      </c>
      <c r="EL11" s="28" t="s">
        <v>1381</v>
      </c>
      <c r="EM11" s="11">
        <v>705.27</v>
      </c>
      <c r="EN11" s="11">
        <v>15.47</v>
      </c>
      <c r="EQ11" s="11">
        <v>43.05</v>
      </c>
      <c r="EW11" s="11">
        <v>28.43</v>
      </c>
      <c r="FF11" s="11">
        <v>24.96</v>
      </c>
      <c r="FJ11" s="11">
        <v>13.21</v>
      </c>
      <c r="FP11" s="11">
        <v>16.739999999999998</v>
      </c>
      <c r="FV11" s="11">
        <v>45.76</v>
      </c>
      <c r="GC11" s="11">
        <v>378.15</v>
      </c>
      <c r="GT11" s="11">
        <v>9.3800000000000008</v>
      </c>
      <c r="GX11" s="11">
        <v>12.63</v>
      </c>
      <c r="HB11" s="11">
        <v>117.49</v>
      </c>
      <c r="HQ11" s="62">
        <f t="shared" si="0"/>
        <v>705.27</v>
      </c>
      <c r="HR11" s="62">
        <f t="shared" si="1"/>
        <v>11.7545</v>
      </c>
    </row>
    <row r="12" spans="1:237" ht="12.95" customHeight="1" x14ac:dyDescent="0.2">
      <c r="A12" s="11">
        <v>71</v>
      </c>
      <c r="B12" s="11">
        <v>17</v>
      </c>
      <c r="C12" s="11" t="s">
        <v>83</v>
      </c>
      <c r="D12" s="11">
        <v>11</v>
      </c>
      <c r="E12" s="11" t="s">
        <v>79</v>
      </c>
      <c r="F12" s="11">
        <v>1611282046</v>
      </c>
      <c r="G12" s="11" t="s">
        <v>81</v>
      </c>
      <c r="H12" s="11" t="s">
        <v>84</v>
      </c>
      <c r="I12" s="28" t="s">
        <v>105</v>
      </c>
      <c r="J12" s="28"/>
      <c r="M12" s="28" t="s">
        <v>1319</v>
      </c>
      <c r="N12" s="28" t="s">
        <v>618</v>
      </c>
      <c r="O12" s="28"/>
      <c r="P12" s="28" t="s">
        <v>87</v>
      </c>
      <c r="Q12" s="28" t="s">
        <v>1358</v>
      </c>
      <c r="S12" s="28" t="s">
        <v>84</v>
      </c>
      <c r="T12" s="28" t="s">
        <v>84</v>
      </c>
      <c r="U12" s="28" t="s">
        <v>84</v>
      </c>
      <c r="V12" s="28" t="s">
        <v>82</v>
      </c>
      <c r="W12" s="28" t="s">
        <v>82</v>
      </c>
      <c r="X12" s="28" t="s">
        <v>82</v>
      </c>
      <c r="Y12" s="28" t="s">
        <v>82</v>
      </c>
      <c r="Z12" s="28" t="s">
        <v>82</v>
      </c>
      <c r="AA12" s="28"/>
      <c r="AB12" s="28" t="s">
        <v>82</v>
      </c>
      <c r="AC12" s="28"/>
      <c r="AD12" s="28" t="s">
        <v>82</v>
      </c>
      <c r="AE12" s="28"/>
      <c r="AF12" s="28"/>
      <c r="AG12" s="28" t="s">
        <v>82</v>
      </c>
      <c r="AH12" s="28"/>
      <c r="AI12" s="28" t="s">
        <v>84</v>
      </c>
      <c r="AJ12" s="28"/>
      <c r="AK12" s="28" t="s">
        <v>1382</v>
      </c>
      <c r="AL12" s="28" t="s">
        <v>126</v>
      </c>
      <c r="AM12" s="28" t="s">
        <v>91</v>
      </c>
      <c r="AN12" s="28"/>
      <c r="AO12" s="28" t="s">
        <v>80</v>
      </c>
      <c r="AQ12" s="28" t="s">
        <v>80</v>
      </c>
      <c r="AR12" s="28" t="s">
        <v>80</v>
      </c>
      <c r="AS12" s="28" t="s">
        <v>80</v>
      </c>
      <c r="AT12" s="28" t="s">
        <v>80</v>
      </c>
      <c r="AU12" s="28"/>
      <c r="AW12" s="28" t="s">
        <v>84</v>
      </c>
      <c r="AX12" s="28" t="s">
        <v>84</v>
      </c>
      <c r="AY12" s="28" t="s">
        <v>82</v>
      </c>
      <c r="AZ12" s="28" t="s">
        <v>84</v>
      </c>
      <c r="BA12" s="28"/>
      <c r="BB12" s="28" t="s">
        <v>84</v>
      </c>
      <c r="BC12" s="28" t="s">
        <v>80</v>
      </c>
      <c r="BD12" s="28" t="s">
        <v>113</v>
      </c>
      <c r="BE12" s="28" t="s">
        <v>113</v>
      </c>
      <c r="BF12" s="28" t="s">
        <v>100</v>
      </c>
      <c r="BG12" s="28" t="s">
        <v>82</v>
      </c>
      <c r="BH12" s="28" t="s">
        <v>84</v>
      </c>
      <c r="BI12" s="28" t="s">
        <v>1383</v>
      </c>
      <c r="BJ12" s="28" t="s">
        <v>84</v>
      </c>
      <c r="BK12" s="28" t="s">
        <v>80</v>
      </c>
      <c r="BL12" s="28">
        <v>5</v>
      </c>
      <c r="BM12" s="28">
        <v>3</v>
      </c>
      <c r="BN12" s="28">
        <v>1</v>
      </c>
      <c r="BO12" s="28">
        <v>1</v>
      </c>
      <c r="BP12" s="28">
        <v>5</v>
      </c>
      <c r="BQ12" s="28">
        <v>3</v>
      </c>
      <c r="BS12" s="28" t="s">
        <v>97</v>
      </c>
      <c r="BT12" s="28"/>
      <c r="BU12" s="28" t="s">
        <v>246</v>
      </c>
      <c r="BV12" s="28"/>
      <c r="BX12" s="28" t="s">
        <v>80</v>
      </c>
      <c r="BY12" s="28"/>
      <c r="BZ12" s="28" t="s">
        <v>80</v>
      </c>
      <c r="CA12" s="28"/>
      <c r="CB12" s="28" t="s">
        <v>80</v>
      </c>
      <c r="CC12" s="28"/>
      <c r="CD12" s="28" t="s">
        <v>80</v>
      </c>
      <c r="CE12" s="28"/>
      <c r="CF12" s="28"/>
      <c r="CG12" s="28"/>
      <c r="CI12" s="28" t="s">
        <v>84</v>
      </c>
      <c r="CJ12" s="28" t="s">
        <v>1384</v>
      </c>
      <c r="CK12" s="28" t="s">
        <v>82</v>
      </c>
      <c r="CL12" s="28"/>
      <c r="CM12" s="28" t="s">
        <v>84</v>
      </c>
      <c r="CN12" s="28" t="s">
        <v>1385</v>
      </c>
      <c r="CO12" s="28"/>
      <c r="CP12" s="28"/>
      <c r="CQ12" s="28" t="s">
        <v>118</v>
      </c>
      <c r="CR12" s="28" t="s">
        <v>84</v>
      </c>
      <c r="CS12" s="28" t="s">
        <v>97</v>
      </c>
      <c r="CT12" s="28"/>
      <c r="CU12" s="28" t="s">
        <v>246</v>
      </c>
      <c r="CV12" s="28"/>
      <c r="CW12" s="28" t="s">
        <v>82</v>
      </c>
      <c r="CX12" s="28"/>
      <c r="CY12" s="28" t="s">
        <v>246</v>
      </c>
      <c r="CZ12" s="28"/>
      <c r="DA12" s="28" t="s">
        <v>84</v>
      </c>
      <c r="DB12" s="28" t="s">
        <v>1386</v>
      </c>
      <c r="DC12" s="28" t="s">
        <v>84</v>
      </c>
      <c r="DD12" s="28" t="s">
        <v>84</v>
      </c>
      <c r="DG12" s="28">
        <v>2</v>
      </c>
      <c r="DH12" s="28">
        <v>3</v>
      </c>
      <c r="DI12" s="28">
        <v>3</v>
      </c>
      <c r="DJ12" s="28">
        <v>1</v>
      </c>
      <c r="DK12" s="28">
        <v>1</v>
      </c>
      <c r="DL12" s="28">
        <v>3</v>
      </c>
      <c r="DM12" s="28">
        <v>1</v>
      </c>
      <c r="DN12" s="28">
        <v>3</v>
      </c>
      <c r="DO12" s="28">
        <v>5</v>
      </c>
      <c r="DP12" s="28">
        <v>2</v>
      </c>
      <c r="DQ12" s="28">
        <v>3</v>
      </c>
      <c r="DR12" s="28">
        <v>2</v>
      </c>
      <c r="DS12" s="28" t="s">
        <v>97</v>
      </c>
      <c r="DT12" s="28" t="s">
        <v>106</v>
      </c>
      <c r="DU12" s="28"/>
      <c r="DV12" s="28" t="s">
        <v>84</v>
      </c>
      <c r="DW12" s="28" t="s">
        <v>100</v>
      </c>
      <c r="DX12" s="28" t="s">
        <v>81</v>
      </c>
      <c r="DY12" s="28"/>
      <c r="DZ12" s="28" t="s">
        <v>100</v>
      </c>
      <c r="EA12" s="28" t="s">
        <v>1387</v>
      </c>
      <c r="EB12" s="28" t="s">
        <v>82</v>
      </c>
      <c r="EC12" s="28"/>
      <c r="ED12" s="28" t="s">
        <v>81</v>
      </c>
      <c r="EE12" s="28"/>
      <c r="EF12" s="28" t="s">
        <v>84</v>
      </c>
      <c r="EG12" s="28" t="s">
        <v>84</v>
      </c>
      <c r="EH12" s="28" t="s">
        <v>82</v>
      </c>
      <c r="EI12" s="28"/>
      <c r="EJ12" s="28" t="s">
        <v>1388</v>
      </c>
      <c r="EK12" s="28" t="s">
        <v>1389</v>
      </c>
      <c r="EL12" s="28" t="s">
        <v>1390</v>
      </c>
      <c r="EM12" s="11">
        <v>9966.14</v>
      </c>
      <c r="EN12" s="11">
        <v>31.92</v>
      </c>
      <c r="EQ12" s="11">
        <v>151.07</v>
      </c>
      <c r="EW12" s="11">
        <v>72.2</v>
      </c>
      <c r="FF12" s="11">
        <v>162.62</v>
      </c>
      <c r="FJ12" s="11">
        <v>32.770000000000003</v>
      </c>
      <c r="FP12" s="11">
        <v>67.62</v>
      </c>
      <c r="FV12" s="11">
        <v>277.72000000000003</v>
      </c>
      <c r="GC12" s="11">
        <v>8093.54</v>
      </c>
      <c r="GT12" s="11">
        <v>28.88</v>
      </c>
      <c r="GX12" s="11">
        <v>46.12</v>
      </c>
      <c r="HB12" s="11">
        <v>1001.68</v>
      </c>
      <c r="HQ12" s="62">
        <f t="shared" si="0"/>
        <v>9966.14</v>
      </c>
      <c r="HR12" s="62">
        <f t="shared" si="1"/>
        <v>166.10233333333332</v>
      </c>
    </row>
    <row r="13" spans="1:237" ht="12.95" customHeight="1" x14ac:dyDescent="0.2">
      <c r="A13" s="11">
        <v>72</v>
      </c>
      <c r="B13" s="11">
        <v>18</v>
      </c>
      <c r="C13" s="11" t="s">
        <v>83</v>
      </c>
      <c r="D13" s="11">
        <v>11</v>
      </c>
      <c r="E13" s="11" t="s">
        <v>79</v>
      </c>
      <c r="F13" s="11">
        <v>2110905361</v>
      </c>
      <c r="G13" s="11" t="s">
        <v>81</v>
      </c>
      <c r="H13" s="11" t="s">
        <v>84</v>
      </c>
      <c r="I13" s="28" t="s">
        <v>107</v>
      </c>
      <c r="J13" s="28"/>
      <c r="M13" s="28" t="s">
        <v>1319</v>
      </c>
      <c r="N13" s="28" t="s">
        <v>108</v>
      </c>
      <c r="O13" s="28"/>
      <c r="P13" s="28" t="s">
        <v>87</v>
      </c>
      <c r="Q13" s="28" t="s">
        <v>1320</v>
      </c>
      <c r="S13" s="28" t="s">
        <v>84</v>
      </c>
      <c r="T13" s="28" t="s">
        <v>84</v>
      </c>
      <c r="U13" s="28" t="s">
        <v>84</v>
      </c>
      <c r="V13" s="28" t="s">
        <v>84</v>
      </c>
      <c r="W13" s="28" t="s">
        <v>82</v>
      </c>
      <c r="X13" s="28" t="s">
        <v>82</v>
      </c>
      <c r="Y13" s="28" t="s">
        <v>84</v>
      </c>
      <c r="Z13" s="28" t="s">
        <v>84</v>
      </c>
      <c r="AA13" s="28"/>
      <c r="AB13" s="28" t="s">
        <v>82</v>
      </c>
      <c r="AC13" s="28"/>
      <c r="AD13" s="28" t="s">
        <v>82</v>
      </c>
      <c r="AE13" s="28"/>
      <c r="AF13" s="28"/>
      <c r="AG13" s="28" t="s">
        <v>84</v>
      </c>
      <c r="AH13" s="28" t="s">
        <v>1391</v>
      </c>
      <c r="AI13" s="28" t="s">
        <v>84</v>
      </c>
      <c r="AJ13" s="28"/>
      <c r="AK13" s="28" t="s">
        <v>1392</v>
      </c>
      <c r="AL13" s="28" t="s">
        <v>126</v>
      </c>
      <c r="AM13" s="28" t="s">
        <v>111</v>
      </c>
      <c r="AN13" s="28"/>
      <c r="AO13" s="28" t="s">
        <v>80</v>
      </c>
      <c r="AQ13" s="28" t="s">
        <v>84</v>
      </c>
      <c r="AR13" s="28" t="s">
        <v>82</v>
      </c>
      <c r="AS13" s="28" t="s">
        <v>82</v>
      </c>
      <c r="AT13" s="28" t="s">
        <v>82</v>
      </c>
      <c r="AU13" s="28"/>
      <c r="AW13" s="28" t="s">
        <v>80</v>
      </c>
      <c r="AX13" s="28" t="s">
        <v>80</v>
      </c>
      <c r="AY13" s="28" t="s">
        <v>80</v>
      </c>
      <c r="AZ13" s="28" t="s">
        <v>80</v>
      </c>
      <c r="BA13" s="28"/>
      <c r="BB13" s="28" t="s">
        <v>84</v>
      </c>
      <c r="BC13" s="28" t="s">
        <v>80</v>
      </c>
      <c r="BD13" s="28" t="s">
        <v>100</v>
      </c>
      <c r="BE13" s="28" t="s">
        <v>113</v>
      </c>
      <c r="BF13" s="28" t="s">
        <v>100</v>
      </c>
      <c r="BG13" s="28" t="s">
        <v>82</v>
      </c>
      <c r="BH13" s="28" t="s">
        <v>84</v>
      </c>
      <c r="BI13" s="28" t="s">
        <v>1393</v>
      </c>
      <c r="BJ13" s="28" t="s">
        <v>84</v>
      </c>
      <c r="BK13" s="28" t="s">
        <v>80</v>
      </c>
      <c r="BL13" s="28">
        <v>3</v>
      </c>
      <c r="BM13" s="28">
        <v>4</v>
      </c>
      <c r="BN13" s="28">
        <v>3</v>
      </c>
      <c r="BO13" s="28">
        <v>4</v>
      </c>
      <c r="BP13" s="28">
        <v>3</v>
      </c>
      <c r="BQ13" s="28">
        <v>4</v>
      </c>
      <c r="BS13" s="28" t="s">
        <v>118</v>
      </c>
      <c r="BT13" s="28"/>
      <c r="BU13" s="28"/>
      <c r="BV13" s="28"/>
      <c r="BX13" s="28" t="s">
        <v>84</v>
      </c>
      <c r="BY13" s="28"/>
      <c r="BZ13" s="28" t="s">
        <v>84</v>
      </c>
      <c r="CA13" s="28"/>
      <c r="CB13" s="28" t="s">
        <v>84</v>
      </c>
      <c r="CC13" s="28"/>
      <c r="CD13" s="28" t="s">
        <v>84</v>
      </c>
      <c r="CE13" s="28"/>
      <c r="CF13" s="28"/>
      <c r="CG13" s="28"/>
      <c r="CI13" s="28" t="s">
        <v>84</v>
      </c>
      <c r="CJ13" s="28"/>
      <c r="CK13" s="28" t="s">
        <v>82</v>
      </c>
      <c r="CL13" s="28"/>
      <c r="CM13" s="28" t="s">
        <v>82</v>
      </c>
      <c r="CN13" s="28"/>
      <c r="CO13" s="28"/>
      <c r="CP13" s="28"/>
      <c r="CQ13" s="28" t="s">
        <v>97</v>
      </c>
      <c r="CR13" s="28" t="s">
        <v>84</v>
      </c>
      <c r="CS13" s="28" t="s">
        <v>97</v>
      </c>
      <c r="CT13" s="28"/>
      <c r="CU13" s="28" t="s">
        <v>246</v>
      </c>
      <c r="CV13" s="28"/>
      <c r="CW13" s="28" t="s">
        <v>82</v>
      </c>
      <c r="CX13" s="28"/>
      <c r="CY13" s="28" t="s">
        <v>246</v>
      </c>
      <c r="CZ13" s="28"/>
      <c r="DA13" s="28" t="s">
        <v>82</v>
      </c>
      <c r="DB13" s="28"/>
      <c r="DC13" s="28" t="s">
        <v>84</v>
      </c>
      <c r="DD13" s="28" t="s">
        <v>84</v>
      </c>
      <c r="DG13" s="28">
        <v>1</v>
      </c>
      <c r="DH13" s="28">
        <v>1</v>
      </c>
      <c r="DI13" s="28">
        <v>2</v>
      </c>
      <c r="DJ13" s="28">
        <v>2</v>
      </c>
      <c r="DK13" s="28">
        <v>2</v>
      </c>
      <c r="DL13" s="28">
        <v>2</v>
      </c>
      <c r="DM13" s="28">
        <v>2</v>
      </c>
      <c r="DN13" s="28">
        <v>2</v>
      </c>
      <c r="DO13" s="28">
        <v>3</v>
      </c>
      <c r="DP13" s="28">
        <v>2</v>
      </c>
      <c r="DQ13" s="28">
        <v>2</v>
      </c>
      <c r="DR13" s="28">
        <v>2</v>
      </c>
      <c r="DS13" s="28" t="s">
        <v>97</v>
      </c>
      <c r="DT13" s="28" t="s">
        <v>84</v>
      </c>
      <c r="DU13" s="28"/>
      <c r="DV13" s="28" t="s">
        <v>84</v>
      </c>
      <c r="DW13" s="28" t="s">
        <v>112</v>
      </c>
      <c r="DX13" s="28" t="s">
        <v>81</v>
      </c>
      <c r="DY13" s="28" t="s">
        <v>1394</v>
      </c>
      <c r="DZ13" s="28" t="s">
        <v>100</v>
      </c>
      <c r="EA13" s="28" t="s">
        <v>1395</v>
      </c>
      <c r="EB13" s="28" t="s">
        <v>82</v>
      </c>
      <c r="EC13" s="28"/>
      <c r="ED13" s="28" t="s">
        <v>246</v>
      </c>
      <c r="EE13" s="28"/>
      <c r="EF13" s="28" t="s">
        <v>82</v>
      </c>
      <c r="EG13" s="28" t="s">
        <v>84</v>
      </c>
      <c r="EH13" s="28" t="s">
        <v>82</v>
      </c>
      <c r="EI13" s="28"/>
      <c r="EJ13" s="28"/>
      <c r="EK13" s="28" t="s">
        <v>1396</v>
      </c>
      <c r="EL13" s="28" t="s">
        <v>250</v>
      </c>
      <c r="EM13" s="11">
        <v>544.55999999999995</v>
      </c>
      <c r="EN13" s="11">
        <v>9.1199999999999992</v>
      </c>
      <c r="EQ13" s="11">
        <v>25.7</v>
      </c>
      <c r="EW13" s="11">
        <v>111.95</v>
      </c>
      <c r="FF13" s="11">
        <v>31.35</v>
      </c>
      <c r="FJ13" s="11">
        <v>9.34</v>
      </c>
      <c r="FP13" s="11">
        <v>19.62</v>
      </c>
      <c r="FV13" s="11">
        <v>65.89</v>
      </c>
      <c r="GC13" s="11">
        <v>99.38</v>
      </c>
      <c r="GT13" s="11">
        <v>13.67</v>
      </c>
      <c r="GX13" s="11">
        <v>45.87</v>
      </c>
      <c r="HB13" s="11">
        <v>112.67</v>
      </c>
      <c r="HQ13" s="62">
        <f t="shared" si="0"/>
        <v>544.55999999999995</v>
      </c>
      <c r="HR13" s="62">
        <f t="shared" si="1"/>
        <v>9.0759999999999987</v>
      </c>
    </row>
    <row r="14" spans="1:237" s="33" customFormat="1" ht="12.95" customHeight="1" x14ac:dyDescent="0.2">
      <c r="A14" s="33">
        <v>73</v>
      </c>
      <c r="B14" s="33">
        <v>19</v>
      </c>
      <c r="D14" s="33">
        <v>7</v>
      </c>
      <c r="E14" s="33" t="s">
        <v>79</v>
      </c>
      <c r="F14" s="33">
        <v>1680781582</v>
      </c>
      <c r="G14" s="33" t="s">
        <v>81</v>
      </c>
      <c r="H14" s="33" t="s">
        <v>84</v>
      </c>
      <c r="I14" s="33" t="s">
        <v>324</v>
      </c>
      <c r="K14" s="24"/>
      <c r="L14" s="24"/>
      <c r="M14" s="33" t="s">
        <v>1319</v>
      </c>
      <c r="N14" s="33" t="s">
        <v>618</v>
      </c>
      <c r="P14" s="33" t="s">
        <v>87</v>
      </c>
      <c r="Q14" s="33" t="s">
        <v>1296</v>
      </c>
      <c r="R14" s="24"/>
      <c r="S14" s="33" t="s">
        <v>84</v>
      </c>
      <c r="T14" s="33" t="s">
        <v>84</v>
      </c>
      <c r="U14" s="33" t="s">
        <v>84</v>
      </c>
      <c r="V14" s="33" t="s">
        <v>82</v>
      </c>
      <c r="W14" s="33" t="s">
        <v>82</v>
      </c>
      <c r="X14" s="33" t="s">
        <v>84</v>
      </c>
      <c r="Y14" s="33" t="s">
        <v>84</v>
      </c>
      <c r="Z14" s="33" t="s">
        <v>84</v>
      </c>
      <c r="AB14" s="33" t="s">
        <v>82</v>
      </c>
      <c r="AD14" s="33" t="s">
        <v>82</v>
      </c>
      <c r="AG14" s="33" t="s">
        <v>84</v>
      </c>
      <c r="AH14" s="33" t="s">
        <v>1397</v>
      </c>
      <c r="AI14" s="33" t="s">
        <v>84</v>
      </c>
      <c r="AK14" s="33" t="s">
        <v>1398</v>
      </c>
      <c r="AL14" s="33" t="s">
        <v>126</v>
      </c>
      <c r="AM14" s="33" t="s">
        <v>91</v>
      </c>
      <c r="AO14" s="33" t="s">
        <v>80</v>
      </c>
      <c r="AP14" s="24"/>
      <c r="AQ14" s="33" t="s">
        <v>80</v>
      </c>
      <c r="AR14" s="33" t="s">
        <v>80</v>
      </c>
      <c r="AS14" s="33" t="s">
        <v>80</v>
      </c>
      <c r="AT14" s="33" t="s">
        <v>80</v>
      </c>
      <c r="AV14" s="24"/>
      <c r="AW14" s="33" t="s">
        <v>84</v>
      </c>
      <c r="AX14" s="33" t="s">
        <v>84</v>
      </c>
      <c r="AY14" s="33" t="s">
        <v>84</v>
      </c>
      <c r="AZ14" s="33" t="s">
        <v>84</v>
      </c>
      <c r="BB14" s="33" t="s">
        <v>84</v>
      </c>
      <c r="BC14" s="33" t="s">
        <v>80</v>
      </c>
      <c r="BD14" s="33" t="s">
        <v>113</v>
      </c>
      <c r="BE14" s="33" t="s">
        <v>100</v>
      </c>
      <c r="BF14" s="33" t="s">
        <v>100</v>
      </c>
      <c r="BG14" s="33" t="s">
        <v>84</v>
      </c>
      <c r="BH14" s="33" t="s">
        <v>84</v>
      </c>
      <c r="BI14" s="33" t="s">
        <v>1399</v>
      </c>
      <c r="BJ14" s="33" t="s">
        <v>84</v>
      </c>
      <c r="BK14" s="33" t="s">
        <v>80</v>
      </c>
      <c r="BL14" s="33">
        <v>1</v>
      </c>
      <c r="BM14" s="33">
        <v>3</v>
      </c>
      <c r="BN14" s="33">
        <v>4</v>
      </c>
      <c r="BO14" s="33">
        <v>5</v>
      </c>
      <c r="BP14" s="33">
        <v>1</v>
      </c>
      <c r="BQ14" s="33">
        <v>3</v>
      </c>
      <c r="BR14" s="24"/>
      <c r="BW14" s="24"/>
      <c r="BX14" s="33" t="s">
        <v>80</v>
      </c>
      <c r="BZ14" s="33" t="s">
        <v>80</v>
      </c>
      <c r="CB14" s="33" t="s">
        <v>80</v>
      </c>
      <c r="CD14" s="33" t="s">
        <v>80</v>
      </c>
      <c r="CH14" s="24"/>
      <c r="CI14" s="33" t="s">
        <v>80</v>
      </c>
      <c r="CK14" s="33" t="s">
        <v>80</v>
      </c>
      <c r="CM14" s="33" t="s">
        <v>80</v>
      </c>
      <c r="CR14" s="33" t="s">
        <v>80</v>
      </c>
      <c r="CW14" s="33" t="s">
        <v>80</v>
      </c>
      <c r="DA14" s="33" t="s">
        <v>80</v>
      </c>
      <c r="DC14" s="33" t="s">
        <v>80</v>
      </c>
      <c r="DD14" s="33" t="s">
        <v>80</v>
      </c>
      <c r="DE14" s="24"/>
      <c r="DF14" s="24"/>
      <c r="DV14" s="33" t="s">
        <v>80</v>
      </c>
      <c r="EB14" s="33" t="s">
        <v>80</v>
      </c>
      <c r="EF14" s="33" t="s">
        <v>80</v>
      </c>
      <c r="EG14" s="33" t="s">
        <v>80</v>
      </c>
      <c r="EH14" s="33" t="s">
        <v>80</v>
      </c>
      <c r="EM14" s="33">
        <v>871.82</v>
      </c>
      <c r="EN14" s="33">
        <v>22.26</v>
      </c>
      <c r="EQ14" s="33">
        <v>92.94</v>
      </c>
      <c r="EW14" s="33">
        <v>181.23</v>
      </c>
      <c r="FF14" s="33">
        <v>114.13</v>
      </c>
      <c r="FJ14" s="33">
        <v>72.599999999999994</v>
      </c>
      <c r="FP14" s="33">
        <v>56.32</v>
      </c>
      <c r="FV14" s="33">
        <v>332.34</v>
      </c>
      <c r="HQ14" s="63">
        <f t="shared" si="0"/>
        <v>871.82</v>
      </c>
      <c r="HR14" s="63"/>
    </row>
    <row r="15" spans="1:237" ht="12.95" customHeight="1" x14ac:dyDescent="0.2">
      <c r="A15" s="11">
        <v>74</v>
      </c>
      <c r="B15" s="11">
        <v>21</v>
      </c>
      <c r="C15" s="11" t="s">
        <v>83</v>
      </c>
      <c r="D15" s="11">
        <v>11</v>
      </c>
      <c r="E15" s="11" t="s">
        <v>79</v>
      </c>
      <c r="F15" s="11">
        <v>1130562449</v>
      </c>
      <c r="G15" s="11" t="s">
        <v>81</v>
      </c>
      <c r="H15" s="11" t="s">
        <v>84</v>
      </c>
      <c r="I15" s="28" t="s">
        <v>324</v>
      </c>
      <c r="J15" s="28"/>
      <c r="M15" s="28" t="s">
        <v>1319</v>
      </c>
      <c r="N15" s="28" t="s">
        <v>138</v>
      </c>
      <c r="O15" s="28"/>
      <c r="P15" s="28" t="s">
        <v>87</v>
      </c>
      <c r="Q15" s="28" t="s">
        <v>1296</v>
      </c>
      <c r="S15" s="28" t="s">
        <v>84</v>
      </c>
      <c r="T15" s="28" t="s">
        <v>84</v>
      </c>
      <c r="U15" s="28" t="s">
        <v>84</v>
      </c>
      <c r="V15" s="28" t="s">
        <v>82</v>
      </c>
      <c r="W15" s="28" t="s">
        <v>82</v>
      </c>
      <c r="X15" s="28" t="s">
        <v>82</v>
      </c>
      <c r="Y15" s="28" t="s">
        <v>82</v>
      </c>
      <c r="Z15" s="28" t="s">
        <v>82</v>
      </c>
      <c r="AA15" s="28"/>
      <c r="AB15" s="28" t="s">
        <v>82</v>
      </c>
      <c r="AC15" s="28"/>
      <c r="AD15" s="28" t="s">
        <v>82</v>
      </c>
      <c r="AE15" s="28"/>
      <c r="AF15" s="28"/>
      <c r="AG15" s="28" t="s">
        <v>82</v>
      </c>
      <c r="AH15" s="28"/>
      <c r="AI15" s="28" t="s">
        <v>84</v>
      </c>
      <c r="AJ15" s="28"/>
      <c r="AK15" s="28" t="s">
        <v>1400</v>
      </c>
      <c r="AL15" s="28" t="s">
        <v>126</v>
      </c>
      <c r="AM15" s="28" t="s">
        <v>91</v>
      </c>
      <c r="AN15" s="28"/>
      <c r="AO15" s="28" t="s">
        <v>80</v>
      </c>
      <c r="AQ15" s="28" t="s">
        <v>80</v>
      </c>
      <c r="AR15" s="28" t="s">
        <v>80</v>
      </c>
      <c r="AS15" s="28" t="s">
        <v>80</v>
      </c>
      <c r="AT15" s="28" t="s">
        <v>80</v>
      </c>
      <c r="AU15" s="28"/>
      <c r="AW15" s="28" t="s">
        <v>84</v>
      </c>
      <c r="AX15" s="28" t="s">
        <v>82</v>
      </c>
      <c r="AY15" s="28" t="s">
        <v>82</v>
      </c>
      <c r="AZ15" s="28" t="s">
        <v>84</v>
      </c>
      <c r="BA15" s="28"/>
      <c r="BB15" s="28" t="s">
        <v>84</v>
      </c>
      <c r="BC15" s="28" t="s">
        <v>80</v>
      </c>
      <c r="BD15" s="28" t="s">
        <v>93</v>
      </c>
      <c r="BE15" s="28" t="s">
        <v>93</v>
      </c>
      <c r="BF15" s="28" t="s">
        <v>340</v>
      </c>
      <c r="BG15" s="28" t="s">
        <v>82</v>
      </c>
      <c r="BH15" s="28" t="s">
        <v>84</v>
      </c>
      <c r="BI15" s="28" t="s">
        <v>1401</v>
      </c>
      <c r="BJ15" s="28" t="s">
        <v>84</v>
      </c>
      <c r="BK15" s="28" t="s">
        <v>80</v>
      </c>
      <c r="BL15" s="28">
        <v>5</v>
      </c>
      <c r="BM15" s="28">
        <v>5</v>
      </c>
      <c r="BN15" s="28">
        <v>1</v>
      </c>
      <c r="BO15" s="28">
        <v>1</v>
      </c>
      <c r="BP15" s="28">
        <v>5</v>
      </c>
      <c r="BQ15" s="28">
        <v>5</v>
      </c>
      <c r="BS15" s="28" t="s">
        <v>97</v>
      </c>
      <c r="BT15" s="28"/>
      <c r="BU15" s="28" t="s">
        <v>246</v>
      </c>
      <c r="BV15" s="28"/>
      <c r="BX15" s="28" t="s">
        <v>80</v>
      </c>
      <c r="BY15" s="28"/>
      <c r="BZ15" s="28" t="s">
        <v>80</v>
      </c>
      <c r="CA15" s="28"/>
      <c r="CB15" s="28" t="s">
        <v>80</v>
      </c>
      <c r="CC15" s="28"/>
      <c r="CD15" s="28" t="s">
        <v>80</v>
      </c>
      <c r="CE15" s="28"/>
      <c r="CF15" s="28"/>
      <c r="CG15" s="28"/>
      <c r="CI15" s="28" t="s">
        <v>82</v>
      </c>
      <c r="CJ15" s="28"/>
      <c r="CK15" s="28" t="s">
        <v>82</v>
      </c>
      <c r="CL15" s="28"/>
      <c r="CM15" s="28" t="s">
        <v>82</v>
      </c>
      <c r="CN15" s="28"/>
      <c r="CO15" s="28" t="s">
        <v>1402</v>
      </c>
      <c r="CP15" s="28" t="s">
        <v>1403</v>
      </c>
      <c r="CQ15" s="28" t="s">
        <v>99</v>
      </c>
      <c r="CR15" s="28" t="s">
        <v>80</v>
      </c>
      <c r="CS15" s="28"/>
      <c r="CT15" s="28"/>
      <c r="CU15" s="28"/>
      <c r="CV15" s="28"/>
      <c r="CW15" s="28" t="s">
        <v>84</v>
      </c>
      <c r="CX15" s="28" t="s">
        <v>1404</v>
      </c>
      <c r="CY15" s="28"/>
      <c r="CZ15" s="28"/>
      <c r="DA15" s="28" t="s">
        <v>82</v>
      </c>
      <c r="DB15" s="28"/>
      <c r="DC15" s="28" t="s">
        <v>82</v>
      </c>
      <c r="DD15" s="28" t="s">
        <v>82</v>
      </c>
      <c r="DG15" s="28">
        <v>3</v>
      </c>
      <c r="DH15" s="28">
        <v>3</v>
      </c>
      <c r="DI15" s="28">
        <v>1</v>
      </c>
      <c r="DJ15" s="28">
        <v>1</v>
      </c>
      <c r="DK15" s="28">
        <v>3</v>
      </c>
      <c r="DL15" s="28">
        <v>3</v>
      </c>
      <c r="DM15" s="28">
        <v>1</v>
      </c>
      <c r="DN15" s="28">
        <v>1</v>
      </c>
      <c r="DO15" s="28">
        <v>3</v>
      </c>
      <c r="DP15" s="28">
        <v>3</v>
      </c>
      <c r="DQ15" s="28">
        <v>3</v>
      </c>
      <c r="DR15" s="28">
        <v>3</v>
      </c>
      <c r="DS15" s="28" t="s">
        <v>99</v>
      </c>
      <c r="DT15" s="28" t="s">
        <v>84</v>
      </c>
      <c r="DU15" s="28"/>
      <c r="DV15" s="28" t="s">
        <v>84</v>
      </c>
      <c r="DW15" s="28" t="s">
        <v>93</v>
      </c>
      <c r="DX15" s="28" t="s">
        <v>81</v>
      </c>
      <c r="DY15" s="28"/>
      <c r="DZ15" s="28" t="s">
        <v>93</v>
      </c>
      <c r="EA15" s="28" t="s">
        <v>1405</v>
      </c>
      <c r="EB15" s="28" t="s">
        <v>82</v>
      </c>
      <c r="EC15" s="28"/>
      <c r="ED15" s="28" t="s">
        <v>246</v>
      </c>
      <c r="EE15" s="28"/>
      <c r="EF15" s="28" t="s">
        <v>82</v>
      </c>
      <c r="EG15" s="28" t="s">
        <v>84</v>
      </c>
      <c r="EH15" s="28" t="s">
        <v>84</v>
      </c>
      <c r="EI15" s="28" t="s">
        <v>1406</v>
      </c>
      <c r="EJ15" s="28" t="s">
        <v>1407</v>
      </c>
      <c r="EK15" s="28" t="s">
        <v>1408</v>
      </c>
      <c r="EL15" s="28" t="s">
        <v>1409</v>
      </c>
      <c r="EM15" s="11">
        <v>990.12</v>
      </c>
      <c r="EN15" s="11">
        <v>69.28</v>
      </c>
      <c r="EQ15" s="11">
        <v>40.64</v>
      </c>
      <c r="EW15" s="11">
        <v>40.659999999999997</v>
      </c>
      <c r="FF15" s="11">
        <v>157.96</v>
      </c>
      <c r="FJ15" s="11">
        <v>17.87</v>
      </c>
      <c r="FP15" s="11">
        <v>25.13</v>
      </c>
      <c r="FV15" s="11">
        <v>103.12</v>
      </c>
      <c r="GC15" s="11">
        <v>185.27</v>
      </c>
      <c r="GT15" s="11">
        <v>11.99</v>
      </c>
      <c r="GX15" s="11">
        <v>24.61</v>
      </c>
      <c r="HB15" s="11">
        <v>313.58999999999997</v>
      </c>
      <c r="HQ15" s="62">
        <f t="shared" si="0"/>
        <v>990.12</v>
      </c>
      <c r="HR15" s="62">
        <f>HQ15/60</f>
        <v>16.501999999999999</v>
      </c>
    </row>
    <row r="16" spans="1:237" s="33" customFormat="1" ht="12.95" customHeight="1" x14ac:dyDescent="0.2">
      <c r="A16" s="33">
        <v>75</v>
      </c>
      <c r="B16" s="33">
        <v>23</v>
      </c>
      <c r="D16" s="33">
        <v>7</v>
      </c>
      <c r="E16" s="33" t="s">
        <v>79</v>
      </c>
      <c r="F16" s="33">
        <v>1632167094</v>
      </c>
      <c r="G16" s="33" t="s">
        <v>81</v>
      </c>
      <c r="H16" s="33" t="s">
        <v>84</v>
      </c>
      <c r="I16" s="33" t="s">
        <v>324</v>
      </c>
      <c r="K16" s="24"/>
      <c r="L16" s="24"/>
      <c r="M16" s="33" t="s">
        <v>1319</v>
      </c>
      <c r="N16" s="33" t="s">
        <v>108</v>
      </c>
      <c r="P16" s="33" t="s">
        <v>253</v>
      </c>
      <c r="Q16" s="33" t="s">
        <v>1375</v>
      </c>
      <c r="R16" s="24"/>
      <c r="S16" s="33" t="s">
        <v>84</v>
      </c>
      <c r="T16" s="33" t="s">
        <v>84</v>
      </c>
      <c r="U16" s="33" t="s">
        <v>84</v>
      </c>
      <c r="V16" s="33" t="s">
        <v>84</v>
      </c>
      <c r="W16" s="33" t="s">
        <v>82</v>
      </c>
      <c r="X16" s="33" t="s">
        <v>82</v>
      </c>
      <c r="Y16" s="33" t="s">
        <v>82</v>
      </c>
      <c r="Z16" s="33" t="s">
        <v>84</v>
      </c>
      <c r="AB16" s="33" t="s">
        <v>82</v>
      </c>
      <c r="AD16" s="33" t="s">
        <v>82</v>
      </c>
      <c r="AG16" s="33" t="s">
        <v>84</v>
      </c>
      <c r="AI16" s="33" t="s">
        <v>84</v>
      </c>
      <c r="AK16" s="33" t="s">
        <v>1410</v>
      </c>
      <c r="AL16" s="33" t="s">
        <v>90</v>
      </c>
      <c r="AM16" s="33" t="s">
        <v>111</v>
      </c>
      <c r="AO16" s="33" t="s">
        <v>80</v>
      </c>
      <c r="AP16" s="24"/>
      <c r="AQ16" s="33" t="s">
        <v>84</v>
      </c>
      <c r="AR16" s="33" t="s">
        <v>84</v>
      </c>
      <c r="AS16" s="33" t="s">
        <v>84</v>
      </c>
      <c r="AT16" s="33" t="s">
        <v>84</v>
      </c>
      <c r="AV16" s="24"/>
      <c r="AW16" s="33" t="s">
        <v>80</v>
      </c>
      <c r="AX16" s="33" t="s">
        <v>80</v>
      </c>
      <c r="AY16" s="33" t="s">
        <v>80</v>
      </c>
      <c r="AZ16" s="33" t="s">
        <v>80</v>
      </c>
      <c r="BB16" s="33" t="s">
        <v>84</v>
      </c>
      <c r="BC16" s="33" t="s">
        <v>80</v>
      </c>
      <c r="BD16" s="33" t="s">
        <v>100</v>
      </c>
      <c r="BE16" s="33" t="s">
        <v>100</v>
      </c>
      <c r="BF16" s="33" t="s">
        <v>113</v>
      </c>
      <c r="BG16" s="33" t="s">
        <v>82</v>
      </c>
      <c r="BH16" s="33" t="s">
        <v>84</v>
      </c>
      <c r="BI16" s="33" t="s">
        <v>1411</v>
      </c>
      <c r="BJ16" s="33" t="s">
        <v>84</v>
      </c>
      <c r="BK16" s="33" t="s">
        <v>80</v>
      </c>
      <c r="BL16" s="33">
        <v>2</v>
      </c>
      <c r="BM16" s="33">
        <v>4</v>
      </c>
      <c r="BN16" s="33">
        <v>2</v>
      </c>
      <c r="BO16" s="33">
        <v>3</v>
      </c>
      <c r="BP16" s="33">
        <v>2</v>
      </c>
      <c r="BQ16" s="33">
        <v>4</v>
      </c>
      <c r="BR16" s="24"/>
      <c r="BW16" s="24"/>
      <c r="BX16" s="33" t="s">
        <v>80</v>
      </c>
      <c r="BZ16" s="33" t="s">
        <v>80</v>
      </c>
      <c r="CB16" s="33" t="s">
        <v>80</v>
      </c>
      <c r="CD16" s="33" t="s">
        <v>80</v>
      </c>
      <c r="CH16" s="24"/>
      <c r="CI16" s="33" t="s">
        <v>80</v>
      </c>
      <c r="CK16" s="33" t="s">
        <v>80</v>
      </c>
      <c r="CM16" s="33" t="s">
        <v>80</v>
      </c>
      <c r="CR16" s="33" t="s">
        <v>80</v>
      </c>
      <c r="CW16" s="33" t="s">
        <v>80</v>
      </c>
      <c r="DA16" s="33" t="s">
        <v>80</v>
      </c>
      <c r="DC16" s="33" t="s">
        <v>80</v>
      </c>
      <c r="DD16" s="33" t="s">
        <v>80</v>
      </c>
      <c r="DE16" s="24"/>
      <c r="DF16" s="24"/>
      <c r="DV16" s="33" t="s">
        <v>80</v>
      </c>
      <c r="EB16" s="33" t="s">
        <v>80</v>
      </c>
      <c r="EF16" s="33" t="s">
        <v>80</v>
      </c>
      <c r="EG16" s="33" t="s">
        <v>80</v>
      </c>
      <c r="EH16" s="33" t="s">
        <v>80</v>
      </c>
      <c r="EM16" s="33">
        <v>454.2</v>
      </c>
      <c r="EN16" s="33">
        <v>24.83</v>
      </c>
      <c r="EQ16" s="33">
        <v>68.45</v>
      </c>
      <c r="EW16" s="33">
        <v>40.76</v>
      </c>
      <c r="FF16" s="33">
        <v>130.08000000000001</v>
      </c>
      <c r="FJ16" s="33">
        <v>19.78</v>
      </c>
      <c r="FP16" s="33">
        <v>50.07</v>
      </c>
      <c r="FV16" s="33">
        <v>120.23</v>
      </c>
      <c r="HQ16" s="63">
        <f t="shared" si="0"/>
        <v>454.2</v>
      </c>
      <c r="HR16" s="63"/>
    </row>
    <row r="17" spans="1:226" ht="12.95" customHeight="1" x14ac:dyDescent="0.2">
      <c r="A17" s="11">
        <v>76</v>
      </c>
      <c r="B17" s="11">
        <v>26</v>
      </c>
      <c r="C17" s="11" t="s">
        <v>83</v>
      </c>
      <c r="D17" s="11">
        <v>11</v>
      </c>
      <c r="E17" s="11" t="s">
        <v>79</v>
      </c>
      <c r="F17" s="11">
        <v>1539655796</v>
      </c>
      <c r="G17" s="11" t="s">
        <v>81</v>
      </c>
      <c r="H17" s="11" t="s">
        <v>84</v>
      </c>
      <c r="I17" s="28" t="s">
        <v>119</v>
      </c>
      <c r="J17" s="28" t="s">
        <v>289</v>
      </c>
      <c r="M17" s="28" t="s">
        <v>1294</v>
      </c>
      <c r="N17" s="28" t="s">
        <v>86</v>
      </c>
      <c r="O17" s="28"/>
      <c r="P17" s="28" t="s">
        <v>290</v>
      </c>
      <c r="Q17" s="28" t="s">
        <v>1296</v>
      </c>
      <c r="S17" s="28" t="s">
        <v>84</v>
      </c>
      <c r="T17" s="28" t="s">
        <v>84</v>
      </c>
      <c r="U17" s="28" t="s">
        <v>84</v>
      </c>
      <c r="V17" s="28" t="s">
        <v>82</v>
      </c>
      <c r="W17" s="28" t="s">
        <v>82</v>
      </c>
      <c r="X17" s="28" t="s">
        <v>82</v>
      </c>
      <c r="Y17" s="28" t="s">
        <v>82</v>
      </c>
      <c r="Z17" s="28" t="s">
        <v>84</v>
      </c>
      <c r="AA17" s="28"/>
      <c r="AB17" s="28" t="s">
        <v>82</v>
      </c>
      <c r="AC17" s="28"/>
      <c r="AD17" s="28" t="s">
        <v>82</v>
      </c>
      <c r="AE17" s="28"/>
      <c r="AF17" s="28"/>
      <c r="AG17" s="28" t="s">
        <v>82</v>
      </c>
      <c r="AH17" s="28" t="s">
        <v>1412</v>
      </c>
      <c r="AI17" s="28" t="s">
        <v>145</v>
      </c>
      <c r="AJ17" s="28"/>
      <c r="AK17" s="28"/>
      <c r="AL17" s="28" t="s">
        <v>140</v>
      </c>
      <c r="AM17" s="28" t="s">
        <v>91</v>
      </c>
      <c r="AN17" s="28"/>
      <c r="AO17" s="28" t="s">
        <v>80</v>
      </c>
      <c r="AQ17" s="28" t="s">
        <v>80</v>
      </c>
      <c r="AR17" s="28" t="s">
        <v>80</v>
      </c>
      <c r="AS17" s="28" t="s">
        <v>80</v>
      </c>
      <c r="AT17" s="28" t="s">
        <v>80</v>
      </c>
      <c r="AU17" s="28"/>
      <c r="AW17" s="28" t="s">
        <v>84</v>
      </c>
      <c r="AX17" s="28" t="s">
        <v>84</v>
      </c>
      <c r="AY17" s="28" t="s">
        <v>84</v>
      </c>
      <c r="AZ17" s="28" t="s">
        <v>84</v>
      </c>
      <c r="BA17" s="28"/>
      <c r="BB17" s="28" t="s">
        <v>84</v>
      </c>
      <c r="BC17" s="28" t="s">
        <v>80</v>
      </c>
      <c r="BD17" s="28" t="s">
        <v>93</v>
      </c>
      <c r="BE17" s="28" t="s">
        <v>93</v>
      </c>
      <c r="BF17" s="28" t="s">
        <v>340</v>
      </c>
      <c r="BG17" s="28" t="s">
        <v>145</v>
      </c>
      <c r="BH17" s="28" t="s">
        <v>82</v>
      </c>
      <c r="BI17" s="28"/>
      <c r="BJ17" s="28" t="s">
        <v>84</v>
      </c>
      <c r="BK17" s="28" t="s">
        <v>80</v>
      </c>
      <c r="BL17" s="28">
        <v>5</v>
      </c>
      <c r="BM17" s="28">
        <v>3</v>
      </c>
      <c r="BN17" s="28">
        <v>1</v>
      </c>
      <c r="BO17" s="28">
        <v>1</v>
      </c>
      <c r="BP17" s="28">
        <v>5</v>
      </c>
      <c r="BQ17" s="28">
        <v>3</v>
      </c>
      <c r="BS17" s="28" t="s">
        <v>118</v>
      </c>
      <c r="BT17" s="28"/>
      <c r="BU17" s="28"/>
      <c r="BV17" s="28"/>
      <c r="BX17" s="28" t="s">
        <v>82</v>
      </c>
      <c r="BY17" s="28"/>
      <c r="BZ17" s="28" t="s">
        <v>84</v>
      </c>
      <c r="CA17" s="28" t="s">
        <v>1413</v>
      </c>
      <c r="CB17" s="28" t="s">
        <v>82</v>
      </c>
      <c r="CC17" s="28"/>
      <c r="CD17" s="28" t="s">
        <v>82</v>
      </c>
      <c r="CE17" s="28"/>
      <c r="CF17" s="28"/>
      <c r="CG17" s="28"/>
      <c r="CI17" s="28" t="s">
        <v>82</v>
      </c>
      <c r="CJ17" s="28"/>
      <c r="CK17" s="28" t="s">
        <v>82</v>
      </c>
      <c r="CL17" s="28"/>
      <c r="CM17" s="28" t="s">
        <v>84</v>
      </c>
      <c r="CN17" s="28" t="s">
        <v>1414</v>
      </c>
      <c r="CO17" s="28"/>
      <c r="CP17" s="28"/>
      <c r="CQ17" s="28" t="s">
        <v>99</v>
      </c>
      <c r="CR17" s="28" t="s">
        <v>80</v>
      </c>
      <c r="CS17" s="28" t="s">
        <v>99</v>
      </c>
      <c r="CT17" s="28"/>
      <c r="CU17" s="28"/>
      <c r="CV17" s="28"/>
      <c r="CW17" s="28" t="s">
        <v>84</v>
      </c>
      <c r="CX17" s="28" t="s">
        <v>1415</v>
      </c>
      <c r="CY17" s="28"/>
      <c r="CZ17" s="28"/>
      <c r="DA17" s="28" t="s">
        <v>84</v>
      </c>
      <c r="DB17" s="28" t="s">
        <v>1416</v>
      </c>
      <c r="DC17" s="28" t="s">
        <v>84</v>
      </c>
      <c r="DD17" s="28" t="s">
        <v>84</v>
      </c>
      <c r="DG17" s="28">
        <v>1</v>
      </c>
      <c r="DH17" s="28">
        <v>5</v>
      </c>
      <c r="DI17" s="28">
        <v>1</v>
      </c>
      <c r="DJ17" s="28">
        <v>5</v>
      </c>
      <c r="DK17" s="28">
        <v>1</v>
      </c>
      <c r="DL17" s="28">
        <v>5</v>
      </c>
      <c r="DM17" s="28">
        <v>1</v>
      </c>
      <c r="DN17" s="28">
        <v>5</v>
      </c>
      <c r="DO17" s="28">
        <v>1</v>
      </c>
      <c r="DP17" s="28">
        <v>5</v>
      </c>
      <c r="DQ17" s="28">
        <v>1</v>
      </c>
      <c r="DR17" s="28">
        <v>5</v>
      </c>
      <c r="DS17" s="28" t="s">
        <v>99</v>
      </c>
      <c r="DT17" s="28" t="s">
        <v>106</v>
      </c>
      <c r="DU17" s="28"/>
      <c r="DV17" s="28" t="s">
        <v>84</v>
      </c>
      <c r="DW17" s="28" t="s">
        <v>100</v>
      </c>
      <c r="DX17" s="28" t="s">
        <v>246</v>
      </c>
      <c r="DY17" s="28"/>
      <c r="DZ17" s="28" t="s">
        <v>113</v>
      </c>
      <c r="EA17" s="28"/>
      <c r="EB17" s="28" t="s">
        <v>82</v>
      </c>
      <c r="EC17" s="28"/>
      <c r="ED17" s="28" t="s">
        <v>246</v>
      </c>
      <c r="EE17" s="28" t="s">
        <v>1417</v>
      </c>
      <c r="EF17" s="28" t="s">
        <v>84</v>
      </c>
      <c r="EG17" s="28" t="s">
        <v>82</v>
      </c>
      <c r="EH17" s="28" t="s">
        <v>84</v>
      </c>
      <c r="EI17" s="28" t="s">
        <v>1418</v>
      </c>
      <c r="EJ17" s="28" t="s">
        <v>1419</v>
      </c>
      <c r="EK17" s="28" t="s">
        <v>1420</v>
      </c>
      <c r="EL17" s="28" t="s">
        <v>1421</v>
      </c>
      <c r="EM17" s="11">
        <v>594.53</v>
      </c>
      <c r="EN17" s="11">
        <v>16.16</v>
      </c>
      <c r="EQ17" s="11">
        <v>42.25</v>
      </c>
      <c r="EW17" s="11">
        <v>41.99</v>
      </c>
      <c r="FF17" s="11">
        <v>16.29</v>
      </c>
      <c r="FJ17" s="11">
        <v>16.98</v>
      </c>
      <c r="FP17" s="11">
        <v>26.1</v>
      </c>
      <c r="FV17" s="11">
        <v>90.41</v>
      </c>
      <c r="GC17" s="11">
        <v>144.13999999999999</v>
      </c>
      <c r="GT17" s="11">
        <v>12.12</v>
      </c>
      <c r="GX17" s="11">
        <v>12.87</v>
      </c>
      <c r="HB17" s="11">
        <v>175.22</v>
      </c>
      <c r="HQ17" s="62">
        <f t="shared" si="0"/>
        <v>594.53</v>
      </c>
      <c r="HR17" s="62">
        <f t="shared" ref="HR17:HR26" si="2">HQ17/60</f>
        <v>9.908833333333332</v>
      </c>
    </row>
    <row r="18" spans="1:226" ht="12.95" customHeight="1" x14ac:dyDescent="0.2">
      <c r="A18" s="11">
        <v>77</v>
      </c>
      <c r="B18" s="11">
        <v>27</v>
      </c>
      <c r="C18" s="11" t="s">
        <v>83</v>
      </c>
      <c r="D18" s="11">
        <v>11</v>
      </c>
      <c r="E18" s="11" t="s">
        <v>79</v>
      </c>
      <c r="F18" s="11">
        <v>429166999</v>
      </c>
      <c r="G18" s="11" t="s">
        <v>81</v>
      </c>
      <c r="H18" s="11" t="s">
        <v>84</v>
      </c>
      <c r="I18" s="28" t="s">
        <v>161</v>
      </c>
      <c r="J18" s="28"/>
      <c r="M18" s="28" t="s">
        <v>1319</v>
      </c>
      <c r="N18" s="28" t="s">
        <v>618</v>
      </c>
      <c r="O18" s="28"/>
      <c r="P18" s="28" t="s">
        <v>253</v>
      </c>
      <c r="Q18" s="28" t="s">
        <v>1358</v>
      </c>
      <c r="S18" s="28" t="s">
        <v>84</v>
      </c>
      <c r="T18" s="28" t="s">
        <v>84</v>
      </c>
      <c r="U18" s="28" t="s">
        <v>84</v>
      </c>
      <c r="V18" s="28" t="s">
        <v>84</v>
      </c>
      <c r="W18" s="28" t="s">
        <v>82</v>
      </c>
      <c r="X18" s="28" t="s">
        <v>82</v>
      </c>
      <c r="Y18" s="28" t="s">
        <v>82</v>
      </c>
      <c r="Z18" s="28" t="s">
        <v>82</v>
      </c>
      <c r="AA18" s="28"/>
      <c r="AB18" s="28" t="s">
        <v>84</v>
      </c>
      <c r="AC18" s="28" t="s">
        <v>1422</v>
      </c>
      <c r="AD18" s="28" t="s">
        <v>82</v>
      </c>
      <c r="AE18" s="28"/>
      <c r="AF18" s="28"/>
      <c r="AG18" s="28" t="s">
        <v>84</v>
      </c>
      <c r="AH18" s="28" t="s">
        <v>246</v>
      </c>
      <c r="AI18" s="28" t="s">
        <v>84</v>
      </c>
      <c r="AJ18" s="28"/>
      <c r="AK18" s="28" t="s">
        <v>1423</v>
      </c>
      <c r="AL18" s="28" t="s">
        <v>126</v>
      </c>
      <c r="AM18" s="28" t="s">
        <v>91</v>
      </c>
      <c r="AN18" s="28"/>
      <c r="AO18" s="28" t="s">
        <v>80</v>
      </c>
      <c r="AQ18" s="28" t="s">
        <v>80</v>
      </c>
      <c r="AR18" s="28" t="s">
        <v>80</v>
      </c>
      <c r="AS18" s="28" t="s">
        <v>80</v>
      </c>
      <c r="AT18" s="28" t="s">
        <v>80</v>
      </c>
      <c r="AU18" s="28"/>
      <c r="AW18" s="28" t="s">
        <v>84</v>
      </c>
      <c r="AX18" s="28" t="s">
        <v>82</v>
      </c>
      <c r="AY18" s="28" t="s">
        <v>82</v>
      </c>
      <c r="AZ18" s="28" t="s">
        <v>84</v>
      </c>
      <c r="BA18" s="28"/>
      <c r="BB18" s="28" t="s">
        <v>84</v>
      </c>
      <c r="BC18" s="28" t="s">
        <v>80</v>
      </c>
      <c r="BD18" s="28" t="s">
        <v>113</v>
      </c>
      <c r="BE18" s="28" t="s">
        <v>100</v>
      </c>
      <c r="BF18" s="28" t="s">
        <v>112</v>
      </c>
      <c r="BG18" s="28" t="s">
        <v>84</v>
      </c>
      <c r="BH18" s="28" t="s">
        <v>84</v>
      </c>
      <c r="BI18" s="28" t="s">
        <v>1424</v>
      </c>
      <c r="BJ18" s="28" t="s">
        <v>84</v>
      </c>
      <c r="BK18" s="28" t="s">
        <v>80</v>
      </c>
      <c r="BL18" s="28">
        <v>3</v>
      </c>
      <c r="BM18" s="28">
        <v>4</v>
      </c>
      <c r="BN18" s="28">
        <v>3</v>
      </c>
      <c r="BO18" s="28">
        <v>5</v>
      </c>
      <c r="BP18" s="28">
        <v>3</v>
      </c>
      <c r="BQ18" s="28">
        <v>4</v>
      </c>
      <c r="BS18" s="28" t="s">
        <v>99</v>
      </c>
      <c r="BT18" s="28"/>
      <c r="BU18" s="28"/>
      <c r="BV18" s="28"/>
      <c r="BX18" s="28" t="s">
        <v>84</v>
      </c>
      <c r="BY18" s="28"/>
      <c r="BZ18" s="28" t="s">
        <v>84</v>
      </c>
      <c r="CA18" s="28"/>
      <c r="CB18" s="28" t="s">
        <v>82</v>
      </c>
      <c r="CC18" s="28"/>
      <c r="CD18" s="28" t="s">
        <v>82</v>
      </c>
      <c r="CE18" s="28"/>
      <c r="CF18" s="28"/>
      <c r="CG18" s="28"/>
      <c r="CI18" s="28" t="s">
        <v>84</v>
      </c>
      <c r="CJ18" s="28"/>
      <c r="CK18" s="28" t="s">
        <v>82</v>
      </c>
      <c r="CL18" s="28"/>
      <c r="CM18" s="28" t="s">
        <v>82</v>
      </c>
      <c r="CN18" s="28"/>
      <c r="CO18" s="28"/>
      <c r="CP18" s="28"/>
      <c r="CQ18" s="28" t="s">
        <v>99</v>
      </c>
      <c r="CR18" s="28" t="s">
        <v>80</v>
      </c>
      <c r="CS18" s="28" t="s">
        <v>99</v>
      </c>
      <c r="CT18" s="28"/>
      <c r="CU18" s="28"/>
      <c r="CV18" s="28"/>
      <c r="CW18" s="28" t="s">
        <v>82</v>
      </c>
      <c r="CX18" s="28"/>
      <c r="CY18" s="28" t="s">
        <v>81</v>
      </c>
      <c r="CZ18" s="28"/>
      <c r="DA18" s="28" t="s">
        <v>82</v>
      </c>
      <c r="DB18" s="28"/>
      <c r="DC18" s="28" t="s">
        <v>84</v>
      </c>
      <c r="DD18" s="28" t="s">
        <v>84</v>
      </c>
      <c r="DG18" s="28">
        <v>5</v>
      </c>
      <c r="DH18" s="28">
        <v>5</v>
      </c>
      <c r="DI18" s="28">
        <v>5</v>
      </c>
      <c r="DJ18" s="28">
        <v>5</v>
      </c>
      <c r="DK18" s="28">
        <v>3</v>
      </c>
      <c r="DL18" s="28">
        <v>3</v>
      </c>
      <c r="DM18" s="28">
        <v>5</v>
      </c>
      <c r="DN18" s="28">
        <v>5</v>
      </c>
      <c r="DO18" s="28">
        <v>5</v>
      </c>
      <c r="DP18" s="28">
        <v>5</v>
      </c>
      <c r="DQ18" s="28">
        <v>5</v>
      </c>
      <c r="DR18" s="28">
        <v>5</v>
      </c>
      <c r="DS18" s="28" t="s">
        <v>99</v>
      </c>
      <c r="DT18" s="28" t="s">
        <v>82</v>
      </c>
      <c r="DU18" s="28" t="s">
        <v>1425</v>
      </c>
      <c r="DV18" s="28" t="s">
        <v>84</v>
      </c>
      <c r="DW18" s="28" t="s">
        <v>100</v>
      </c>
      <c r="DX18" s="28" t="s">
        <v>81</v>
      </c>
      <c r="DY18" s="28"/>
      <c r="DZ18" s="28" t="s">
        <v>100</v>
      </c>
      <c r="EA18" s="28"/>
      <c r="EB18" s="28" t="s">
        <v>82</v>
      </c>
      <c r="EC18" s="28"/>
      <c r="ED18" s="28" t="s">
        <v>81</v>
      </c>
      <c r="EE18" s="28" t="s">
        <v>1426</v>
      </c>
      <c r="EF18" s="28" t="s">
        <v>84</v>
      </c>
      <c r="EG18" s="28" t="s">
        <v>82</v>
      </c>
      <c r="EH18" s="28" t="s">
        <v>84</v>
      </c>
      <c r="EI18" s="28" t="s">
        <v>1427</v>
      </c>
      <c r="EJ18" s="28"/>
      <c r="EK18" s="28"/>
      <c r="EL18" s="28" t="s">
        <v>1428</v>
      </c>
      <c r="EM18" s="11">
        <v>3371.29</v>
      </c>
      <c r="EN18" s="11">
        <v>503.62</v>
      </c>
      <c r="EQ18" s="11">
        <v>107.46</v>
      </c>
      <c r="EW18" s="11">
        <v>185.76</v>
      </c>
      <c r="FF18" s="11">
        <v>164.36</v>
      </c>
      <c r="FJ18" s="11">
        <v>66.55</v>
      </c>
      <c r="FP18" s="11">
        <v>37.68</v>
      </c>
      <c r="FV18" s="11">
        <v>115.65</v>
      </c>
      <c r="GC18" s="11">
        <v>1531.84</v>
      </c>
      <c r="GT18" s="11">
        <v>169.8</v>
      </c>
      <c r="GX18" s="11">
        <v>123.14</v>
      </c>
      <c r="HB18" s="11">
        <v>365.43</v>
      </c>
      <c r="HQ18" s="62">
        <f t="shared" si="0"/>
        <v>3371.29</v>
      </c>
      <c r="HR18" s="62">
        <f t="shared" si="2"/>
        <v>56.188166666666667</v>
      </c>
    </row>
    <row r="19" spans="1:226" ht="12.95" customHeight="1" x14ac:dyDescent="0.2">
      <c r="A19" s="11">
        <v>78</v>
      </c>
      <c r="B19" s="11">
        <v>28</v>
      </c>
      <c r="C19" s="11" t="s">
        <v>83</v>
      </c>
      <c r="D19" s="11">
        <v>11</v>
      </c>
      <c r="E19" s="11" t="s">
        <v>79</v>
      </c>
      <c r="F19" s="11">
        <v>623639380</v>
      </c>
      <c r="G19" s="11" t="s">
        <v>81</v>
      </c>
      <c r="H19" s="11" t="s">
        <v>84</v>
      </c>
      <c r="I19" s="28" t="s">
        <v>105</v>
      </c>
      <c r="J19" s="28"/>
      <c r="M19" s="28" t="s">
        <v>1319</v>
      </c>
      <c r="N19" s="28" t="s">
        <v>618</v>
      </c>
      <c r="O19" s="28"/>
      <c r="P19" s="28" t="s">
        <v>87</v>
      </c>
      <c r="Q19" s="28" t="s">
        <v>1358</v>
      </c>
      <c r="S19" s="28" t="s">
        <v>84</v>
      </c>
      <c r="T19" s="28" t="s">
        <v>84</v>
      </c>
      <c r="U19" s="28" t="s">
        <v>84</v>
      </c>
      <c r="V19" s="28" t="s">
        <v>82</v>
      </c>
      <c r="W19" s="28" t="s">
        <v>82</v>
      </c>
      <c r="X19" s="28" t="s">
        <v>82</v>
      </c>
      <c r="Y19" s="28" t="s">
        <v>82</v>
      </c>
      <c r="Z19" s="28" t="s">
        <v>82</v>
      </c>
      <c r="AA19" s="28"/>
      <c r="AB19" s="28" t="s">
        <v>82</v>
      </c>
      <c r="AC19" s="28"/>
      <c r="AD19" s="28" t="s">
        <v>82</v>
      </c>
      <c r="AE19" s="28"/>
      <c r="AF19" s="28"/>
      <c r="AG19" s="28" t="s">
        <v>82</v>
      </c>
      <c r="AH19" s="28"/>
      <c r="AI19" s="28" t="s">
        <v>84</v>
      </c>
      <c r="AJ19" s="28"/>
      <c r="AK19" s="28"/>
      <c r="AL19" s="28" t="s">
        <v>126</v>
      </c>
      <c r="AM19" s="28" t="s">
        <v>111</v>
      </c>
      <c r="AN19" s="28"/>
      <c r="AO19" s="28" t="s">
        <v>80</v>
      </c>
      <c r="AQ19" s="28" t="s">
        <v>84</v>
      </c>
      <c r="AR19" s="28" t="s">
        <v>84</v>
      </c>
      <c r="AS19" s="28" t="s">
        <v>82</v>
      </c>
      <c r="AT19" s="28" t="s">
        <v>84</v>
      </c>
      <c r="AU19" s="28"/>
      <c r="AW19" s="28" t="s">
        <v>80</v>
      </c>
      <c r="AX19" s="28" t="s">
        <v>80</v>
      </c>
      <c r="AY19" s="28" t="s">
        <v>80</v>
      </c>
      <c r="AZ19" s="28" t="s">
        <v>80</v>
      </c>
      <c r="BA19" s="28"/>
      <c r="BB19" s="28" t="s">
        <v>82</v>
      </c>
      <c r="BC19" s="28" t="s">
        <v>82</v>
      </c>
      <c r="BD19" s="28" t="s">
        <v>93</v>
      </c>
      <c r="BE19" s="28" t="s">
        <v>113</v>
      </c>
      <c r="BF19" s="28" t="s">
        <v>113</v>
      </c>
      <c r="BG19" s="28" t="s">
        <v>84</v>
      </c>
      <c r="BH19" s="28" t="s">
        <v>84</v>
      </c>
      <c r="BI19" s="28"/>
      <c r="BJ19" s="28" t="s">
        <v>84</v>
      </c>
      <c r="BK19" s="28" t="s">
        <v>80</v>
      </c>
      <c r="BL19" s="28">
        <v>3</v>
      </c>
      <c r="BM19" s="28">
        <v>3</v>
      </c>
      <c r="BN19" s="28">
        <v>1</v>
      </c>
      <c r="BO19" s="28">
        <v>1</v>
      </c>
      <c r="BP19" s="28">
        <v>5</v>
      </c>
      <c r="BQ19" s="28">
        <v>1</v>
      </c>
      <c r="BS19" s="28" t="s">
        <v>97</v>
      </c>
      <c r="BT19" s="28"/>
      <c r="BU19" s="28" t="s">
        <v>246</v>
      </c>
      <c r="BV19" s="28"/>
      <c r="BX19" s="28" t="s">
        <v>80</v>
      </c>
      <c r="BY19" s="28"/>
      <c r="BZ19" s="28" t="s">
        <v>80</v>
      </c>
      <c r="CA19" s="28"/>
      <c r="CB19" s="28" t="s">
        <v>80</v>
      </c>
      <c r="CC19" s="28"/>
      <c r="CD19" s="28" t="s">
        <v>80</v>
      </c>
      <c r="CE19" s="28"/>
      <c r="CF19" s="28"/>
      <c r="CG19" s="28"/>
      <c r="CI19" s="28" t="s">
        <v>84</v>
      </c>
      <c r="CJ19" s="28"/>
      <c r="CK19" s="28" t="s">
        <v>84</v>
      </c>
      <c r="CL19" s="28"/>
      <c r="CM19" s="28" t="s">
        <v>84</v>
      </c>
      <c r="CN19" s="28"/>
      <c r="CO19" s="28"/>
      <c r="CP19" s="28"/>
      <c r="CQ19" s="28" t="s">
        <v>97</v>
      </c>
      <c r="CR19" s="28" t="s">
        <v>84</v>
      </c>
      <c r="CS19" s="28" t="s">
        <v>97</v>
      </c>
      <c r="CT19" s="28"/>
      <c r="CU19" s="28" t="s">
        <v>246</v>
      </c>
      <c r="CV19" s="28"/>
      <c r="CW19" s="28" t="s">
        <v>82</v>
      </c>
      <c r="CX19" s="28"/>
      <c r="CY19" s="28" t="s">
        <v>81</v>
      </c>
      <c r="CZ19" s="28"/>
      <c r="DA19" s="28" t="s">
        <v>82</v>
      </c>
      <c r="DB19" s="28"/>
      <c r="DC19" s="28" t="s">
        <v>82</v>
      </c>
      <c r="DD19" s="28" t="s">
        <v>82</v>
      </c>
      <c r="DG19" s="28">
        <v>5</v>
      </c>
      <c r="DH19" s="28">
        <v>5</v>
      </c>
      <c r="DI19" s="28">
        <v>5</v>
      </c>
      <c r="DJ19" s="28">
        <v>5</v>
      </c>
      <c r="DK19" s="28">
        <v>1</v>
      </c>
      <c r="DL19" s="28">
        <v>3</v>
      </c>
      <c r="DM19" s="28">
        <v>1</v>
      </c>
      <c r="DN19" s="28">
        <v>3</v>
      </c>
      <c r="DO19" s="28">
        <v>5</v>
      </c>
      <c r="DP19" s="28">
        <v>5</v>
      </c>
      <c r="DQ19" s="28">
        <v>1</v>
      </c>
      <c r="DR19" s="28">
        <v>3</v>
      </c>
      <c r="DS19" s="28" t="s">
        <v>118</v>
      </c>
      <c r="DT19" s="28" t="s">
        <v>84</v>
      </c>
      <c r="DU19" s="28"/>
      <c r="DV19" s="28" t="s">
        <v>84</v>
      </c>
      <c r="DW19" s="28" t="s">
        <v>100</v>
      </c>
      <c r="DX19" s="28" t="s">
        <v>81</v>
      </c>
      <c r="DY19" s="28"/>
      <c r="DZ19" s="28" t="s">
        <v>113</v>
      </c>
      <c r="EA19" s="28"/>
      <c r="EB19" s="28" t="s">
        <v>82</v>
      </c>
      <c r="EC19" s="28"/>
      <c r="ED19" s="28" t="s">
        <v>246</v>
      </c>
      <c r="EE19" s="28"/>
      <c r="EF19" s="28" t="s">
        <v>82</v>
      </c>
      <c r="EG19" s="28" t="s">
        <v>82</v>
      </c>
      <c r="EH19" s="28" t="s">
        <v>84</v>
      </c>
      <c r="EI19" s="28"/>
      <c r="EJ19" s="28"/>
      <c r="EK19" s="28"/>
      <c r="EL19" s="28"/>
      <c r="EM19" s="11">
        <v>652.69000000000005</v>
      </c>
      <c r="EN19" s="11">
        <v>29.78</v>
      </c>
      <c r="EQ19" s="11">
        <v>79.55</v>
      </c>
      <c r="EW19" s="11">
        <v>29.12</v>
      </c>
      <c r="FF19" s="11">
        <v>29.12</v>
      </c>
      <c r="FJ19" s="11">
        <v>11.85</v>
      </c>
      <c r="FP19" s="11">
        <v>37.68</v>
      </c>
      <c r="FV19" s="11">
        <v>143.27000000000001</v>
      </c>
      <c r="GC19" s="11">
        <v>190.95</v>
      </c>
      <c r="GT19" s="11">
        <v>17.829999999999998</v>
      </c>
      <c r="GX19" s="11">
        <v>21.04</v>
      </c>
      <c r="HB19" s="11">
        <v>62.5</v>
      </c>
      <c r="HQ19" s="62">
        <f t="shared" si="0"/>
        <v>652.69000000000005</v>
      </c>
      <c r="HR19" s="62">
        <f t="shared" si="2"/>
        <v>10.878166666666667</v>
      </c>
    </row>
    <row r="20" spans="1:226" ht="12.95" customHeight="1" x14ac:dyDescent="0.2">
      <c r="A20" s="11">
        <v>79</v>
      </c>
      <c r="B20" s="11">
        <v>29</v>
      </c>
      <c r="C20" s="11" t="s">
        <v>83</v>
      </c>
      <c r="D20" s="11">
        <v>11</v>
      </c>
      <c r="E20" s="11" t="s">
        <v>79</v>
      </c>
      <c r="F20" s="11">
        <v>1740418955</v>
      </c>
      <c r="G20" s="11" t="s">
        <v>81</v>
      </c>
      <c r="H20" s="11" t="s">
        <v>84</v>
      </c>
      <c r="I20" s="28" t="s">
        <v>119</v>
      </c>
      <c r="J20" s="28" t="s">
        <v>1429</v>
      </c>
      <c r="M20" s="28" t="s">
        <v>1294</v>
      </c>
      <c r="N20" s="28" t="s">
        <v>86</v>
      </c>
      <c r="O20" s="28"/>
      <c r="P20" s="28" t="s">
        <v>253</v>
      </c>
      <c r="Q20" s="28" t="s">
        <v>1296</v>
      </c>
      <c r="S20" s="28" t="s">
        <v>84</v>
      </c>
      <c r="T20" s="28" t="s">
        <v>84</v>
      </c>
      <c r="U20" s="28" t="s">
        <v>84</v>
      </c>
      <c r="V20" s="28" t="s">
        <v>84</v>
      </c>
      <c r="W20" s="28" t="s">
        <v>82</v>
      </c>
      <c r="X20" s="28" t="s">
        <v>82</v>
      </c>
      <c r="Y20" s="28" t="s">
        <v>84</v>
      </c>
      <c r="Z20" s="28" t="s">
        <v>82</v>
      </c>
      <c r="AA20" s="28"/>
      <c r="AB20" s="28" t="s">
        <v>82</v>
      </c>
      <c r="AC20" s="28"/>
      <c r="AD20" s="28" t="s">
        <v>82</v>
      </c>
      <c r="AE20" s="28"/>
      <c r="AF20" s="28"/>
      <c r="AG20" s="28" t="s">
        <v>84</v>
      </c>
      <c r="AH20" s="28" t="s">
        <v>1430</v>
      </c>
      <c r="AI20" s="28" t="s">
        <v>84</v>
      </c>
      <c r="AJ20" s="28"/>
      <c r="AK20" s="28" t="s">
        <v>1431</v>
      </c>
      <c r="AL20" s="28" t="s">
        <v>126</v>
      </c>
      <c r="AM20" s="28" t="s">
        <v>91</v>
      </c>
      <c r="AN20" s="28"/>
      <c r="AO20" s="28" t="s">
        <v>80</v>
      </c>
      <c r="AQ20" s="28" t="s">
        <v>80</v>
      </c>
      <c r="AR20" s="28" t="s">
        <v>80</v>
      </c>
      <c r="AS20" s="28" t="s">
        <v>80</v>
      </c>
      <c r="AT20" s="28" t="s">
        <v>80</v>
      </c>
      <c r="AU20" s="28"/>
      <c r="AW20" s="28" t="s">
        <v>84</v>
      </c>
      <c r="AX20" s="28" t="s">
        <v>84</v>
      </c>
      <c r="AY20" s="28" t="s">
        <v>82</v>
      </c>
      <c r="AZ20" s="28" t="s">
        <v>84</v>
      </c>
      <c r="BA20" s="28"/>
      <c r="BB20" s="28" t="s">
        <v>84</v>
      </c>
      <c r="BC20" s="28" t="s">
        <v>80</v>
      </c>
      <c r="BD20" s="28" t="s">
        <v>113</v>
      </c>
      <c r="BE20" s="28" t="s">
        <v>113</v>
      </c>
      <c r="BF20" s="28" t="s">
        <v>93</v>
      </c>
      <c r="BG20" s="28" t="s">
        <v>84</v>
      </c>
      <c r="BH20" s="28" t="s">
        <v>84</v>
      </c>
      <c r="BI20" s="28" t="s">
        <v>1432</v>
      </c>
      <c r="BJ20" s="28" t="s">
        <v>84</v>
      </c>
      <c r="BK20" s="28" t="s">
        <v>80</v>
      </c>
      <c r="BL20" s="28">
        <v>3</v>
      </c>
      <c r="BM20" s="28">
        <v>5</v>
      </c>
      <c r="BN20" s="28">
        <v>2</v>
      </c>
      <c r="BO20" s="28">
        <v>1</v>
      </c>
      <c r="BP20" s="28">
        <v>1</v>
      </c>
      <c r="BQ20" s="28">
        <v>1</v>
      </c>
      <c r="BS20" s="28" t="s">
        <v>118</v>
      </c>
      <c r="BT20" s="28"/>
      <c r="BU20" s="28"/>
      <c r="BV20" s="28"/>
      <c r="BX20" s="28" t="s">
        <v>84</v>
      </c>
      <c r="BY20" s="28" t="s">
        <v>1433</v>
      </c>
      <c r="BZ20" s="28" t="s">
        <v>82</v>
      </c>
      <c r="CA20" s="28"/>
      <c r="CB20" s="28" t="s">
        <v>82</v>
      </c>
      <c r="CC20" s="28"/>
      <c r="CD20" s="28" t="s">
        <v>82</v>
      </c>
      <c r="CE20" s="28"/>
      <c r="CF20" s="28"/>
      <c r="CG20" s="28"/>
      <c r="CI20" s="28" t="s">
        <v>84</v>
      </c>
      <c r="CJ20" s="28"/>
      <c r="CK20" s="28" t="s">
        <v>82</v>
      </c>
      <c r="CL20" s="28"/>
      <c r="CM20" s="28" t="s">
        <v>82</v>
      </c>
      <c r="CN20" s="28"/>
      <c r="CO20" s="28"/>
      <c r="CP20" s="28"/>
      <c r="CQ20" s="28" t="s">
        <v>97</v>
      </c>
      <c r="CR20" s="28" t="s">
        <v>84</v>
      </c>
      <c r="CS20" s="28" t="s">
        <v>97</v>
      </c>
      <c r="CT20" s="28" t="s">
        <v>1434</v>
      </c>
      <c r="CU20" s="28" t="s">
        <v>81</v>
      </c>
      <c r="CV20" s="28"/>
      <c r="CW20" s="28" t="s">
        <v>82</v>
      </c>
      <c r="CX20" s="28"/>
      <c r="CY20" s="28" t="s">
        <v>246</v>
      </c>
      <c r="CZ20" s="28" t="s">
        <v>1435</v>
      </c>
      <c r="DA20" s="28" t="s">
        <v>84</v>
      </c>
      <c r="DB20" s="28" t="s">
        <v>1436</v>
      </c>
      <c r="DC20" s="28" t="s">
        <v>84</v>
      </c>
      <c r="DD20" s="28" t="s">
        <v>84</v>
      </c>
      <c r="DG20" s="28">
        <v>1</v>
      </c>
      <c r="DH20" s="28">
        <v>5</v>
      </c>
      <c r="DI20" s="28">
        <v>1</v>
      </c>
      <c r="DJ20" s="28">
        <v>5</v>
      </c>
      <c r="DK20" s="28">
        <v>1</v>
      </c>
      <c r="DL20" s="28">
        <v>5</v>
      </c>
      <c r="DM20" s="28">
        <v>1</v>
      </c>
      <c r="DN20" s="28">
        <v>5</v>
      </c>
      <c r="DO20" s="28">
        <v>1</v>
      </c>
      <c r="DP20" s="28">
        <v>5</v>
      </c>
      <c r="DQ20" s="28">
        <v>1</v>
      </c>
      <c r="DR20" s="28">
        <v>5</v>
      </c>
      <c r="DS20" s="28" t="s">
        <v>99</v>
      </c>
      <c r="DT20" s="28" t="s">
        <v>84</v>
      </c>
      <c r="DU20" s="28"/>
      <c r="DV20" s="28" t="s">
        <v>84</v>
      </c>
      <c r="DW20" s="28" t="s">
        <v>100</v>
      </c>
      <c r="DX20" s="28" t="s">
        <v>81</v>
      </c>
      <c r="DY20" s="28" t="s">
        <v>1437</v>
      </c>
      <c r="DZ20" s="28" t="s">
        <v>113</v>
      </c>
      <c r="EA20" s="28" t="s">
        <v>1438</v>
      </c>
      <c r="EB20" s="28" t="s">
        <v>84</v>
      </c>
      <c r="EC20" s="28" t="s">
        <v>1439</v>
      </c>
      <c r="ED20" s="28"/>
      <c r="EE20" s="28"/>
      <c r="EF20" s="28" t="s">
        <v>82</v>
      </c>
      <c r="EG20" s="28" t="s">
        <v>84</v>
      </c>
      <c r="EH20" s="28" t="s">
        <v>82</v>
      </c>
      <c r="EI20" s="28"/>
      <c r="EJ20" s="28" t="s">
        <v>1440</v>
      </c>
      <c r="EK20" s="28" t="s">
        <v>1441</v>
      </c>
      <c r="EL20" s="28" t="s">
        <v>1442</v>
      </c>
      <c r="EM20" s="11">
        <v>1043.97</v>
      </c>
      <c r="EN20" s="11">
        <v>10.36</v>
      </c>
      <c r="EQ20" s="11">
        <v>172.35</v>
      </c>
      <c r="EW20" s="11">
        <v>83.35</v>
      </c>
      <c r="FF20" s="11">
        <v>22.84</v>
      </c>
      <c r="FJ20" s="11">
        <v>16.690000000000001</v>
      </c>
      <c r="FP20" s="11">
        <v>35.54</v>
      </c>
      <c r="FV20" s="11">
        <v>106.02</v>
      </c>
      <c r="GC20" s="11">
        <v>278.33</v>
      </c>
      <c r="GT20" s="11">
        <v>28.2</v>
      </c>
      <c r="GX20" s="11">
        <v>110.02</v>
      </c>
      <c r="HB20" s="11">
        <v>180.27</v>
      </c>
      <c r="HQ20" s="62">
        <f t="shared" si="0"/>
        <v>1043.97</v>
      </c>
      <c r="HR20" s="62">
        <f t="shared" si="2"/>
        <v>17.3995</v>
      </c>
    </row>
    <row r="21" spans="1:226" ht="12.95" customHeight="1" x14ac:dyDescent="0.2">
      <c r="A21" s="11">
        <v>80</v>
      </c>
      <c r="B21" s="11">
        <v>32</v>
      </c>
      <c r="C21" s="11" t="s">
        <v>83</v>
      </c>
      <c r="D21" s="11">
        <v>11</v>
      </c>
      <c r="E21" s="11" t="s">
        <v>79</v>
      </c>
      <c r="F21" s="11">
        <v>95318450</v>
      </c>
      <c r="G21" s="11" t="s">
        <v>81</v>
      </c>
      <c r="H21" s="11" t="s">
        <v>84</v>
      </c>
      <c r="I21" s="28" t="s">
        <v>105</v>
      </c>
      <c r="J21" s="28"/>
      <c r="M21" s="28" t="s">
        <v>1319</v>
      </c>
      <c r="N21" s="28" t="s">
        <v>106</v>
      </c>
      <c r="O21" s="28" t="s">
        <v>1443</v>
      </c>
      <c r="P21" s="28" t="s">
        <v>87</v>
      </c>
      <c r="Q21" s="28" t="s">
        <v>1310</v>
      </c>
      <c r="S21" s="28" t="s">
        <v>84</v>
      </c>
      <c r="T21" s="28" t="s">
        <v>84</v>
      </c>
      <c r="U21" s="28" t="s">
        <v>84</v>
      </c>
      <c r="V21" s="28" t="s">
        <v>84</v>
      </c>
      <c r="W21" s="28" t="s">
        <v>82</v>
      </c>
      <c r="X21" s="28" t="s">
        <v>82</v>
      </c>
      <c r="Y21" s="28" t="s">
        <v>84</v>
      </c>
      <c r="Z21" s="28" t="s">
        <v>82</v>
      </c>
      <c r="AA21" s="28"/>
      <c r="AB21" s="28" t="s">
        <v>84</v>
      </c>
      <c r="AC21" s="28" t="s">
        <v>1444</v>
      </c>
      <c r="AD21" s="28" t="s">
        <v>82</v>
      </c>
      <c r="AE21" s="28"/>
      <c r="AF21" s="28"/>
      <c r="AG21" s="28" t="s">
        <v>84</v>
      </c>
      <c r="AH21" s="28" t="s">
        <v>1445</v>
      </c>
      <c r="AI21" s="28" t="s">
        <v>84</v>
      </c>
      <c r="AJ21" s="28"/>
      <c r="AK21" s="28" t="s">
        <v>1446</v>
      </c>
      <c r="AL21" s="28" t="s">
        <v>126</v>
      </c>
      <c r="AM21" s="28" t="s">
        <v>91</v>
      </c>
      <c r="AN21" s="28"/>
      <c r="AO21" s="28" t="s">
        <v>80</v>
      </c>
      <c r="AQ21" s="28" t="s">
        <v>80</v>
      </c>
      <c r="AR21" s="28" t="s">
        <v>80</v>
      </c>
      <c r="AS21" s="28" t="s">
        <v>80</v>
      </c>
      <c r="AT21" s="28" t="s">
        <v>80</v>
      </c>
      <c r="AU21" s="28"/>
      <c r="AW21" s="28" t="s">
        <v>84</v>
      </c>
      <c r="AX21" s="28" t="s">
        <v>84</v>
      </c>
      <c r="AY21" s="28" t="s">
        <v>84</v>
      </c>
      <c r="AZ21" s="28" t="s">
        <v>84</v>
      </c>
      <c r="BA21" s="28"/>
      <c r="BB21" s="28" t="s">
        <v>84</v>
      </c>
      <c r="BC21" s="28" t="s">
        <v>80</v>
      </c>
      <c r="BD21" s="28" t="s">
        <v>93</v>
      </c>
      <c r="BE21" s="28" t="s">
        <v>113</v>
      </c>
      <c r="BF21" s="28" t="s">
        <v>112</v>
      </c>
      <c r="BG21" s="28" t="s">
        <v>84</v>
      </c>
      <c r="BH21" s="28" t="s">
        <v>84</v>
      </c>
      <c r="BI21" s="28" t="s">
        <v>1447</v>
      </c>
      <c r="BJ21" s="28" t="s">
        <v>84</v>
      </c>
      <c r="BK21" s="28" t="s">
        <v>80</v>
      </c>
      <c r="BL21" s="28">
        <v>3</v>
      </c>
      <c r="BM21" s="28">
        <v>2</v>
      </c>
      <c r="BN21" s="28">
        <v>2</v>
      </c>
      <c r="BO21" s="28">
        <v>1</v>
      </c>
      <c r="BP21" s="28">
        <v>4</v>
      </c>
      <c r="BQ21" s="28">
        <v>3</v>
      </c>
      <c r="BS21" s="28" t="s">
        <v>118</v>
      </c>
      <c r="BT21" s="28"/>
      <c r="BU21" s="28"/>
      <c r="BV21" s="28"/>
      <c r="BX21" s="28" t="s">
        <v>84</v>
      </c>
      <c r="BY21" s="28"/>
      <c r="BZ21" s="28" t="s">
        <v>84</v>
      </c>
      <c r="CA21" s="28"/>
      <c r="CB21" s="28" t="s">
        <v>82</v>
      </c>
      <c r="CC21" s="28"/>
      <c r="CD21" s="28" t="s">
        <v>82</v>
      </c>
      <c r="CE21" s="28"/>
      <c r="CF21" s="28"/>
      <c r="CG21" s="28"/>
      <c r="CI21" s="28" t="s">
        <v>84</v>
      </c>
      <c r="CJ21" s="28"/>
      <c r="CK21" s="28" t="s">
        <v>82</v>
      </c>
      <c r="CL21" s="28"/>
      <c r="CM21" s="28" t="s">
        <v>84</v>
      </c>
      <c r="CN21" s="28"/>
      <c r="CO21" s="28"/>
      <c r="CP21" s="28"/>
      <c r="CQ21" s="28" t="s">
        <v>118</v>
      </c>
      <c r="CR21" s="28" t="s">
        <v>84</v>
      </c>
      <c r="CS21" s="28" t="s">
        <v>97</v>
      </c>
      <c r="CT21" s="28"/>
      <c r="CU21" s="28" t="s">
        <v>246</v>
      </c>
      <c r="CV21" s="28"/>
      <c r="CW21" s="28" t="s">
        <v>82</v>
      </c>
      <c r="CX21" s="28"/>
      <c r="CY21" s="28" t="s">
        <v>81</v>
      </c>
      <c r="CZ21" s="28"/>
      <c r="DA21" s="28" t="s">
        <v>82</v>
      </c>
      <c r="DB21" s="28"/>
      <c r="DC21" s="28" t="s">
        <v>84</v>
      </c>
      <c r="DD21" s="28" t="s">
        <v>84</v>
      </c>
      <c r="DG21" s="28">
        <v>4</v>
      </c>
      <c r="DH21" s="28">
        <v>1</v>
      </c>
      <c r="DI21" s="28">
        <v>3</v>
      </c>
      <c r="DJ21" s="28">
        <v>1</v>
      </c>
      <c r="DK21" s="28">
        <v>2</v>
      </c>
      <c r="DL21" s="28">
        <v>1</v>
      </c>
      <c r="DM21" s="28">
        <v>2</v>
      </c>
      <c r="DN21" s="28">
        <v>1</v>
      </c>
      <c r="DO21" s="28">
        <v>3</v>
      </c>
      <c r="DP21" s="28">
        <v>2</v>
      </c>
      <c r="DQ21" s="28">
        <v>3</v>
      </c>
      <c r="DR21" s="28">
        <v>1</v>
      </c>
      <c r="DS21" s="28" t="s">
        <v>118</v>
      </c>
      <c r="DT21" s="28" t="s">
        <v>106</v>
      </c>
      <c r="DU21" s="28"/>
      <c r="DV21" s="28" t="s">
        <v>84</v>
      </c>
      <c r="DW21" s="28" t="s">
        <v>100</v>
      </c>
      <c r="DX21" s="28" t="s">
        <v>81</v>
      </c>
      <c r="DY21" s="28"/>
      <c r="DZ21" s="28" t="s">
        <v>100</v>
      </c>
      <c r="EA21" s="28" t="s">
        <v>1448</v>
      </c>
      <c r="EB21" s="28" t="s">
        <v>82</v>
      </c>
      <c r="EC21" s="28"/>
      <c r="ED21" s="28" t="s">
        <v>81</v>
      </c>
      <c r="EE21" s="28"/>
      <c r="EF21" s="28" t="s">
        <v>82</v>
      </c>
      <c r="EG21" s="28" t="s">
        <v>82</v>
      </c>
      <c r="EH21" s="28" t="s">
        <v>84</v>
      </c>
      <c r="EI21" s="28" t="s">
        <v>1449</v>
      </c>
      <c r="EJ21" s="28" t="s">
        <v>1450</v>
      </c>
      <c r="EK21" s="28" t="s">
        <v>1451</v>
      </c>
      <c r="EL21" s="28" t="s">
        <v>1452</v>
      </c>
      <c r="EM21" s="11">
        <v>1071.0899999999999</v>
      </c>
      <c r="EN21" s="11">
        <v>6.35</v>
      </c>
      <c r="EQ21" s="11">
        <v>92.45</v>
      </c>
      <c r="EW21" s="11">
        <v>151.88</v>
      </c>
      <c r="FF21" s="11">
        <v>44.9</v>
      </c>
      <c r="FJ21" s="11">
        <v>13.48</v>
      </c>
      <c r="FP21" s="11">
        <v>30.09</v>
      </c>
      <c r="FV21" s="11">
        <v>172.29</v>
      </c>
      <c r="GC21" s="11">
        <v>134.69999999999999</v>
      </c>
      <c r="GT21" s="11">
        <v>14.69</v>
      </c>
      <c r="GX21" s="11">
        <v>23.26</v>
      </c>
      <c r="HB21" s="11">
        <v>387</v>
      </c>
      <c r="HQ21" s="62">
        <f t="shared" si="0"/>
        <v>1071.0899999999999</v>
      </c>
      <c r="HR21" s="62">
        <f t="shared" si="2"/>
        <v>17.851499999999998</v>
      </c>
    </row>
    <row r="22" spans="1:226" ht="12.95" customHeight="1" x14ac:dyDescent="0.2">
      <c r="A22" s="11">
        <v>81</v>
      </c>
      <c r="B22" s="11">
        <v>33</v>
      </c>
      <c r="C22" s="11" t="s">
        <v>83</v>
      </c>
      <c r="D22" s="11">
        <v>11</v>
      </c>
      <c r="E22" s="11" t="s">
        <v>79</v>
      </c>
      <c r="F22" s="11">
        <v>1530392359</v>
      </c>
      <c r="G22" s="11" t="s">
        <v>81</v>
      </c>
      <c r="H22" s="11" t="s">
        <v>84</v>
      </c>
      <c r="I22" s="28" t="s">
        <v>119</v>
      </c>
      <c r="J22" s="28" t="s">
        <v>1453</v>
      </c>
      <c r="M22" s="28" t="s">
        <v>1294</v>
      </c>
      <c r="N22" s="28" t="s">
        <v>106</v>
      </c>
      <c r="O22" s="28" t="s">
        <v>1454</v>
      </c>
      <c r="P22" s="28" t="s">
        <v>87</v>
      </c>
      <c r="Q22" s="28" t="s">
        <v>1296</v>
      </c>
      <c r="S22" s="28" t="s">
        <v>84</v>
      </c>
      <c r="T22" s="28" t="s">
        <v>84</v>
      </c>
      <c r="U22" s="28" t="s">
        <v>84</v>
      </c>
      <c r="V22" s="28" t="s">
        <v>82</v>
      </c>
      <c r="W22" s="28" t="s">
        <v>82</v>
      </c>
      <c r="X22" s="28" t="s">
        <v>82</v>
      </c>
      <c r="Y22" s="28" t="s">
        <v>82</v>
      </c>
      <c r="Z22" s="28" t="s">
        <v>82</v>
      </c>
      <c r="AA22" s="28"/>
      <c r="AB22" s="28" t="s">
        <v>82</v>
      </c>
      <c r="AC22" s="28"/>
      <c r="AD22" s="28" t="s">
        <v>82</v>
      </c>
      <c r="AE22" s="28"/>
      <c r="AF22" s="28"/>
      <c r="AG22" s="28" t="s">
        <v>82</v>
      </c>
      <c r="AH22" s="28" t="s">
        <v>1455</v>
      </c>
      <c r="AI22" s="28" t="s">
        <v>82</v>
      </c>
      <c r="AJ22" s="28"/>
      <c r="AK22" s="28"/>
      <c r="AL22" s="28" t="s">
        <v>126</v>
      </c>
      <c r="AM22" s="28" t="s">
        <v>91</v>
      </c>
      <c r="AN22" s="28"/>
      <c r="AO22" s="28" t="s">
        <v>80</v>
      </c>
      <c r="AQ22" s="28" t="s">
        <v>80</v>
      </c>
      <c r="AR22" s="28" t="s">
        <v>80</v>
      </c>
      <c r="AS22" s="28" t="s">
        <v>80</v>
      </c>
      <c r="AT22" s="28" t="s">
        <v>80</v>
      </c>
      <c r="AU22" s="28"/>
      <c r="AW22" s="28" t="s">
        <v>84</v>
      </c>
      <c r="AX22" s="28" t="s">
        <v>82</v>
      </c>
      <c r="AY22" s="28" t="s">
        <v>82</v>
      </c>
      <c r="AZ22" s="28" t="s">
        <v>84</v>
      </c>
      <c r="BA22" s="28"/>
      <c r="BB22" s="28" t="s">
        <v>82</v>
      </c>
      <c r="BC22" s="28" t="s">
        <v>82</v>
      </c>
      <c r="BD22" s="28" t="s">
        <v>340</v>
      </c>
      <c r="BE22" s="28" t="s">
        <v>340</v>
      </c>
      <c r="BF22" s="28" t="s">
        <v>340</v>
      </c>
      <c r="BG22" s="28" t="s">
        <v>82</v>
      </c>
      <c r="BH22" s="28" t="s">
        <v>82</v>
      </c>
      <c r="BI22" s="28"/>
      <c r="BJ22" s="28" t="s">
        <v>82</v>
      </c>
      <c r="BK22" s="28" t="s">
        <v>82</v>
      </c>
      <c r="BL22" s="28">
        <v>3</v>
      </c>
      <c r="BM22" s="28">
        <v>3</v>
      </c>
      <c r="BN22" s="28">
        <v>3</v>
      </c>
      <c r="BO22" s="28">
        <v>3</v>
      </c>
      <c r="BP22" s="28">
        <v>3</v>
      </c>
      <c r="BQ22" s="28">
        <v>3</v>
      </c>
      <c r="BS22" s="28" t="s">
        <v>118</v>
      </c>
      <c r="BT22" s="28"/>
      <c r="BU22" s="28"/>
      <c r="BV22" s="28"/>
      <c r="BX22" s="28" t="s">
        <v>82</v>
      </c>
      <c r="BY22" s="28"/>
      <c r="BZ22" s="28" t="s">
        <v>84</v>
      </c>
      <c r="CA22" s="28"/>
      <c r="CB22" s="28" t="s">
        <v>82</v>
      </c>
      <c r="CC22" s="28"/>
      <c r="CD22" s="28" t="s">
        <v>82</v>
      </c>
      <c r="CE22" s="28"/>
      <c r="CF22" s="28" t="s">
        <v>1456</v>
      </c>
      <c r="CG22" s="28" t="s">
        <v>1457</v>
      </c>
      <c r="CI22" s="28" t="s">
        <v>82</v>
      </c>
      <c r="CJ22" s="28"/>
      <c r="CK22" s="28" t="s">
        <v>82</v>
      </c>
      <c r="CL22" s="28"/>
      <c r="CM22" s="28" t="s">
        <v>82</v>
      </c>
      <c r="CN22" s="28"/>
      <c r="CO22" s="28" t="s">
        <v>1458</v>
      </c>
      <c r="CP22" s="28" t="s">
        <v>1459</v>
      </c>
      <c r="CQ22" s="28" t="s">
        <v>99</v>
      </c>
      <c r="CR22" s="28" t="s">
        <v>80</v>
      </c>
      <c r="CS22" s="28"/>
      <c r="CT22" s="28"/>
      <c r="CU22" s="28"/>
      <c r="CV22" s="28"/>
      <c r="CW22" s="28" t="s">
        <v>82</v>
      </c>
      <c r="CX22" s="28"/>
      <c r="CY22" s="28" t="s">
        <v>246</v>
      </c>
      <c r="CZ22" s="28" t="s">
        <v>1460</v>
      </c>
      <c r="DA22" s="28" t="s">
        <v>82</v>
      </c>
      <c r="DB22" s="28"/>
      <c r="DC22" s="28" t="s">
        <v>82</v>
      </c>
      <c r="DD22" s="28" t="s">
        <v>82</v>
      </c>
      <c r="DG22" s="28">
        <v>1</v>
      </c>
      <c r="DH22" s="28">
        <v>3</v>
      </c>
      <c r="DI22" s="28">
        <v>1</v>
      </c>
      <c r="DJ22" s="28">
        <v>3</v>
      </c>
      <c r="DK22" s="28">
        <v>3</v>
      </c>
      <c r="DL22" s="28">
        <v>3</v>
      </c>
      <c r="DM22" s="28">
        <v>3</v>
      </c>
      <c r="DN22" s="28">
        <v>3</v>
      </c>
      <c r="DO22" s="28">
        <v>3</v>
      </c>
      <c r="DP22" s="28">
        <v>3</v>
      </c>
      <c r="DQ22" s="28">
        <v>3</v>
      </c>
      <c r="DR22" s="28">
        <v>3</v>
      </c>
      <c r="DS22" s="28" t="s">
        <v>99</v>
      </c>
      <c r="DT22" s="28" t="s">
        <v>106</v>
      </c>
      <c r="DU22" s="28"/>
      <c r="DV22" s="28" t="s">
        <v>84</v>
      </c>
      <c r="DW22" s="28" t="s">
        <v>100</v>
      </c>
      <c r="DX22" s="28" t="s">
        <v>81</v>
      </c>
      <c r="DY22" s="28"/>
      <c r="DZ22" s="28" t="s">
        <v>100</v>
      </c>
      <c r="EA22" s="28"/>
      <c r="EB22" s="28" t="s">
        <v>82</v>
      </c>
      <c r="EC22" s="28"/>
      <c r="ED22" s="28" t="s">
        <v>81</v>
      </c>
      <c r="EE22" s="28"/>
      <c r="EF22" s="28" t="s">
        <v>82</v>
      </c>
      <c r="EG22" s="28" t="s">
        <v>82</v>
      </c>
      <c r="EH22" s="28" t="s">
        <v>82</v>
      </c>
      <c r="EI22" s="28"/>
      <c r="EJ22" s="28"/>
      <c r="EK22" s="28"/>
      <c r="EL22" s="28"/>
      <c r="EM22" s="11">
        <v>1335.21</v>
      </c>
      <c r="EN22" s="11">
        <v>38.24</v>
      </c>
      <c r="EQ22" s="11">
        <v>90.8</v>
      </c>
      <c r="EW22" s="11">
        <v>167.9</v>
      </c>
      <c r="FF22" s="11">
        <v>52.35</v>
      </c>
      <c r="FJ22" s="11">
        <v>31.13</v>
      </c>
      <c r="FP22" s="11">
        <v>51.19</v>
      </c>
      <c r="FV22" s="11">
        <v>80.86</v>
      </c>
      <c r="GC22" s="11">
        <v>646.52</v>
      </c>
      <c r="GT22" s="11">
        <v>19.13</v>
      </c>
      <c r="GX22" s="11">
        <v>36.03</v>
      </c>
      <c r="HB22" s="11">
        <v>121.06</v>
      </c>
      <c r="HQ22" s="62">
        <f t="shared" si="0"/>
        <v>1335.21</v>
      </c>
      <c r="HR22" s="62">
        <f t="shared" si="2"/>
        <v>22.253499999999999</v>
      </c>
    </row>
    <row r="23" spans="1:226" ht="12.95" customHeight="1" x14ac:dyDescent="0.2">
      <c r="A23" s="11">
        <v>82</v>
      </c>
      <c r="B23" s="11">
        <v>34</v>
      </c>
      <c r="C23" s="11" t="s">
        <v>83</v>
      </c>
      <c r="D23" s="11">
        <v>11</v>
      </c>
      <c r="E23" s="11" t="s">
        <v>79</v>
      </c>
      <c r="F23" s="11">
        <v>470589815</v>
      </c>
      <c r="G23" s="11" t="s">
        <v>81</v>
      </c>
      <c r="H23" s="11" t="s">
        <v>84</v>
      </c>
      <c r="I23" s="28" t="s">
        <v>119</v>
      </c>
      <c r="J23" s="28" t="s">
        <v>1461</v>
      </c>
      <c r="M23" s="28" t="s">
        <v>1319</v>
      </c>
      <c r="N23" s="28" t="s">
        <v>108</v>
      </c>
      <c r="O23" s="28"/>
      <c r="P23" s="28" t="s">
        <v>87</v>
      </c>
      <c r="Q23" s="28" t="s">
        <v>1358</v>
      </c>
      <c r="S23" s="28" t="s">
        <v>84</v>
      </c>
      <c r="T23" s="28" t="s">
        <v>84</v>
      </c>
      <c r="U23" s="28" t="s">
        <v>84</v>
      </c>
      <c r="V23" s="28" t="s">
        <v>82</v>
      </c>
      <c r="W23" s="28" t="s">
        <v>82</v>
      </c>
      <c r="X23" s="28" t="s">
        <v>82</v>
      </c>
      <c r="Y23" s="28" t="s">
        <v>84</v>
      </c>
      <c r="Z23" s="28" t="s">
        <v>82</v>
      </c>
      <c r="AA23" s="28"/>
      <c r="AB23" s="28" t="s">
        <v>82</v>
      </c>
      <c r="AC23" s="28"/>
      <c r="AD23" s="28" t="s">
        <v>82</v>
      </c>
      <c r="AE23" s="28"/>
      <c r="AF23" s="28"/>
      <c r="AG23" s="28" t="s">
        <v>82</v>
      </c>
      <c r="AH23" s="28"/>
      <c r="AI23" s="28" t="s">
        <v>84</v>
      </c>
      <c r="AJ23" s="28"/>
      <c r="AK23" s="28" t="s">
        <v>1462</v>
      </c>
      <c r="AL23" s="28" t="s">
        <v>126</v>
      </c>
      <c r="AM23" s="28" t="s">
        <v>111</v>
      </c>
      <c r="AN23" s="28"/>
      <c r="AO23" s="28" t="s">
        <v>80</v>
      </c>
      <c r="AQ23" s="28" t="s">
        <v>84</v>
      </c>
      <c r="AR23" s="28" t="s">
        <v>84</v>
      </c>
      <c r="AS23" s="28" t="s">
        <v>84</v>
      </c>
      <c r="AT23" s="28" t="s">
        <v>84</v>
      </c>
      <c r="AU23" s="28"/>
      <c r="AW23" s="28" t="s">
        <v>80</v>
      </c>
      <c r="AX23" s="28" t="s">
        <v>80</v>
      </c>
      <c r="AY23" s="28" t="s">
        <v>80</v>
      </c>
      <c r="AZ23" s="28" t="s">
        <v>80</v>
      </c>
      <c r="BA23" s="28"/>
      <c r="BB23" s="28" t="s">
        <v>82</v>
      </c>
      <c r="BC23" s="28" t="s">
        <v>82</v>
      </c>
      <c r="BD23" s="28" t="s">
        <v>93</v>
      </c>
      <c r="BE23" s="28" t="s">
        <v>100</v>
      </c>
      <c r="BF23" s="28" t="s">
        <v>100</v>
      </c>
      <c r="BG23" s="28" t="s">
        <v>82</v>
      </c>
      <c r="BH23" s="28" t="s">
        <v>84</v>
      </c>
      <c r="BI23" s="28" t="s">
        <v>1463</v>
      </c>
      <c r="BJ23" s="28" t="s">
        <v>84</v>
      </c>
      <c r="BK23" s="28" t="s">
        <v>80</v>
      </c>
      <c r="BL23" s="28">
        <v>5</v>
      </c>
      <c r="BM23" s="28">
        <v>1</v>
      </c>
      <c r="BN23" s="28">
        <v>2</v>
      </c>
      <c r="BO23" s="28">
        <v>1</v>
      </c>
      <c r="BP23" s="28">
        <v>5</v>
      </c>
      <c r="BQ23" s="28">
        <v>2</v>
      </c>
      <c r="BS23" s="28" t="s">
        <v>97</v>
      </c>
      <c r="BT23" s="28"/>
      <c r="BU23" s="28" t="s">
        <v>246</v>
      </c>
      <c r="BV23" s="28"/>
      <c r="BX23" s="28" t="s">
        <v>80</v>
      </c>
      <c r="BY23" s="28"/>
      <c r="BZ23" s="28" t="s">
        <v>80</v>
      </c>
      <c r="CA23" s="28"/>
      <c r="CB23" s="28" t="s">
        <v>80</v>
      </c>
      <c r="CC23" s="28"/>
      <c r="CD23" s="28" t="s">
        <v>80</v>
      </c>
      <c r="CE23" s="28"/>
      <c r="CF23" s="28"/>
      <c r="CG23" s="28"/>
      <c r="CI23" s="28" t="s">
        <v>84</v>
      </c>
      <c r="CJ23" s="28"/>
      <c r="CK23" s="28" t="s">
        <v>82</v>
      </c>
      <c r="CL23" s="28"/>
      <c r="CM23" s="28" t="s">
        <v>82</v>
      </c>
      <c r="CN23" s="28"/>
      <c r="CO23" s="28"/>
      <c r="CP23" s="28"/>
      <c r="CQ23" s="28" t="s">
        <v>99</v>
      </c>
      <c r="CR23" s="28" t="s">
        <v>80</v>
      </c>
      <c r="CS23" s="28" t="s">
        <v>99</v>
      </c>
      <c r="CT23" s="28"/>
      <c r="CU23" s="28"/>
      <c r="CV23" s="28"/>
      <c r="CW23" s="28" t="s">
        <v>82</v>
      </c>
      <c r="CX23" s="28"/>
      <c r="CY23" s="28" t="s">
        <v>246</v>
      </c>
      <c r="CZ23" s="28" t="s">
        <v>1464</v>
      </c>
      <c r="DA23" s="28" t="s">
        <v>84</v>
      </c>
      <c r="DB23" s="28" t="s">
        <v>1465</v>
      </c>
      <c r="DC23" s="28" t="s">
        <v>84</v>
      </c>
      <c r="DD23" s="28" t="s">
        <v>84</v>
      </c>
      <c r="DG23" s="28">
        <v>2</v>
      </c>
      <c r="DH23" s="28">
        <v>3</v>
      </c>
      <c r="DI23" s="28">
        <v>2</v>
      </c>
      <c r="DJ23" s="28">
        <v>3</v>
      </c>
      <c r="DK23" s="28">
        <v>2</v>
      </c>
      <c r="DL23" s="28">
        <v>3</v>
      </c>
      <c r="DM23" s="28">
        <v>1</v>
      </c>
      <c r="DN23" s="28">
        <v>2</v>
      </c>
      <c r="DO23" s="28">
        <v>2</v>
      </c>
      <c r="DP23" s="28">
        <v>2</v>
      </c>
      <c r="DQ23" s="28">
        <v>2</v>
      </c>
      <c r="DR23" s="28">
        <v>2</v>
      </c>
      <c r="DS23" s="28" t="s">
        <v>99</v>
      </c>
      <c r="DT23" s="28" t="s">
        <v>82</v>
      </c>
      <c r="DU23" s="28" t="s">
        <v>1466</v>
      </c>
      <c r="DV23" s="28" t="s">
        <v>84</v>
      </c>
      <c r="DW23" s="28" t="s">
        <v>93</v>
      </c>
      <c r="DX23" s="28" t="s">
        <v>81</v>
      </c>
      <c r="DY23" s="28" t="s">
        <v>1467</v>
      </c>
      <c r="DZ23" s="28" t="s">
        <v>113</v>
      </c>
      <c r="EA23" s="28"/>
      <c r="EB23" s="28" t="s">
        <v>82</v>
      </c>
      <c r="EC23" s="28"/>
      <c r="ED23" s="28" t="s">
        <v>246</v>
      </c>
      <c r="EE23" s="28" t="s">
        <v>1468</v>
      </c>
      <c r="EF23" s="28" t="s">
        <v>82</v>
      </c>
      <c r="EG23" s="28" t="s">
        <v>82</v>
      </c>
      <c r="EH23" s="28" t="s">
        <v>82</v>
      </c>
      <c r="EI23" s="28"/>
      <c r="EJ23" s="28" t="s">
        <v>1469</v>
      </c>
      <c r="EK23" s="28" t="s">
        <v>1470</v>
      </c>
      <c r="EL23" s="28" t="s">
        <v>1471</v>
      </c>
      <c r="EM23" s="11">
        <v>803.1</v>
      </c>
      <c r="EN23" s="11">
        <v>10.88</v>
      </c>
      <c r="EQ23" s="11">
        <v>60.63</v>
      </c>
      <c r="EW23" s="11">
        <v>30.45</v>
      </c>
      <c r="FF23" s="11">
        <v>71.099999999999994</v>
      </c>
      <c r="FJ23" s="11">
        <v>16.8</v>
      </c>
      <c r="FP23" s="11">
        <v>44.56</v>
      </c>
      <c r="FV23" s="11">
        <v>54.27</v>
      </c>
      <c r="GC23" s="11">
        <v>193.02</v>
      </c>
      <c r="GT23" s="11">
        <v>85.02</v>
      </c>
      <c r="GX23" s="11">
        <v>66.930000000000007</v>
      </c>
      <c r="HB23" s="11">
        <v>169.44</v>
      </c>
      <c r="HQ23" s="62">
        <f t="shared" si="0"/>
        <v>803.1</v>
      </c>
      <c r="HR23" s="62">
        <f t="shared" si="2"/>
        <v>13.385</v>
      </c>
    </row>
    <row r="24" spans="1:226" ht="12.95" customHeight="1" x14ac:dyDescent="0.2">
      <c r="A24" s="11">
        <v>83</v>
      </c>
      <c r="B24" s="11">
        <v>35</v>
      </c>
      <c r="C24" s="11" t="s">
        <v>83</v>
      </c>
      <c r="D24" s="11">
        <v>11</v>
      </c>
      <c r="E24" s="11" t="s">
        <v>79</v>
      </c>
      <c r="F24" s="11">
        <v>1183810429</v>
      </c>
      <c r="G24" s="11" t="s">
        <v>81</v>
      </c>
      <c r="H24" s="11" t="s">
        <v>84</v>
      </c>
      <c r="I24" s="28" t="s">
        <v>119</v>
      </c>
      <c r="J24" s="28" t="s">
        <v>251</v>
      </c>
      <c r="M24" s="28" t="s">
        <v>1294</v>
      </c>
      <c r="N24" s="28" t="s">
        <v>618</v>
      </c>
      <c r="O24" s="28"/>
      <c r="P24" s="28" t="s">
        <v>87</v>
      </c>
      <c r="Q24" s="28" t="s">
        <v>1296</v>
      </c>
      <c r="S24" s="28" t="s">
        <v>84</v>
      </c>
      <c r="T24" s="28" t="s">
        <v>84</v>
      </c>
      <c r="U24" s="28" t="s">
        <v>84</v>
      </c>
      <c r="V24" s="28" t="s">
        <v>82</v>
      </c>
      <c r="W24" s="28" t="s">
        <v>84</v>
      </c>
      <c r="X24" s="28" t="s">
        <v>82</v>
      </c>
      <c r="Y24" s="28" t="s">
        <v>82</v>
      </c>
      <c r="Z24" s="28" t="s">
        <v>82</v>
      </c>
      <c r="AA24" s="28"/>
      <c r="AB24" s="28" t="s">
        <v>82</v>
      </c>
      <c r="AC24" s="28"/>
      <c r="AD24" s="28" t="s">
        <v>82</v>
      </c>
      <c r="AE24" s="28"/>
      <c r="AF24" s="28"/>
      <c r="AG24" s="28" t="s">
        <v>82</v>
      </c>
      <c r="AH24" s="28"/>
      <c r="AI24" s="28" t="s">
        <v>84</v>
      </c>
      <c r="AJ24" s="28"/>
      <c r="AK24" s="28" t="s">
        <v>1472</v>
      </c>
      <c r="AL24" s="28" t="s">
        <v>126</v>
      </c>
      <c r="AM24" s="28" t="s">
        <v>91</v>
      </c>
      <c r="AN24" s="28"/>
      <c r="AO24" s="28" t="s">
        <v>80</v>
      </c>
      <c r="AQ24" s="28" t="s">
        <v>80</v>
      </c>
      <c r="AR24" s="28" t="s">
        <v>80</v>
      </c>
      <c r="AS24" s="28" t="s">
        <v>80</v>
      </c>
      <c r="AT24" s="28" t="s">
        <v>80</v>
      </c>
      <c r="AU24" s="28"/>
      <c r="AW24" s="28" t="s">
        <v>84</v>
      </c>
      <c r="AX24" s="28" t="s">
        <v>84</v>
      </c>
      <c r="AY24" s="28" t="s">
        <v>84</v>
      </c>
      <c r="AZ24" s="28" t="s">
        <v>84</v>
      </c>
      <c r="BA24" s="28"/>
      <c r="BB24" s="28" t="s">
        <v>84</v>
      </c>
      <c r="BC24" s="28" t="s">
        <v>80</v>
      </c>
      <c r="BD24" s="28" t="s">
        <v>93</v>
      </c>
      <c r="BE24" s="28" t="s">
        <v>113</v>
      </c>
      <c r="BF24" s="28" t="s">
        <v>112</v>
      </c>
      <c r="BG24" s="28" t="s">
        <v>84</v>
      </c>
      <c r="BH24" s="28" t="s">
        <v>84</v>
      </c>
      <c r="BI24" s="28" t="s">
        <v>1473</v>
      </c>
      <c r="BJ24" s="28" t="s">
        <v>84</v>
      </c>
      <c r="BK24" s="28" t="s">
        <v>80</v>
      </c>
      <c r="BL24" s="28">
        <v>3</v>
      </c>
      <c r="BM24" s="28">
        <v>1</v>
      </c>
      <c r="BN24" s="28">
        <v>3</v>
      </c>
      <c r="BO24" s="28">
        <v>1</v>
      </c>
      <c r="BP24" s="28">
        <v>3</v>
      </c>
      <c r="BQ24" s="28">
        <v>1</v>
      </c>
      <c r="BS24" s="28" t="s">
        <v>118</v>
      </c>
      <c r="BT24" s="28"/>
      <c r="BU24" s="28"/>
      <c r="BV24" s="28"/>
      <c r="BX24" s="28" t="s">
        <v>84</v>
      </c>
      <c r="BY24" s="28"/>
      <c r="BZ24" s="28" t="s">
        <v>82</v>
      </c>
      <c r="CA24" s="28"/>
      <c r="CB24" s="28" t="s">
        <v>82</v>
      </c>
      <c r="CC24" s="28"/>
      <c r="CD24" s="28" t="s">
        <v>82</v>
      </c>
      <c r="CE24" s="28"/>
      <c r="CF24" s="28"/>
      <c r="CG24" s="28"/>
      <c r="CI24" s="28" t="s">
        <v>82</v>
      </c>
      <c r="CJ24" s="28"/>
      <c r="CK24" s="28" t="s">
        <v>82</v>
      </c>
      <c r="CL24" s="28"/>
      <c r="CM24" s="28" t="s">
        <v>84</v>
      </c>
      <c r="CN24" s="28"/>
      <c r="CO24" s="28" t="s">
        <v>1474</v>
      </c>
      <c r="CP24" s="28" t="s">
        <v>1475</v>
      </c>
      <c r="CQ24" s="28" t="s">
        <v>99</v>
      </c>
      <c r="CR24" s="28" t="s">
        <v>80</v>
      </c>
      <c r="CS24" s="28" t="s">
        <v>97</v>
      </c>
      <c r="CT24" s="28"/>
      <c r="CU24" s="28" t="s">
        <v>246</v>
      </c>
      <c r="CV24" s="28"/>
      <c r="CW24" s="28" t="s">
        <v>84</v>
      </c>
      <c r="CX24" s="28" t="s">
        <v>1476</v>
      </c>
      <c r="CY24" s="28"/>
      <c r="CZ24" s="28"/>
      <c r="DA24" s="28" t="s">
        <v>84</v>
      </c>
      <c r="DB24" s="28" t="s">
        <v>1477</v>
      </c>
      <c r="DC24" s="28" t="s">
        <v>84</v>
      </c>
      <c r="DD24" s="28" t="s">
        <v>84</v>
      </c>
      <c r="DG24" s="28">
        <v>1</v>
      </c>
      <c r="DH24" s="28">
        <v>1</v>
      </c>
      <c r="DI24" s="28">
        <v>1</v>
      </c>
      <c r="DJ24" s="28">
        <v>1</v>
      </c>
      <c r="DK24" s="28">
        <v>4</v>
      </c>
      <c r="DL24" s="28">
        <v>1</v>
      </c>
      <c r="DM24" s="28">
        <v>1</v>
      </c>
      <c r="DN24" s="28">
        <v>1</v>
      </c>
      <c r="DO24" s="28">
        <v>4</v>
      </c>
      <c r="DP24" s="28">
        <v>1</v>
      </c>
      <c r="DQ24" s="28">
        <v>3</v>
      </c>
      <c r="DR24" s="28">
        <v>1</v>
      </c>
      <c r="DS24" s="28" t="s">
        <v>99</v>
      </c>
      <c r="DT24" s="28" t="s">
        <v>84</v>
      </c>
      <c r="DU24" s="28"/>
      <c r="DV24" s="28" t="s">
        <v>84</v>
      </c>
      <c r="DW24" s="28" t="s">
        <v>93</v>
      </c>
      <c r="DX24" s="28" t="s">
        <v>81</v>
      </c>
      <c r="DY24" s="28" t="s">
        <v>1478</v>
      </c>
      <c r="DZ24" s="28" t="s">
        <v>93</v>
      </c>
      <c r="EA24" s="28" t="s">
        <v>1479</v>
      </c>
      <c r="EB24" s="28" t="s">
        <v>82</v>
      </c>
      <c r="EC24" s="28"/>
      <c r="ED24" s="28" t="s">
        <v>81</v>
      </c>
      <c r="EE24" s="28" t="s">
        <v>1480</v>
      </c>
      <c r="EF24" s="28" t="s">
        <v>82</v>
      </c>
      <c r="EG24" s="28" t="s">
        <v>82</v>
      </c>
      <c r="EH24" s="28" t="s">
        <v>84</v>
      </c>
      <c r="EI24" s="28" t="s">
        <v>1481</v>
      </c>
      <c r="EJ24" s="28" t="s">
        <v>1482</v>
      </c>
      <c r="EK24" s="28" t="s">
        <v>1483</v>
      </c>
      <c r="EL24" s="28" t="s">
        <v>1484</v>
      </c>
      <c r="EM24" s="11">
        <v>1163.6099999999999</v>
      </c>
      <c r="EN24" s="11">
        <v>44.14</v>
      </c>
      <c r="EQ24" s="11">
        <v>57.55</v>
      </c>
      <c r="EW24" s="11">
        <v>27.76</v>
      </c>
      <c r="FF24" s="11">
        <v>141.86000000000001</v>
      </c>
      <c r="FJ24" s="11">
        <v>19.63</v>
      </c>
      <c r="FP24" s="11">
        <v>32.26</v>
      </c>
      <c r="FV24" s="11">
        <v>95.06</v>
      </c>
      <c r="GC24" s="11">
        <v>214.81</v>
      </c>
      <c r="GT24" s="11">
        <v>17.48</v>
      </c>
      <c r="GX24" s="11">
        <v>139.85</v>
      </c>
      <c r="HB24" s="11">
        <v>373.21</v>
      </c>
      <c r="HQ24" s="62">
        <f t="shared" si="0"/>
        <v>1163.6099999999999</v>
      </c>
      <c r="HR24" s="62">
        <f t="shared" si="2"/>
        <v>19.3935</v>
      </c>
    </row>
    <row r="25" spans="1:226" ht="12.95" customHeight="1" x14ac:dyDescent="0.2">
      <c r="A25" s="11">
        <v>84</v>
      </c>
      <c r="B25" s="11">
        <v>38</v>
      </c>
      <c r="C25" s="11" t="s">
        <v>83</v>
      </c>
      <c r="D25" s="11">
        <v>11</v>
      </c>
      <c r="E25" s="11" t="s">
        <v>79</v>
      </c>
      <c r="F25" s="11">
        <v>2044331580</v>
      </c>
      <c r="G25" s="11" t="s">
        <v>81</v>
      </c>
      <c r="H25" s="11" t="s">
        <v>84</v>
      </c>
      <c r="I25" s="28" t="s">
        <v>119</v>
      </c>
      <c r="J25" s="28" t="s">
        <v>1485</v>
      </c>
      <c r="M25" s="28" t="s">
        <v>1319</v>
      </c>
      <c r="N25" s="28" t="s">
        <v>108</v>
      </c>
      <c r="O25" s="28" t="s">
        <v>1486</v>
      </c>
      <c r="P25" s="28" t="s">
        <v>87</v>
      </c>
      <c r="Q25" s="28" t="s">
        <v>1358</v>
      </c>
      <c r="S25" s="28" t="s">
        <v>84</v>
      </c>
      <c r="T25" s="28" t="s">
        <v>84</v>
      </c>
      <c r="U25" s="28" t="s">
        <v>84</v>
      </c>
      <c r="V25" s="28" t="s">
        <v>84</v>
      </c>
      <c r="W25" s="28" t="s">
        <v>82</v>
      </c>
      <c r="X25" s="28" t="s">
        <v>84</v>
      </c>
      <c r="Y25" s="28" t="s">
        <v>82</v>
      </c>
      <c r="Z25" s="28" t="s">
        <v>82</v>
      </c>
      <c r="AA25" s="28"/>
      <c r="AB25" s="28" t="s">
        <v>82</v>
      </c>
      <c r="AC25" s="28"/>
      <c r="AD25" s="28" t="s">
        <v>84</v>
      </c>
      <c r="AE25" s="28" t="s">
        <v>1115</v>
      </c>
      <c r="AF25" s="28" t="s">
        <v>1487</v>
      </c>
      <c r="AG25" s="28" t="s">
        <v>80</v>
      </c>
      <c r="AH25" s="28"/>
      <c r="AI25" s="28" t="s">
        <v>84</v>
      </c>
      <c r="AJ25" s="28" t="s">
        <v>1488</v>
      </c>
      <c r="AK25" s="28" t="s">
        <v>1489</v>
      </c>
      <c r="AL25" s="28" t="s">
        <v>140</v>
      </c>
      <c r="AM25" s="28" t="s">
        <v>91</v>
      </c>
      <c r="AN25" s="28"/>
      <c r="AO25" s="28" t="s">
        <v>80</v>
      </c>
      <c r="AQ25" s="28" t="s">
        <v>80</v>
      </c>
      <c r="AR25" s="28" t="s">
        <v>80</v>
      </c>
      <c r="AS25" s="28" t="s">
        <v>80</v>
      </c>
      <c r="AT25" s="28" t="s">
        <v>80</v>
      </c>
      <c r="AU25" s="28"/>
      <c r="AW25" s="28" t="s">
        <v>84</v>
      </c>
      <c r="AX25" s="28" t="s">
        <v>84</v>
      </c>
      <c r="AY25" s="28" t="s">
        <v>84</v>
      </c>
      <c r="AZ25" s="28" t="s">
        <v>84</v>
      </c>
      <c r="BA25" s="28"/>
      <c r="BB25" s="28" t="s">
        <v>84</v>
      </c>
      <c r="BC25" s="28" t="s">
        <v>80</v>
      </c>
      <c r="BD25" s="28" t="s">
        <v>113</v>
      </c>
      <c r="BE25" s="28" t="s">
        <v>100</v>
      </c>
      <c r="BF25" s="28" t="s">
        <v>112</v>
      </c>
      <c r="BG25" s="28" t="s">
        <v>84</v>
      </c>
      <c r="BH25" s="28" t="s">
        <v>84</v>
      </c>
      <c r="BI25" s="28" t="s">
        <v>1490</v>
      </c>
      <c r="BJ25" s="28" t="s">
        <v>84</v>
      </c>
      <c r="BK25" s="28" t="s">
        <v>80</v>
      </c>
      <c r="BL25" s="28">
        <v>4</v>
      </c>
      <c r="BM25" s="28">
        <v>5</v>
      </c>
      <c r="BN25" s="28">
        <v>5</v>
      </c>
      <c r="BO25" s="28">
        <v>5</v>
      </c>
      <c r="BP25" s="28">
        <v>5</v>
      </c>
      <c r="BQ25" s="28">
        <v>5</v>
      </c>
      <c r="BS25" s="28" t="s">
        <v>118</v>
      </c>
      <c r="BT25" s="28"/>
      <c r="BU25" s="28"/>
      <c r="BV25" s="28"/>
      <c r="BX25" s="28" t="s">
        <v>84</v>
      </c>
      <c r="BY25" s="28"/>
      <c r="BZ25" s="28" t="s">
        <v>82</v>
      </c>
      <c r="CA25" s="28"/>
      <c r="CB25" s="28" t="s">
        <v>82</v>
      </c>
      <c r="CC25" s="28"/>
      <c r="CD25" s="28" t="s">
        <v>82</v>
      </c>
      <c r="CE25" s="28"/>
      <c r="CF25" s="28"/>
      <c r="CG25" s="28"/>
      <c r="CI25" s="28" t="s">
        <v>84</v>
      </c>
      <c r="CJ25" s="28"/>
      <c r="CK25" s="28" t="s">
        <v>84</v>
      </c>
      <c r="CL25" s="28"/>
      <c r="CM25" s="28" t="s">
        <v>84</v>
      </c>
      <c r="CN25" s="28"/>
      <c r="CO25" s="28"/>
      <c r="CP25" s="28"/>
      <c r="CQ25" s="28" t="s">
        <v>118</v>
      </c>
      <c r="CR25" s="28" t="s">
        <v>84</v>
      </c>
      <c r="CS25" s="28" t="s">
        <v>1312</v>
      </c>
      <c r="CT25" s="28" t="s">
        <v>1491</v>
      </c>
      <c r="CU25" s="28" t="s">
        <v>81</v>
      </c>
      <c r="CV25" s="28"/>
      <c r="CW25" s="28" t="s">
        <v>82</v>
      </c>
      <c r="CX25" s="28"/>
      <c r="CY25" s="28" t="s">
        <v>81</v>
      </c>
      <c r="CZ25" s="28" t="s">
        <v>1492</v>
      </c>
      <c r="DA25" s="28" t="s">
        <v>82</v>
      </c>
      <c r="DB25" s="28"/>
      <c r="DC25" s="28" t="s">
        <v>82</v>
      </c>
      <c r="DD25" s="28" t="s">
        <v>82</v>
      </c>
      <c r="DG25" s="28">
        <v>3</v>
      </c>
      <c r="DH25" s="28">
        <v>5</v>
      </c>
      <c r="DI25" s="28">
        <v>3</v>
      </c>
      <c r="DJ25" s="28">
        <v>5</v>
      </c>
      <c r="DK25" s="28">
        <v>3</v>
      </c>
      <c r="DL25" s="28">
        <v>5</v>
      </c>
      <c r="DM25" s="28">
        <v>3</v>
      </c>
      <c r="DN25" s="28">
        <v>5</v>
      </c>
      <c r="DO25" s="28">
        <v>5</v>
      </c>
      <c r="DP25" s="28">
        <v>5</v>
      </c>
      <c r="DQ25" s="28">
        <v>5</v>
      </c>
      <c r="DR25" s="28">
        <v>5</v>
      </c>
      <c r="DS25" s="28" t="s">
        <v>99</v>
      </c>
      <c r="DT25" s="28" t="s">
        <v>106</v>
      </c>
      <c r="DU25" s="28"/>
      <c r="DV25" s="28" t="s">
        <v>84</v>
      </c>
      <c r="DW25" s="28" t="s">
        <v>100</v>
      </c>
      <c r="DX25" s="28" t="s">
        <v>81</v>
      </c>
      <c r="DY25" s="28" t="s">
        <v>1493</v>
      </c>
      <c r="DZ25" s="28" t="s">
        <v>113</v>
      </c>
      <c r="EA25" s="28" t="s">
        <v>1494</v>
      </c>
      <c r="EB25" s="28" t="s">
        <v>82</v>
      </c>
      <c r="EC25" s="28"/>
      <c r="ED25" s="28" t="s">
        <v>246</v>
      </c>
      <c r="EE25" s="28" t="s">
        <v>1495</v>
      </c>
      <c r="EF25" s="28" t="s">
        <v>82</v>
      </c>
      <c r="EG25" s="28" t="s">
        <v>84</v>
      </c>
      <c r="EH25" s="28" t="s">
        <v>84</v>
      </c>
      <c r="EI25" s="28" t="s">
        <v>1496</v>
      </c>
      <c r="EJ25" s="28" t="s">
        <v>1497</v>
      </c>
      <c r="EK25" s="28" t="s">
        <v>1498</v>
      </c>
      <c r="EL25" s="28" t="s">
        <v>1499</v>
      </c>
      <c r="EM25" s="11">
        <v>5614.43</v>
      </c>
      <c r="EN25" s="11">
        <v>12.78</v>
      </c>
      <c r="EQ25" s="11">
        <v>184.33</v>
      </c>
      <c r="EW25" s="11">
        <v>266.02999999999997</v>
      </c>
      <c r="FF25" s="11">
        <v>208.33</v>
      </c>
      <c r="FJ25" s="11">
        <v>31.35</v>
      </c>
      <c r="FP25" s="11">
        <v>79.36</v>
      </c>
      <c r="FV25" s="11">
        <v>523.03</v>
      </c>
      <c r="GC25" s="11">
        <v>440.42</v>
      </c>
      <c r="GT25" s="11">
        <v>25.37</v>
      </c>
      <c r="GX25" s="11">
        <v>104.99</v>
      </c>
      <c r="HB25" s="11">
        <v>3738.44</v>
      </c>
      <c r="HQ25" s="62">
        <f t="shared" si="0"/>
        <v>5614.43</v>
      </c>
      <c r="HR25" s="62">
        <f t="shared" si="2"/>
        <v>93.57383333333334</v>
      </c>
    </row>
    <row r="26" spans="1:226" ht="12.95" customHeight="1" x14ac:dyDescent="0.2">
      <c r="A26" s="11">
        <v>85</v>
      </c>
      <c r="B26" s="11">
        <v>39</v>
      </c>
      <c r="C26" s="11" t="s">
        <v>83</v>
      </c>
      <c r="D26" s="11">
        <v>11</v>
      </c>
      <c r="E26" s="11" t="s">
        <v>79</v>
      </c>
      <c r="F26" s="11">
        <v>2143805349</v>
      </c>
      <c r="G26" s="11" t="s">
        <v>81</v>
      </c>
      <c r="H26" s="11" t="s">
        <v>84</v>
      </c>
      <c r="I26" s="28" t="s">
        <v>119</v>
      </c>
      <c r="J26" s="28" t="s">
        <v>1500</v>
      </c>
      <c r="M26" s="28" t="s">
        <v>1319</v>
      </c>
      <c r="N26" s="28" t="s">
        <v>86</v>
      </c>
      <c r="O26" s="28"/>
      <c r="P26" s="28" t="s">
        <v>87</v>
      </c>
      <c r="Q26" s="28" t="s">
        <v>1296</v>
      </c>
      <c r="S26" s="28" t="s">
        <v>84</v>
      </c>
      <c r="T26" s="28" t="s">
        <v>84</v>
      </c>
      <c r="U26" s="28" t="s">
        <v>84</v>
      </c>
      <c r="V26" s="28" t="s">
        <v>82</v>
      </c>
      <c r="W26" s="28" t="s">
        <v>82</v>
      </c>
      <c r="X26" s="28" t="s">
        <v>82</v>
      </c>
      <c r="Y26" s="28" t="s">
        <v>82</v>
      </c>
      <c r="Z26" s="28" t="s">
        <v>84</v>
      </c>
      <c r="AA26" s="28"/>
      <c r="AB26" s="28" t="s">
        <v>82</v>
      </c>
      <c r="AC26" s="28"/>
      <c r="AD26" s="28" t="s">
        <v>84</v>
      </c>
      <c r="AE26" s="28" t="s">
        <v>1501</v>
      </c>
      <c r="AF26" s="28" t="s">
        <v>1502</v>
      </c>
      <c r="AG26" s="28" t="s">
        <v>80</v>
      </c>
      <c r="AH26" s="28"/>
      <c r="AI26" s="28" t="s">
        <v>84</v>
      </c>
      <c r="AJ26" s="28"/>
      <c r="AK26" s="28" t="s">
        <v>1503</v>
      </c>
      <c r="AL26" s="28" t="s">
        <v>126</v>
      </c>
      <c r="AM26" s="28" t="s">
        <v>91</v>
      </c>
      <c r="AN26" s="28"/>
      <c r="AO26" s="28" t="s">
        <v>80</v>
      </c>
      <c r="AQ26" s="28" t="s">
        <v>80</v>
      </c>
      <c r="AR26" s="28" t="s">
        <v>80</v>
      </c>
      <c r="AS26" s="28" t="s">
        <v>80</v>
      </c>
      <c r="AT26" s="28" t="s">
        <v>80</v>
      </c>
      <c r="AU26" s="28"/>
      <c r="AW26" s="28" t="s">
        <v>84</v>
      </c>
      <c r="AX26" s="28" t="s">
        <v>84</v>
      </c>
      <c r="AY26" s="28" t="s">
        <v>84</v>
      </c>
      <c r="AZ26" s="28" t="s">
        <v>84</v>
      </c>
      <c r="BA26" s="28" t="s">
        <v>1504</v>
      </c>
      <c r="BB26" s="28" t="s">
        <v>84</v>
      </c>
      <c r="BC26" s="28" t="s">
        <v>80</v>
      </c>
      <c r="BD26" s="28" t="s">
        <v>93</v>
      </c>
      <c r="BE26" s="28" t="s">
        <v>93</v>
      </c>
      <c r="BF26" s="28" t="s">
        <v>100</v>
      </c>
      <c r="BG26" s="28" t="s">
        <v>84</v>
      </c>
      <c r="BH26" s="28" t="s">
        <v>84</v>
      </c>
      <c r="BI26" s="28" t="s">
        <v>1505</v>
      </c>
      <c r="BJ26" s="28" t="s">
        <v>84</v>
      </c>
      <c r="BK26" s="28" t="s">
        <v>80</v>
      </c>
      <c r="BL26" s="28">
        <v>1</v>
      </c>
      <c r="BM26" s="28">
        <v>1</v>
      </c>
      <c r="BN26" s="28">
        <v>3</v>
      </c>
      <c r="BO26" s="28">
        <v>1</v>
      </c>
      <c r="BP26" s="28">
        <v>2</v>
      </c>
      <c r="BQ26" s="28">
        <v>1</v>
      </c>
      <c r="BS26" s="28" t="s">
        <v>99</v>
      </c>
      <c r="BT26" s="28"/>
      <c r="BU26" s="28"/>
      <c r="BV26" s="28"/>
      <c r="BX26" s="28" t="s">
        <v>82</v>
      </c>
      <c r="BY26" s="28"/>
      <c r="BZ26" s="28" t="s">
        <v>84</v>
      </c>
      <c r="CA26" s="28" t="s">
        <v>1506</v>
      </c>
      <c r="CB26" s="28" t="s">
        <v>82</v>
      </c>
      <c r="CC26" s="28"/>
      <c r="CD26" s="28" t="s">
        <v>82</v>
      </c>
      <c r="CE26" s="28"/>
      <c r="CF26" s="28"/>
      <c r="CG26" s="28"/>
      <c r="CI26" s="28" t="s">
        <v>82</v>
      </c>
      <c r="CJ26" s="28"/>
      <c r="CK26" s="28" t="s">
        <v>84</v>
      </c>
      <c r="CL26" s="28" t="s">
        <v>1507</v>
      </c>
      <c r="CM26" s="28" t="s">
        <v>82</v>
      </c>
      <c r="CN26" s="28"/>
      <c r="CO26" s="28"/>
      <c r="CP26" s="28"/>
      <c r="CQ26" s="28" t="s">
        <v>118</v>
      </c>
      <c r="CR26" s="28" t="s">
        <v>84</v>
      </c>
      <c r="CS26" s="28" t="s">
        <v>1312</v>
      </c>
      <c r="CT26" s="28" t="s">
        <v>1508</v>
      </c>
      <c r="CU26" s="28" t="s">
        <v>81</v>
      </c>
      <c r="CV26" s="28" t="s">
        <v>1509</v>
      </c>
      <c r="CW26" s="28" t="s">
        <v>82</v>
      </c>
      <c r="CX26" s="28"/>
      <c r="CY26" s="28" t="s">
        <v>81</v>
      </c>
      <c r="CZ26" s="28"/>
      <c r="DA26" s="28" t="s">
        <v>82</v>
      </c>
      <c r="DB26" s="28"/>
      <c r="DC26" s="28" t="s">
        <v>84</v>
      </c>
      <c r="DD26" s="28" t="s">
        <v>84</v>
      </c>
      <c r="DG26" s="28">
        <v>1</v>
      </c>
      <c r="DH26" s="28">
        <v>1</v>
      </c>
      <c r="DI26" s="28">
        <v>3</v>
      </c>
      <c r="DJ26" s="28">
        <v>5</v>
      </c>
      <c r="DK26" s="28">
        <v>4</v>
      </c>
      <c r="DL26" s="28">
        <v>4</v>
      </c>
      <c r="DM26" s="28">
        <v>1</v>
      </c>
      <c r="DN26" s="28">
        <v>1</v>
      </c>
      <c r="DO26" s="28">
        <v>1</v>
      </c>
      <c r="DP26" s="28">
        <v>1</v>
      </c>
      <c r="DQ26" s="28">
        <v>2</v>
      </c>
      <c r="DR26" s="28">
        <v>1</v>
      </c>
      <c r="DS26" s="28" t="s">
        <v>118</v>
      </c>
      <c r="DT26" s="28" t="s">
        <v>84</v>
      </c>
      <c r="DU26" s="28"/>
      <c r="DV26" s="28" t="s">
        <v>84</v>
      </c>
      <c r="DW26" s="28" t="s">
        <v>113</v>
      </c>
      <c r="DX26" s="28" t="s">
        <v>81</v>
      </c>
      <c r="DY26" s="28" t="s">
        <v>1510</v>
      </c>
      <c r="DZ26" s="28" t="s">
        <v>93</v>
      </c>
      <c r="EA26" s="28" t="s">
        <v>1511</v>
      </c>
      <c r="EB26" s="28" t="s">
        <v>82</v>
      </c>
      <c r="EC26" s="28"/>
      <c r="ED26" s="28" t="s">
        <v>246</v>
      </c>
      <c r="EE26" s="28" t="s">
        <v>1512</v>
      </c>
      <c r="EF26" s="28" t="s">
        <v>84</v>
      </c>
      <c r="EG26" s="28" t="s">
        <v>84</v>
      </c>
      <c r="EH26" s="28" t="s">
        <v>84</v>
      </c>
      <c r="EI26" s="28" t="s">
        <v>1513</v>
      </c>
      <c r="EJ26" s="28" t="s">
        <v>1514</v>
      </c>
      <c r="EK26" s="28" t="s">
        <v>1515</v>
      </c>
      <c r="EL26" s="28" t="s">
        <v>1516</v>
      </c>
      <c r="EM26" s="11">
        <v>978.57</v>
      </c>
      <c r="EN26" s="11">
        <v>41.8</v>
      </c>
      <c r="EQ26" s="11">
        <v>52.89</v>
      </c>
      <c r="EW26" s="11">
        <v>67.56</v>
      </c>
      <c r="FF26" s="11">
        <v>39.29</v>
      </c>
      <c r="FJ26" s="11">
        <v>23.86</v>
      </c>
      <c r="FP26" s="11">
        <v>28.86</v>
      </c>
      <c r="FV26" s="11">
        <v>81.03</v>
      </c>
      <c r="GC26" s="11">
        <v>269.69</v>
      </c>
      <c r="GT26" s="11">
        <v>16.21</v>
      </c>
      <c r="GX26" s="11">
        <v>70.14</v>
      </c>
      <c r="HB26" s="11">
        <v>287.24</v>
      </c>
      <c r="HQ26" s="62">
        <f t="shared" si="0"/>
        <v>978.57</v>
      </c>
      <c r="HR26" s="62">
        <f t="shared" si="2"/>
        <v>16.3095</v>
      </c>
    </row>
    <row r="27" spans="1:226" s="33" customFormat="1" ht="12.95" customHeight="1" x14ac:dyDescent="0.2">
      <c r="A27" s="33">
        <v>86</v>
      </c>
      <c r="B27" s="33">
        <v>40</v>
      </c>
      <c r="D27" s="33">
        <v>6</v>
      </c>
      <c r="E27" s="33" t="s">
        <v>79</v>
      </c>
      <c r="F27" s="33">
        <v>148686994</v>
      </c>
      <c r="G27" s="33" t="s">
        <v>81</v>
      </c>
      <c r="H27" s="33" t="s">
        <v>84</v>
      </c>
      <c r="I27" s="33" t="s">
        <v>107</v>
      </c>
      <c r="K27" s="24"/>
      <c r="L27" s="24"/>
      <c r="M27" s="33" t="s">
        <v>1319</v>
      </c>
      <c r="N27" s="33" t="s">
        <v>108</v>
      </c>
      <c r="P27" s="33" t="s">
        <v>195</v>
      </c>
      <c r="Q27" s="33" t="s">
        <v>1375</v>
      </c>
      <c r="R27" s="24"/>
      <c r="S27" s="33" t="s">
        <v>84</v>
      </c>
      <c r="T27" s="33" t="s">
        <v>84</v>
      </c>
      <c r="U27" s="33" t="s">
        <v>82</v>
      </c>
      <c r="V27" s="33" t="s">
        <v>84</v>
      </c>
      <c r="W27" s="33" t="s">
        <v>82</v>
      </c>
      <c r="X27" s="33" t="s">
        <v>82</v>
      </c>
      <c r="Y27" s="33" t="s">
        <v>84</v>
      </c>
      <c r="Z27" s="33" t="s">
        <v>84</v>
      </c>
      <c r="AB27" s="33" t="s">
        <v>84</v>
      </c>
      <c r="AD27" s="33" t="s">
        <v>82</v>
      </c>
      <c r="AG27" s="33" t="s">
        <v>84</v>
      </c>
      <c r="AI27" s="33" t="s">
        <v>84</v>
      </c>
      <c r="AL27" s="33" t="s">
        <v>126</v>
      </c>
      <c r="AM27" s="33" t="s">
        <v>111</v>
      </c>
      <c r="AO27" s="33" t="s">
        <v>80</v>
      </c>
      <c r="AP27" s="24"/>
      <c r="AQ27" s="33" t="s">
        <v>84</v>
      </c>
      <c r="AR27" s="33" t="s">
        <v>82</v>
      </c>
      <c r="AS27" s="33" t="s">
        <v>82</v>
      </c>
      <c r="AT27" s="33" t="s">
        <v>82</v>
      </c>
      <c r="AV27" s="24"/>
      <c r="AW27" s="33" t="s">
        <v>80</v>
      </c>
      <c r="AX27" s="33" t="s">
        <v>80</v>
      </c>
      <c r="AY27" s="33" t="s">
        <v>80</v>
      </c>
      <c r="AZ27" s="33" t="s">
        <v>80</v>
      </c>
      <c r="BB27" s="33" t="s">
        <v>84</v>
      </c>
      <c r="BC27" s="33" t="s">
        <v>80</v>
      </c>
      <c r="BD27" s="33" t="s">
        <v>100</v>
      </c>
      <c r="BE27" s="33" t="s">
        <v>100</v>
      </c>
      <c r="BF27" s="33" t="s">
        <v>93</v>
      </c>
      <c r="BH27" s="33" t="s">
        <v>80</v>
      </c>
      <c r="BJ27" s="33" t="s">
        <v>80</v>
      </c>
      <c r="BK27" s="33" t="s">
        <v>80</v>
      </c>
      <c r="BR27" s="24"/>
      <c r="BW27" s="24"/>
      <c r="BX27" s="33" t="s">
        <v>80</v>
      </c>
      <c r="BZ27" s="33" t="s">
        <v>80</v>
      </c>
      <c r="CB27" s="33" t="s">
        <v>80</v>
      </c>
      <c r="CD27" s="33" t="s">
        <v>80</v>
      </c>
      <c r="CH27" s="24"/>
      <c r="CI27" s="33" t="s">
        <v>80</v>
      </c>
      <c r="CK27" s="33" t="s">
        <v>80</v>
      </c>
      <c r="CM27" s="33" t="s">
        <v>80</v>
      </c>
      <c r="CR27" s="33" t="s">
        <v>80</v>
      </c>
      <c r="CW27" s="33" t="s">
        <v>80</v>
      </c>
      <c r="DA27" s="33" t="s">
        <v>80</v>
      </c>
      <c r="DC27" s="33" t="s">
        <v>80</v>
      </c>
      <c r="DD27" s="33" t="s">
        <v>80</v>
      </c>
      <c r="DE27" s="24"/>
      <c r="DF27" s="24"/>
      <c r="DV27" s="33" t="s">
        <v>80</v>
      </c>
      <c r="EB27" s="33" t="s">
        <v>80</v>
      </c>
      <c r="EF27" s="33" t="s">
        <v>80</v>
      </c>
      <c r="EG27" s="33" t="s">
        <v>80</v>
      </c>
      <c r="EH27" s="33" t="s">
        <v>80</v>
      </c>
      <c r="EM27" s="33">
        <v>207.16</v>
      </c>
      <c r="EN27" s="33">
        <v>29.03</v>
      </c>
      <c r="EQ27" s="33">
        <v>52.22</v>
      </c>
      <c r="EW27" s="33">
        <v>58.98</v>
      </c>
      <c r="FF27" s="33">
        <v>13.37</v>
      </c>
      <c r="FJ27" s="33">
        <v>14.9</v>
      </c>
      <c r="FP27" s="33">
        <v>38.659999999999997</v>
      </c>
      <c r="HQ27" s="63">
        <f t="shared" si="0"/>
        <v>207.16</v>
      </c>
      <c r="HR27" s="63"/>
    </row>
    <row r="28" spans="1:226" ht="12.95" customHeight="1" x14ac:dyDescent="0.2">
      <c r="A28" s="11">
        <v>87</v>
      </c>
      <c r="B28" s="11">
        <v>41</v>
      </c>
      <c r="C28" s="11" t="s">
        <v>83</v>
      </c>
      <c r="D28" s="11">
        <v>11</v>
      </c>
      <c r="E28" s="11" t="s">
        <v>79</v>
      </c>
      <c r="F28" s="11">
        <v>1729714493</v>
      </c>
      <c r="G28" s="11" t="s">
        <v>81</v>
      </c>
      <c r="H28" s="11" t="s">
        <v>84</v>
      </c>
      <c r="I28" s="28" t="s">
        <v>119</v>
      </c>
      <c r="J28" s="28" t="s">
        <v>1517</v>
      </c>
      <c r="M28" s="28" t="s">
        <v>1319</v>
      </c>
      <c r="N28" s="28" t="s">
        <v>86</v>
      </c>
      <c r="O28" s="28"/>
      <c r="P28" s="28" t="s">
        <v>87</v>
      </c>
      <c r="Q28" s="28" t="s">
        <v>1296</v>
      </c>
      <c r="S28" s="28" t="s">
        <v>84</v>
      </c>
      <c r="T28" s="28" t="s">
        <v>84</v>
      </c>
      <c r="U28" s="28" t="s">
        <v>84</v>
      </c>
      <c r="V28" s="28" t="s">
        <v>84</v>
      </c>
      <c r="W28" s="28" t="s">
        <v>82</v>
      </c>
      <c r="X28" s="28" t="s">
        <v>84</v>
      </c>
      <c r="Y28" s="28" t="s">
        <v>84</v>
      </c>
      <c r="Z28" s="28" t="s">
        <v>82</v>
      </c>
      <c r="AA28" s="28"/>
      <c r="AB28" s="28" t="s">
        <v>84</v>
      </c>
      <c r="AC28" s="28" t="s">
        <v>1518</v>
      </c>
      <c r="AD28" s="28" t="s">
        <v>84</v>
      </c>
      <c r="AE28" s="28" t="s">
        <v>240</v>
      </c>
      <c r="AF28" s="28" t="s">
        <v>1519</v>
      </c>
      <c r="AG28" s="28" t="s">
        <v>80</v>
      </c>
      <c r="AH28" s="28"/>
      <c r="AI28" s="28" t="s">
        <v>84</v>
      </c>
      <c r="AJ28" s="28"/>
      <c r="AK28" s="28" t="s">
        <v>1520</v>
      </c>
      <c r="AL28" s="28" t="s">
        <v>126</v>
      </c>
      <c r="AM28" s="28" t="s">
        <v>91</v>
      </c>
      <c r="AN28" s="28"/>
      <c r="AO28" s="28" t="s">
        <v>80</v>
      </c>
      <c r="AQ28" s="28" t="s">
        <v>80</v>
      </c>
      <c r="AR28" s="28" t="s">
        <v>80</v>
      </c>
      <c r="AS28" s="28" t="s">
        <v>80</v>
      </c>
      <c r="AT28" s="28" t="s">
        <v>80</v>
      </c>
      <c r="AU28" s="28"/>
      <c r="AW28" s="28" t="s">
        <v>84</v>
      </c>
      <c r="AX28" s="28" t="s">
        <v>84</v>
      </c>
      <c r="AY28" s="28" t="s">
        <v>84</v>
      </c>
      <c r="AZ28" s="28" t="s">
        <v>84</v>
      </c>
      <c r="BA28" s="28"/>
      <c r="BB28" s="28" t="s">
        <v>84</v>
      </c>
      <c r="BC28" s="28" t="s">
        <v>80</v>
      </c>
      <c r="BD28" s="28" t="s">
        <v>100</v>
      </c>
      <c r="BE28" s="28" t="s">
        <v>100</v>
      </c>
      <c r="BF28" s="28" t="s">
        <v>340</v>
      </c>
      <c r="BG28" s="28" t="s">
        <v>84</v>
      </c>
      <c r="BH28" s="28" t="s">
        <v>84</v>
      </c>
      <c r="BI28" s="28" t="s">
        <v>1521</v>
      </c>
      <c r="BJ28" s="28" t="s">
        <v>84</v>
      </c>
      <c r="BK28" s="28" t="s">
        <v>80</v>
      </c>
      <c r="BL28" s="28">
        <v>3</v>
      </c>
      <c r="BM28" s="28">
        <v>3</v>
      </c>
      <c r="BN28" s="28">
        <v>3</v>
      </c>
      <c r="BO28" s="28">
        <v>3</v>
      </c>
      <c r="BP28" s="28">
        <v>3</v>
      </c>
      <c r="BQ28" s="28">
        <v>3</v>
      </c>
      <c r="BS28" s="28" t="s">
        <v>97</v>
      </c>
      <c r="BT28" s="28"/>
      <c r="BU28" s="28" t="s">
        <v>246</v>
      </c>
      <c r="BV28" s="28"/>
      <c r="BX28" s="28" t="s">
        <v>80</v>
      </c>
      <c r="BY28" s="28"/>
      <c r="BZ28" s="28" t="s">
        <v>80</v>
      </c>
      <c r="CA28" s="28"/>
      <c r="CB28" s="28" t="s">
        <v>80</v>
      </c>
      <c r="CC28" s="28"/>
      <c r="CD28" s="28" t="s">
        <v>80</v>
      </c>
      <c r="CE28" s="28"/>
      <c r="CF28" s="28"/>
      <c r="CG28" s="28"/>
      <c r="CI28" s="28" t="s">
        <v>84</v>
      </c>
      <c r="CJ28" s="28"/>
      <c r="CK28" s="28" t="s">
        <v>82</v>
      </c>
      <c r="CL28" s="28"/>
      <c r="CM28" s="28" t="s">
        <v>82</v>
      </c>
      <c r="CN28" s="28"/>
      <c r="CO28" s="28"/>
      <c r="CP28" s="28"/>
      <c r="CQ28" s="28" t="s">
        <v>118</v>
      </c>
      <c r="CR28" s="28" t="s">
        <v>84</v>
      </c>
      <c r="CS28" s="28" t="s">
        <v>97</v>
      </c>
      <c r="CT28" s="28"/>
      <c r="CU28" s="28" t="s">
        <v>246</v>
      </c>
      <c r="CV28" s="28"/>
      <c r="CW28" s="28" t="s">
        <v>82</v>
      </c>
      <c r="CX28" s="28"/>
      <c r="CY28" s="28" t="s">
        <v>246</v>
      </c>
      <c r="CZ28" s="28"/>
      <c r="DA28" s="28" t="s">
        <v>84</v>
      </c>
      <c r="DB28" s="28" t="s">
        <v>1522</v>
      </c>
      <c r="DC28" s="28" t="s">
        <v>84</v>
      </c>
      <c r="DD28" s="28" t="s">
        <v>84</v>
      </c>
      <c r="DG28" s="28">
        <v>1</v>
      </c>
      <c r="DH28" s="28">
        <v>2</v>
      </c>
      <c r="DI28" s="28">
        <v>1</v>
      </c>
      <c r="DJ28" s="28">
        <v>3</v>
      </c>
      <c r="DK28" s="28">
        <v>2</v>
      </c>
      <c r="DL28" s="28">
        <v>3</v>
      </c>
      <c r="DM28" s="28">
        <v>2</v>
      </c>
      <c r="DN28" s="28">
        <v>3</v>
      </c>
      <c r="DO28" s="28">
        <v>1</v>
      </c>
      <c r="DP28" s="28">
        <v>3</v>
      </c>
      <c r="DQ28" s="28">
        <v>1</v>
      </c>
      <c r="DR28" s="28">
        <v>3</v>
      </c>
      <c r="DS28" s="28" t="s">
        <v>99</v>
      </c>
      <c r="DT28" s="28" t="s">
        <v>82</v>
      </c>
      <c r="DU28" s="28" t="s">
        <v>1523</v>
      </c>
      <c r="DV28" s="28" t="s">
        <v>84</v>
      </c>
      <c r="DW28" s="28" t="s">
        <v>100</v>
      </c>
      <c r="DX28" s="28" t="s">
        <v>81</v>
      </c>
      <c r="DY28" s="28" t="s">
        <v>1524</v>
      </c>
      <c r="DZ28" s="28" t="s">
        <v>100</v>
      </c>
      <c r="EA28" s="28" t="s">
        <v>1525</v>
      </c>
      <c r="EB28" s="28" t="s">
        <v>84</v>
      </c>
      <c r="EC28" s="28"/>
      <c r="ED28" s="28"/>
      <c r="EE28" s="28"/>
      <c r="EF28" s="28" t="s">
        <v>82</v>
      </c>
      <c r="EG28" s="28" t="s">
        <v>82</v>
      </c>
      <c r="EH28" s="28" t="s">
        <v>82</v>
      </c>
      <c r="EI28" s="28"/>
      <c r="EJ28" s="28" t="s">
        <v>1526</v>
      </c>
      <c r="EK28" s="28" t="s">
        <v>1527</v>
      </c>
      <c r="EL28" s="28" t="s">
        <v>1528</v>
      </c>
      <c r="EM28" s="11">
        <v>944.77</v>
      </c>
      <c r="EN28" s="11">
        <v>24.39</v>
      </c>
      <c r="EQ28" s="11">
        <v>59.95</v>
      </c>
      <c r="EW28" s="11">
        <v>99.57</v>
      </c>
      <c r="FF28" s="11">
        <v>58.23</v>
      </c>
      <c r="FJ28" s="11">
        <v>17.96</v>
      </c>
      <c r="FP28" s="11">
        <v>39.299999999999997</v>
      </c>
      <c r="FV28" s="11">
        <v>123.78</v>
      </c>
      <c r="GC28" s="11">
        <v>122.14</v>
      </c>
      <c r="GT28" s="11">
        <v>55.17</v>
      </c>
      <c r="GX28" s="11">
        <v>63.43</v>
      </c>
      <c r="HB28" s="11">
        <v>280.85000000000002</v>
      </c>
      <c r="HQ28" s="62">
        <f t="shared" si="0"/>
        <v>944.77</v>
      </c>
      <c r="HR28" s="62">
        <f>HQ28/60</f>
        <v>15.746166666666666</v>
      </c>
    </row>
    <row r="29" spans="1:226" ht="12.95" customHeight="1" x14ac:dyDescent="0.2">
      <c r="A29" s="11">
        <v>88</v>
      </c>
      <c r="B29" s="11">
        <v>42</v>
      </c>
      <c r="C29" s="11" t="s">
        <v>83</v>
      </c>
      <c r="D29" s="11">
        <v>11</v>
      </c>
      <c r="E29" s="11" t="s">
        <v>79</v>
      </c>
      <c r="F29" s="11">
        <v>1832814410</v>
      </c>
      <c r="G29" s="11" t="s">
        <v>81</v>
      </c>
      <c r="H29" s="11" t="s">
        <v>84</v>
      </c>
      <c r="I29" s="28" t="s">
        <v>105</v>
      </c>
      <c r="J29" s="28"/>
      <c r="M29" s="28" t="s">
        <v>1319</v>
      </c>
      <c r="N29" s="28" t="s">
        <v>618</v>
      </c>
      <c r="O29" s="28"/>
      <c r="P29" s="28" t="s">
        <v>87</v>
      </c>
      <c r="Q29" s="28" t="s">
        <v>1310</v>
      </c>
      <c r="S29" s="28" t="s">
        <v>82</v>
      </c>
      <c r="T29" s="28" t="s">
        <v>84</v>
      </c>
      <c r="U29" s="28" t="s">
        <v>84</v>
      </c>
      <c r="V29" s="28" t="s">
        <v>84</v>
      </c>
      <c r="W29" s="28" t="s">
        <v>82</v>
      </c>
      <c r="X29" s="28" t="s">
        <v>82</v>
      </c>
      <c r="Y29" s="28" t="s">
        <v>84</v>
      </c>
      <c r="Z29" s="28" t="s">
        <v>82</v>
      </c>
      <c r="AA29" s="28"/>
      <c r="AB29" s="28" t="s">
        <v>82</v>
      </c>
      <c r="AC29" s="28"/>
      <c r="AD29" s="28" t="s">
        <v>82</v>
      </c>
      <c r="AE29" s="28"/>
      <c r="AF29" s="28"/>
      <c r="AG29" s="28" t="s">
        <v>84</v>
      </c>
      <c r="AH29" s="28" t="s">
        <v>1529</v>
      </c>
      <c r="AI29" s="28" t="s">
        <v>84</v>
      </c>
      <c r="AJ29" s="28"/>
      <c r="AK29" s="28" t="s">
        <v>1530</v>
      </c>
      <c r="AL29" s="28" t="s">
        <v>126</v>
      </c>
      <c r="AM29" s="28" t="s">
        <v>111</v>
      </c>
      <c r="AN29" s="28"/>
      <c r="AO29" s="28" t="s">
        <v>80</v>
      </c>
      <c r="AQ29" s="28" t="s">
        <v>84</v>
      </c>
      <c r="AR29" s="28" t="s">
        <v>82</v>
      </c>
      <c r="AS29" s="28" t="s">
        <v>82</v>
      </c>
      <c r="AT29" s="28" t="s">
        <v>82</v>
      </c>
      <c r="AU29" s="28"/>
      <c r="AW29" s="28" t="s">
        <v>80</v>
      </c>
      <c r="AX29" s="28" t="s">
        <v>80</v>
      </c>
      <c r="AY29" s="28" t="s">
        <v>80</v>
      </c>
      <c r="AZ29" s="28" t="s">
        <v>80</v>
      </c>
      <c r="BA29" s="28"/>
      <c r="BB29" s="28" t="s">
        <v>84</v>
      </c>
      <c r="BC29" s="28" t="s">
        <v>80</v>
      </c>
      <c r="BD29" s="28" t="s">
        <v>100</v>
      </c>
      <c r="BE29" s="28" t="s">
        <v>100</v>
      </c>
      <c r="BF29" s="28" t="s">
        <v>93</v>
      </c>
      <c r="BG29" s="28" t="s">
        <v>84</v>
      </c>
      <c r="BH29" s="28" t="s">
        <v>84</v>
      </c>
      <c r="BI29" s="28" t="s">
        <v>1531</v>
      </c>
      <c r="BJ29" s="28" t="s">
        <v>84</v>
      </c>
      <c r="BK29" s="28" t="s">
        <v>80</v>
      </c>
      <c r="BL29" s="28">
        <v>5</v>
      </c>
      <c r="BM29" s="28">
        <v>5</v>
      </c>
      <c r="BN29" s="28">
        <v>4</v>
      </c>
      <c r="BO29" s="28">
        <v>5</v>
      </c>
      <c r="BP29" s="28">
        <v>3</v>
      </c>
      <c r="BQ29" s="28">
        <v>1</v>
      </c>
      <c r="BS29" s="28" t="s">
        <v>99</v>
      </c>
      <c r="BT29" s="28"/>
      <c r="BU29" s="28"/>
      <c r="BV29" s="28"/>
      <c r="BX29" s="28" t="s">
        <v>82</v>
      </c>
      <c r="BY29" s="28"/>
      <c r="BZ29" s="28" t="s">
        <v>84</v>
      </c>
      <c r="CA29" s="28"/>
      <c r="CB29" s="28" t="s">
        <v>82</v>
      </c>
      <c r="CC29" s="28"/>
      <c r="CD29" s="28" t="s">
        <v>82</v>
      </c>
      <c r="CE29" s="28"/>
      <c r="CF29" s="28"/>
      <c r="CG29" s="28"/>
      <c r="CI29" s="28" t="s">
        <v>84</v>
      </c>
      <c r="CJ29" s="28"/>
      <c r="CK29" s="28" t="s">
        <v>82</v>
      </c>
      <c r="CL29" s="28"/>
      <c r="CM29" s="28" t="s">
        <v>82</v>
      </c>
      <c r="CN29" s="28"/>
      <c r="CO29" s="28"/>
      <c r="CP29" s="28"/>
      <c r="CQ29" s="28" t="s">
        <v>118</v>
      </c>
      <c r="CR29" s="28" t="s">
        <v>84</v>
      </c>
      <c r="CS29" s="28" t="s">
        <v>97</v>
      </c>
      <c r="CT29" s="28"/>
      <c r="CU29" s="28" t="s">
        <v>246</v>
      </c>
      <c r="CV29" s="28"/>
      <c r="CW29" s="28" t="s">
        <v>82</v>
      </c>
      <c r="CX29" s="28"/>
      <c r="CY29" s="28" t="s">
        <v>81</v>
      </c>
      <c r="CZ29" s="28"/>
      <c r="DA29" s="28" t="s">
        <v>82</v>
      </c>
      <c r="DB29" s="28"/>
      <c r="DC29" s="28" t="s">
        <v>84</v>
      </c>
      <c r="DD29" s="28" t="s">
        <v>84</v>
      </c>
      <c r="DG29" s="28">
        <v>1</v>
      </c>
      <c r="DH29" s="28">
        <v>1</v>
      </c>
      <c r="DI29" s="28">
        <v>1</v>
      </c>
      <c r="DJ29" s="28">
        <v>1</v>
      </c>
      <c r="DK29" s="28">
        <v>3</v>
      </c>
      <c r="DL29" s="28">
        <v>1</v>
      </c>
      <c r="DM29" s="28">
        <v>1</v>
      </c>
      <c r="DN29" s="28">
        <v>1</v>
      </c>
      <c r="DO29" s="28">
        <v>1</v>
      </c>
      <c r="DP29" s="28">
        <v>1</v>
      </c>
      <c r="DQ29" s="28">
        <v>1</v>
      </c>
      <c r="DR29" s="28">
        <v>1</v>
      </c>
      <c r="DS29" s="28" t="s">
        <v>118</v>
      </c>
      <c r="DT29" s="28" t="s">
        <v>84</v>
      </c>
      <c r="DU29" s="28"/>
      <c r="DV29" s="28" t="s">
        <v>84</v>
      </c>
      <c r="DW29" s="28" t="s">
        <v>113</v>
      </c>
      <c r="DX29" s="28" t="s">
        <v>81</v>
      </c>
      <c r="DY29" s="28"/>
      <c r="DZ29" s="28" t="s">
        <v>113</v>
      </c>
      <c r="EA29" s="28"/>
      <c r="EB29" s="28" t="s">
        <v>82</v>
      </c>
      <c r="EC29" s="28"/>
      <c r="ED29" s="28" t="s">
        <v>246</v>
      </c>
      <c r="EE29" s="28"/>
      <c r="EF29" s="28" t="s">
        <v>82</v>
      </c>
      <c r="EG29" s="28" t="s">
        <v>82</v>
      </c>
      <c r="EH29" s="28" t="s">
        <v>82</v>
      </c>
      <c r="EI29" s="28"/>
      <c r="EJ29" s="28" t="s">
        <v>1532</v>
      </c>
      <c r="EK29" s="28" t="s">
        <v>1533</v>
      </c>
      <c r="EL29" s="28"/>
      <c r="EM29" s="11">
        <v>766.12</v>
      </c>
      <c r="EN29" s="11">
        <v>20.13</v>
      </c>
      <c r="EQ29" s="11">
        <v>50.7</v>
      </c>
      <c r="EW29" s="11">
        <v>125.53</v>
      </c>
      <c r="FF29" s="11">
        <v>33.92</v>
      </c>
      <c r="FJ29" s="11">
        <v>14.51</v>
      </c>
      <c r="FP29" s="11">
        <v>37.47</v>
      </c>
      <c r="FV29" s="11">
        <v>135</v>
      </c>
      <c r="GC29" s="11">
        <v>153.16</v>
      </c>
      <c r="GT29" s="11">
        <v>12.61</v>
      </c>
      <c r="GX29" s="11">
        <v>34.42</v>
      </c>
      <c r="HB29" s="11">
        <v>148.66999999999999</v>
      </c>
      <c r="HQ29" s="62">
        <f t="shared" si="0"/>
        <v>766.12</v>
      </c>
      <c r="HR29" s="62">
        <f>HQ29/60</f>
        <v>12.768666666666666</v>
      </c>
    </row>
    <row r="30" spans="1:226" ht="12.95" customHeight="1" x14ac:dyDescent="0.2">
      <c r="A30" s="11">
        <v>89</v>
      </c>
      <c r="B30" s="11">
        <v>44</v>
      </c>
      <c r="C30" s="11" t="s">
        <v>83</v>
      </c>
      <c r="D30" s="11">
        <v>11</v>
      </c>
      <c r="E30" s="11" t="s">
        <v>79</v>
      </c>
      <c r="F30" s="11">
        <v>1920176937</v>
      </c>
      <c r="G30" s="11" t="s">
        <v>81</v>
      </c>
      <c r="H30" s="11" t="s">
        <v>84</v>
      </c>
      <c r="I30" s="28" t="s">
        <v>107</v>
      </c>
      <c r="J30" s="28"/>
      <c r="M30" s="28" t="s">
        <v>1319</v>
      </c>
      <c r="N30" s="28" t="s">
        <v>618</v>
      </c>
      <c r="O30" s="28"/>
      <c r="P30" s="28" t="s">
        <v>87</v>
      </c>
      <c r="Q30" s="28" t="s">
        <v>1358</v>
      </c>
      <c r="S30" s="28" t="s">
        <v>84</v>
      </c>
      <c r="T30" s="28" t="s">
        <v>84</v>
      </c>
      <c r="U30" s="28" t="s">
        <v>84</v>
      </c>
      <c r="V30" s="28" t="s">
        <v>84</v>
      </c>
      <c r="W30" s="28" t="s">
        <v>82</v>
      </c>
      <c r="X30" s="28" t="s">
        <v>82</v>
      </c>
      <c r="Y30" s="28" t="s">
        <v>84</v>
      </c>
      <c r="Z30" s="28" t="s">
        <v>82</v>
      </c>
      <c r="AA30" s="28"/>
      <c r="AB30" s="28" t="s">
        <v>82</v>
      </c>
      <c r="AC30" s="28"/>
      <c r="AD30" s="28" t="s">
        <v>82</v>
      </c>
      <c r="AE30" s="28"/>
      <c r="AF30" s="28"/>
      <c r="AG30" s="28" t="s">
        <v>82</v>
      </c>
      <c r="AH30" s="28"/>
      <c r="AI30" s="28" t="s">
        <v>84</v>
      </c>
      <c r="AJ30" s="28"/>
      <c r="AK30" s="28" t="s">
        <v>1534</v>
      </c>
      <c r="AL30" s="28" t="s">
        <v>126</v>
      </c>
      <c r="AM30" s="28" t="s">
        <v>111</v>
      </c>
      <c r="AN30" s="28"/>
      <c r="AO30" s="28" t="s">
        <v>80</v>
      </c>
      <c r="AQ30" s="28" t="s">
        <v>84</v>
      </c>
      <c r="AR30" s="28" t="s">
        <v>84</v>
      </c>
      <c r="AS30" s="28" t="s">
        <v>84</v>
      </c>
      <c r="AT30" s="28" t="s">
        <v>84</v>
      </c>
      <c r="AU30" s="28"/>
      <c r="AW30" s="28" t="s">
        <v>80</v>
      </c>
      <c r="AX30" s="28" t="s">
        <v>80</v>
      </c>
      <c r="AY30" s="28" t="s">
        <v>80</v>
      </c>
      <c r="AZ30" s="28" t="s">
        <v>80</v>
      </c>
      <c r="BA30" s="28"/>
      <c r="BB30" s="28" t="s">
        <v>84</v>
      </c>
      <c r="BC30" s="28" t="s">
        <v>80</v>
      </c>
      <c r="BD30" s="28" t="s">
        <v>113</v>
      </c>
      <c r="BE30" s="28" t="s">
        <v>113</v>
      </c>
      <c r="BF30" s="28" t="s">
        <v>340</v>
      </c>
      <c r="BG30" s="28" t="s">
        <v>84</v>
      </c>
      <c r="BH30" s="28" t="s">
        <v>84</v>
      </c>
      <c r="BI30" s="28" t="s">
        <v>1535</v>
      </c>
      <c r="BJ30" s="28" t="s">
        <v>84</v>
      </c>
      <c r="BK30" s="28" t="s">
        <v>80</v>
      </c>
      <c r="BL30" s="28">
        <v>3</v>
      </c>
      <c r="BM30" s="28">
        <v>2</v>
      </c>
      <c r="BN30" s="28">
        <v>2</v>
      </c>
      <c r="BO30" s="28">
        <v>1</v>
      </c>
      <c r="BP30" s="28">
        <v>4</v>
      </c>
      <c r="BQ30" s="28">
        <v>1</v>
      </c>
      <c r="BS30" s="28" t="s">
        <v>97</v>
      </c>
      <c r="BT30" s="28"/>
      <c r="BU30" s="28" t="s">
        <v>246</v>
      </c>
      <c r="BV30" s="28" t="s">
        <v>1536</v>
      </c>
      <c r="BX30" s="28" t="s">
        <v>80</v>
      </c>
      <c r="BY30" s="28"/>
      <c r="BZ30" s="28" t="s">
        <v>80</v>
      </c>
      <c r="CA30" s="28"/>
      <c r="CB30" s="28" t="s">
        <v>80</v>
      </c>
      <c r="CC30" s="28"/>
      <c r="CD30" s="28" t="s">
        <v>80</v>
      </c>
      <c r="CE30" s="28"/>
      <c r="CF30" s="28"/>
      <c r="CG30" s="28"/>
      <c r="CI30" s="28" t="s">
        <v>84</v>
      </c>
      <c r="CJ30" s="28"/>
      <c r="CK30" s="28" t="s">
        <v>84</v>
      </c>
      <c r="CL30" s="28"/>
      <c r="CM30" s="28" t="s">
        <v>82</v>
      </c>
      <c r="CN30" s="28"/>
      <c r="CO30" s="28"/>
      <c r="CP30" s="28"/>
      <c r="CQ30" s="28" t="s">
        <v>118</v>
      </c>
      <c r="CR30" s="28" t="s">
        <v>84</v>
      </c>
      <c r="CS30" s="28" t="s">
        <v>97</v>
      </c>
      <c r="CT30" s="28"/>
      <c r="CU30" s="28" t="s">
        <v>246</v>
      </c>
      <c r="CV30" s="28"/>
      <c r="CW30" s="28" t="s">
        <v>82</v>
      </c>
      <c r="CX30" s="28"/>
      <c r="CY30" s="28" t="s">
        <v>81</v>
      </c>
      <c r="CZ30" s="28" t="s">
        <v>1537</v>
      </c>
      <c r="DA30" s="28" t="s">
        <v>82</v>
      </c>
      <c r="DB30" s="28"/>
      <c r="DC30" s="28" t="s">
        <v>84</v>
      </c>
      <c r="DD30" s="28" t="s">
        <v>82</v>
      </c>
      <c r="DG30" s="28">
        <v>3</v>
      </c>
      <c r="DH30" s="28">
        <v>1</v>
      </c>
      <c r="DI30" s="28">
        <v>4</v>
      </c>
      <c r="DJ30" s="28">
        <v>2</v>
      </c>
      <c r="DK30" s="28">
        <v>1</v>
      </c>
      <c r="DL30" s="28">
        <v>2</v>
      </c>
      <c r="DM30" s="28">
        <v>2</v>
      </c>
      <c r="DN30" s="28">
        <v>2</v>
      </c>
      <c r="DO30" s="28">
        <v>3</v>
      </c>
      <c r="DP30" s="28">
        <v>2</v>
      </c>
      <c r="DQ30" s="28">
        <v>4</v>
      </c>
      <c r="DR30" s="28">
        <v>2</v>
      </c>
      <c r="DS30" s="28" t="s">
        <v>97</v>
      </c>
      <c r="DT30" s="28" t="s">
        <v>106</v>
      </c>
      <c r="DU30" s="28"/>
      <c r="DV30" s="28" t="s">
        <v>84</v>
      </c>
      <c r="DW30" s="28" t="s">
        <v>100</v>
      </c>
      <c r="DX30" s="28" t="s">
        <v>81</v>
      </c>
      <c r="DY30" s="28" t="s">
        <v>1538</v>
      </c>
      <c r="DZ30" s="28" t="s">
        <v>93</v>
      </c>
      <c r="EA30" s="28"/>
      <c r="EB30" s="28" t="s">
        <v>84</v>
      </c>
      <c r="EC30" s="28"/>
      <c r="ED30" s="28"/>
      <c r="EE30" s="28"/>
      <c r="EF30" s="28" t="s">
        <v>82</v>
      </c>
      <c r="EG30" s="28" t="s">
        <v>82</v>
      </c>
      <c r="EH30" s="28" t="s">
        <v>82</v>
      </c>
      <c r="EI30" s="28"/>
      <c r="EJ30" s="28" t="s">
        <v>1539</v>
      </c>
      <c r="EK30" s="28" t="s">
        <v>1540</v>
      </c>
      <c r="EL30" s="28" t="s">
        <v>1541</v>
      </c>
      <c r="EM30" s="11">
        <v>2116.9499999999998</v>
      </c>
      <c r="EN30" s="11">
        <v>36.53</v>
      </c>
      <c r="EQ30" s="11">
        <v>92.97</v>
      </c>
      <c r="EW30" s="11">
        <v>105.5</v>
      </c>
      <c r="FF30" s="11">
        <v>91.65</v>
      </c>
      <c r="FJ30" s="11">
        <v>50.02</v>
      </c>
      <c r="FP30" s="11">
        <v>88.44</v>
      </c>
      <c r="FV30" s="11">
        <v>253.66</v>
      </c>
      <c r="GC30" s="11">
        <v>600.65</v>
      </c>
      <c r="GT30" s="11">
        <v>21.98</v>
      </c>
      <c r="GX30" s="11">
        <v>97.75</v>
      </c>
      <c r="HB30" s="11">
        <v>677.8</v>
      </c>
      <c r="HQ30" s="62">
        <f t="shared" si="0"/>
        <v>2116.9499999999998</v>
      </c>
      <c r="HR30" s="62">
        <f>HQ30/60</f>
        <v>35.282499999999999</v>
      </c>
    </row>
    <row r="31" spans="1:226" ht="12.95" customHeight="1" x14ac:dyDescent="0.2">
      <c r="A31" s="11">
        <v>90</v>
      </c>
      <c r="B31" s="11">
        <v>46</v>
      </c>
      <c r="C31" s="11" t="s">
        <v>83</v>
      </c>
      <c r="D31" s="11">
        <v>11</v>
      </c>
      <c r="E31" s="11" t="s">
        <v>79</v>
      </c>
      <c r="F31" s="11">
        <v>1966613562</v>
      </c>
      <c r="G31" s="11" t="s">
        <v>81</v>
      </c>
      <c r="H31" s="11" t="s">
        <v>84</v>
      </c>
      <c r="I31" s="28" t="s">
        <v>105</v>
      </c>
      <c r="J31" s="28"/>
      <c r="M31" s="28" t="s">
        <v>1309</v>
      </c>
      <c r="N31" s="28" t="s">
        <v>106</v>
      </c>
      <c r="O31" s="28"/>
      <c r="P31" s="28" t="s">
        <v>87</v>
      </c>
      <c r="Q31" s="28" t="s">
        <v>1358</v>
      </c>
      <c r="S31" s="28" t="s">
        <v>84</v>
      </c>
      <c r="T31" s="28" t="s">
        <v>84</v>
      </c>
      <c r="U31" s="28" t="s">
        <v>84</v>
      </c>
      <c r="V31" s="28" t="s">
        <v>82</v>
      </c>
      <c r="W31" s="28" t="s">
        <v>82</v>
      </c>
      <c r="X31" s="28" t="s">
        <v>82</v>
      </c>
      <c r="Y31" s="28" t="s">
        <v>82</v>
      </c>
      <c r="Z31" s="28" t="s">
        <v>84</v>
      </c>
      <c r="AA31" s="28"/>
      <c r="AB31" s="28" t="s">
        <v>82</v>
      </c>
      <c r="AC31" s="28"/>
      <c r="AD31" s="28" t="s">
        <v>82</v>
      </c>
      <c r="AE31" s="28"/>
      <c r="AF31" s="28"/>
      <c r="AG31" s="28" t="s">
        <v>82</v>
      </c>
      <c r="AH31" s="28" t="s">
        <v>1542</v>
      </c>
      <c r="AI31" s="28" t="s">
        <v>84</v>
      </c>
      <c r="AJ31" s="28"/>
      <c r="AK31" s="28" t="s">
        <v>1543</v>
      </c>
      <c r="AL31" s="28" t="s">
        <v>126</v>
      </c>
      <c r="AM31" s="28" t="s">
        <v>111</v>
      </c>
      <c r="AN31" s="28"/>
      <c r="AO31" s="28" t="s">
        <v>80</v>
      </c>
      <c r="AQ31" s="28" t="s">
        <v>84</v>
      </c>
      <c r="AR31" s="28" t="s">
        <v>82</v>
      </c>
      <c r="AS31" s="28" t="s">
        <v>82</v>
      </c>
      <c r="AT31" s="28" t="s">
        <v>84</v>
      </c>
      <c r="AU31" s="28"/>
      <c r="AW31" s="28" t="s">
        <v>80</v>
      </c>
      <c r="AX31" s="28" t="s">
        <v>80</v>
      </c>
      <c r="AY31" s="28" t="s">
        <v>80</v>
      </c>
      <c r="AZ31" s="28" t="s">
        <v>80</v>
      </c>
      <c r="BA31" s="28"/>
      <c r="BB31" s="28" t="s">
        <v>84</v>
      </c>
      <c r="BC31" s="28" t="s">
        <v>80</v>
      </c>
      <c r="BD31" s="28" t="s">
        <v>113</v>
      </c>
      <c r="BE31" s="28" t="s">
        <v>100</v>
      </c>
      <c r="BF31" s="28" t="s">
        <v>100</v>
      </c>
      <c r="BG31" s="28" t="s">
        <v>82</v>
      </c>
      <c r="BH31" s="28" t="s">
        <v>84</v>
      </c>
      <c r="BI31" s="28" t="s">
        <v>1544</v>
      </c>
      <c r="BJ31" s="28" t="s">
        <v>84</v>
      </c>
      <c r="BK31" s="28" t="s">
        <v>80</v>
      </c>
      <c r="BL31" s="28">
        <v>3</v>
      </c>
      <c r="BM31" s="28">
        <v>3</v>
      </c>
      <c r="BN31" s="28">
        <v>1</v>
      </c>
      <c r="BO31" s="28">
        <v>1</v>
      </c>
      <c r="BP31" s="28">
        <v>3</v>
      </c>
      <c r="BQ31" s="28">
        <v>2</v>
      </c>
      <c r="BS31" s="28" t="s">
        <v>97</v>
      </c>
      <c r="BT31" s="28"/>
      <c r="BU31" s="28" t="s">
        <v>246</v>
      </c>
      <c r="BV31" s="28"/>
      <c r="BX31" s="28" t="s">
        <v>80</v>
      </c>
      <c r="BY31" s="28"/>
      <c r="BZ31" s="28" t="s">
        <v>80</v>
      </c>
      <c r="CA31" s="28"/>
      <c r="CB31" s="28" t="s">
        <v>80</v>
      </c>
      <c r="CC31" s="28"/>
      <c r="CD31" s="28" t="s">
        <v>80</v>
      </c>
      <c r="CE31" s="28"/>
      <c r="CF31" s="28"/>
      <c r="CG31" s="28"/>
      <c r="CI31" s="28" t="s">
        <v>84</v>
      </c>
      <c r="CJ31" s="28" t="s">
        <v>1545</v>
      </c>
      <c r="CK31" s="28" t="s">
        <v>84</v>
      </c>
      <c r="CL31" s="28" t="s">
        <v>1546</v>
      </c>
      <c r="CM31" s="28" t="s">
        <v>84</v>
      </c>
      <c r="CN31" s="28" t="s">
        <v>1547</v>
      </c>
      <c r="CO31" s="28"/>
      <c r="CP31" s="28"/>
      <c r="CQ31" s="28" t="s">
        <v>97</v>
      </c>
      <c r="CR31" s="28" t="s">
        <v>82</v>
      </c>
      <c r="CS31" s="28"/>
      <c r="CT31" s="28"/>
      <c r="CU31" s="28"/>
      <c r="CV31" s="28"/>
      <c r="CW31" s="28" t="s">
        <v>82</v>
      </c>
      <c r="CX31" s="28"/>
      <c r="CY31" s="28" t="s">
        <v>81</v>
      </c>
      <c r="CZ31" s="28"/>
      <c r="DA31" s="28" t="s">
        <v>82</v>
      </c>
      <c r="DB31" s="28"/>
      <c r="DC31" s="28" t="s">
        <v>82</v>
      </c>
      <c r="DD31" s="28" t="s">
        <v>82</v>
      </c>
      <c r="DG31" s="28">
        <v>2</v>
      </c>
      <c r="DH31" s="28">
        <v>3</v>
      </c>
      <c r="DI31" s="28">
        <v>2</v>
      </c>
      <c r="DJ31" s="28">
        <v>2</v>
      </c>
      <c r="DK31" s="28">
        <v>1</v>
      </c>
      <c r="DL31" s="28">
        <v>1</v>
      </c>
      <c r="DM31" s="28">
        <v>2</v>
      </c>
      <c r="DN31" s="28">
        <v>3</v>
      </c>
      <c r="DO31" s="28">
        <v>4</v>
      </c>
      <c r="DP31" s="28">
        <v>2</v>
      </c>
      <c r="DQ31" s="28">
        <v>3</v>
      </c>
      <c r="DR31" s="28">
        <v>2</v>
      </c>
      <c r="DS31" s="28" t="s">
        <v>97</v>
      </c>
      <c r="DT31" s="28" t="s">
        <v>106</v>
      </c>
      <c r="DU31" s="28"/>
      <c r="DV31" s="28" t="s">
        <v>82</v>
      </c>
      <c r="DW31" s="28" t="s">
        <v>112</v>
      </c>
      <c r="DX31" s="28" t="s">
        <v>246</v>
      </c>
      <c r="DY31" s="28"/>
      <c r="DZ31" s="28" t="s">
        <v>100</v>
      </c>
      <c r="EA31" s="28" t="s">
        <v>1548</v>
      </c>
      <c r="EB31" s="28" t="s">
        <v>82</v>
      </c>
      <c r="EC31" s="28"/>
      <c r="ED31" s="28" t="s">
        <v>246</v>
      </c>
      <c r="EE31" s="28"/>
      <c r="EF31" s="28" t="s">
        <v>84</v>
      </c>
      <c r="EG31" s="28" t="s">
        <v>82</v>
      </c>
      <c r="EH31" s="28" t="s">
        <v>82</v>
      </c>
      <c r="EI31" s="28"/>
      <c r="EJ31" s="28" t="s">
        <v>1549</v>
      </c>
      <c r="EK31" s="28" t="s">
        <v>1550</v>
      </c>
      <c r="EL31" s="28" t="s">
        <v>1551</v>
      </c>
      <c r="EM31" s="11">
        <v>1101.9100000000001</v>
      </c>
      <c r="EN31" s="11">
        <v>29.61</v>
      </c>
      <c r="EQ31" s="11">
        <v>48.21</v>
      </c>
      <c r="EW31" s="11">
        <v>88.15</v>
      </c>
      <c r="FF31" s="11">
        <v>63.16</v>
      </c>
      <c r="FJ31" s="11">
        <v>29.48</v>
      </c>
      <c r="FP31" s="11">
        <v>47.99</v>
      </c>
      <c r="FV31" s="11">
        <v>195.79</v>
      </c>
      <c r="GC31" s="11">
        <v>320.19</v>
      </c>
      <c r="GT31" s="11">
        <v>21.37</v>
      </c>
      <c r="GX31" s="11">
        <v>54.4</v>
      </c>
      <c r="HB31" s="11">
        <v>203.56</v>
      </c>
      <c r="HQ31" s="62">
        <f t="shared" si="0"/>
        <v>1101.9100000000001</v>
      </c>
      <c r="HR31" s="62">
        <f>HQ31/60</f>
        <v>18.365166666666667</v>
      </c>
    </row>
    <row r="32" spans="1:226" s="33" customFormat="1" ht="12.95" customHeight="1" x14ac:dyDescent="0.2">
      <c r="A32" s="33">
        <v>91</v>
      </c>
      <c r="B32" s="33">
        <v>47</v>
      </c>
      <c r="D32" s="33">
        <v>7</v>
      </c>
      <c r="E32" s="33" t="s">
        <v>79</v>
      </c>
      <c r="F32" s="33">
        <v>1858927665</v>
      </c>
      <c r="G32" s="33" t="s">
        <v>81</v>
      </c>
      <c r="H32" s="33" t="s">
        <v>84</v>
      </c>
      <c r="I32" s="33" t="s">
        <v>363</v>
      </c>
      <c r="K32" s="24"/>
      <c r="L32" s="24"/>
      <c r="M32" s="33" t="s">
        <v>1319</v>
      </c>
      <c r="N32" s="33" t="s">
        <v>106</v>
      </c>
      <c r="P32" s="33" t="s">
        <v>87</v>
      </c>
      <c r="Q32" s="33" t="s">
        <v>1296</v>
      </c>
      <c r="R32" s="24"/>
      <c r="S32" s="33" t="s">
        <v>84</v>
      </c>
      <c r="T32" s="33" t="s">
        <v>84</v>
      </c>
      <c r="U32" s="33" t="s">
        <v>84</v>
      </c>
      <c r="V32" s="33" t="s">
        <v>84</v>
      </c>
      <c r="W32" s="33" t="s">
        <v>82</v>
      </c>
      <c r="X32" s="33" t="s">
        <v>84</v>
      </c>
      <c r="Y32" s="33" t="s">
        <v>82</v>
      </c>
      <c r="Z32" s="33" t="s">
        <v>84</v>
      </c>
      <c r="AB32" s="33" t="s">
        <v>82</v>
      </c>
      <c r="AD32" s="33" t="s">
        <v>82</v>
      </c>
      <c r="AG32" s="33" t="s">
        <v>82</v>
      </c>
      <c r="AI32" s="33" t="s">
        <v>82</v>
      </c>
      <c r="AL32" s="33" t="s">
        <v>126</v>
      </c>
      <c r="AM32" s="33" t="s">
        <v>91</v>
      </c>
      <c r="AO32" s="33" t="s">
        <v>80</v>
      </c>
      <c r="AP32" s="24"/>
      <c r="AQ32" s="33" t="s">
        <v>80</v>
      </c>
      <c r="AR32" s="33" t="s">
        <v>80</v>
      </c>
      <c r="AS32" s="33" t="s">
        <v>80</v>
      </c>
      <c r="AT32" s="33" t="s">
        <v>80</v>
      </c>
      <c r="AV32" s="24"/>
      <c r="AW32" s="33" t="s">
        <v>84</v>
      </c>
      <c r="AX32" s="33" t="s">
        <v>84</v>
      </c>
      <c r="AY32" s="33" t="s">
        <v>84</v>
      </c>
      <c r="AZ32" s="33" t="s">
        <v>84</v>
      </c>
      <c r="BB32" s="33" t="s">
        <v>84</v>
      </c>
      <c r="BC32" s="33" t="s">
        <v>80</v>
      </c>
      <c r="BD32" s="33" t="s">
        <v>100</v>
      </c>
      <c r="BE32" s="33" t="s">
        <v>100</v>
      </c>
      <c r="BF32" s="33" t="s">
        <v>100</v>
      </c>
      <c r="BG32" s="33" t="s">
        <v>145</v>
      </c>
      <c r="BH32" s="33" t="s">
        <v>82</v>
      </c>
      <c r="BJ32" s="33" t="s">
        <v>84</v>
      </c>
      <c r="BK32" s="33" t="s">
        <v>80</v>
      </c>
      <c r="BL32" s="33">
        <v>1</v>
      </c>
      <c r="BM32" s="33">
        <v>1</v>
      </c>
      <c r="BN32" s="33">
        <v>1</v>
      </c>
      <c r="BO32" s="33">
        <v>1</v>
      </c>
      <c r="BP32" s="33">
        <v>1</v>
      </c>
      <c r="BQ32" s="33">
        <v>1</v>
      </c>
      <c r="BR32" s="24"/>
      <c r="BW32" s="24"/>
      <c r="BX32" s="33" t="s">
        <v>80</v>
      </c>
      <c r="BZ32" s="33" t="s">
        <v>80</v>
      </c>
      <c r="CB32" s="33" t="s">
        <v>80</v>
      </c>
      <c r="CD32" s="33" t="s">
        <v>80</v>
      </c>
      <c r="CH32" s="24"/>
      <c r="CI32" s="33" t="s">
        <v>80</v>
      </c>
      <c r="CK32" s="33" t="s">
        <v>80</v>
      </c>
      <c r="CM32" s="33" t="s">
        <v>80</v>
      </c>
      <c r="CR32" s="33" t="s">
        <v>80</v>
      </c>
      <c r="CW32" s="33" t="s">
        <v>80</v>
      </c>
      <c r="DA32" s="33" t="s">
        <v>80</v>
      </c>
      <c r="DC32" s="33" t="s">
        <v>80</v>
      </c>
      <c r="DD32" s="33" t="s">
        <v>80</v>
      </c>
      <c r="DE32" s="24"/>
      <c r="DF32" s="24"/>
      <c r="DV32" s="33" t="s">
        <v>80</v>
      </c>
      <c r="EB32" s="33" t="s">
        <v>80</v>
      </c>
      <c r="EF32" s="33" t="s">
        <v>80</v>
      </c>
      <c r="EG32" s="33" t="s">
        <v>80</v>
      </c>
      <c r="EH32" s="33" t="s">
        <v>80</v>
      </c>
      <c r="EM32" s="33">
        <v>512.67999999999995</v>
      </c>
      <c r="EN32" s="33">
        <v>109.48</v>
      </c>
      <c r="EQ32" s="33">
        <v>53.66</v>
      </c>
      <c r="EW32" s="33">
        <v>108.71</v>
      </c>
      <c r="FF32" s="33">
        <v>33.33</v>
      </c>
      <c r="FJ32" s="33">
        <v>22.28</v>
      </c>
      <c r="FP32" s="33">
        <v>100.1</v>
      </c>
      <c r="FV32" s="33">
        <v>85.12</v>
      </c>
      <c r="HQ32" s="63">
        <f t="shared" si="0"/>
        <v>512.67999999999995</v>
      </c>
      <c r="HR32" s="63"/>
    </row>
    <row r="33" spans="1:226" ht="12.95" customHeight="1" x14ac:dyDescent="0.2">
      <c r="A33" s="11">
        <v>92</v>
      </c>
      <c r="B33" s="11">
        <v>48</v>
      </c>
      <c r="C33" s="11" t="s">
        <v>83</v>
      </c>
      <c r="D33" s="11">
        <v>11</v>
      </c>
      <c r="E33" s="11" t="s">
        <v>79</v>
      </c>
      <c r="F33" s="11">
        <v>1984173789</v>
      </c>
      <c r="G33" s="11" t="s">
        <v>81</v>
      </c>
      <c r="H33" s="11" t="s">
        <v>84</v>
      </c>
      <c r="I33" s="28" t="s">
        <v>107</v>
      </c>
      <c r="J33" s="28"/>
      <c r="M33" s="28" t="s">
        <v>1319</v>
      </c>
      <c r="N33" s="28" t="s">
        <v>618</v>
      </c>
      <c r="O33" s="28"/>
      <c r="P33" s="28" t="s">
        <v>87</v>
      </c>
      <c r="Q33" s="28" t="s">
        <v>1310</v>
      </c>
      <c r="S33" s="28" t="s">
        <v>84</v>
      </c>
      <c r="T33" s="28" t="s">
        <v>84</v>
      </c>
      <c r="U33" s="28" t="s">
        <v>82</v>
      </c>
      <c r="V33" s="28" t="s">
        <v>84</v>
      </c>
      <c r="W33" s="28" t="s">
        <v>84</v>
      </c>
      <c r="X33" s="28" t="s">
        <v>84</v>
      </c>
      <c r="Y33" s="28" t="s">
        <v>84</v>
      </c>
      <c r="Z33" s="28" t="s">
        <v>84</v>
      </c>
      <c r="AA33" s="28"/>
      <c r="AB33" s="28" t="s">
        <v>82</v>
      </c>
      <c r="AC33" s="28"/>
      <c r="AD33" s="28" t="s">
        <v>82</v>
      </c>
      <c r="AE33" s="28"/>
      <c r="AF33" s="28"/>
      <c r="AG33" s="28" t="s">
        <v>82</v>
      </c>
      <c r="AH33" s="28"/>
      <c r="AI33" s="28" t="s">
        <v>84</v>
      </c>
      <c r="AJ33" s="28"/>
      <c r="AK33" s="28"/>
      <c r="AL33" s="28" t="s">
        <v>126</v>
      </c>
      <c r="AM33" s="28" t="s">
        <v>91</v>
      </c>
      <c r="AN33" s="28"/>
      <c r="AO33" s="28" t="s">
        <v>80</v>
      </c>
      <c r="AQ33" s="28" t="s">
        <v>80</v>
      </c>
      <c r="AR33" s="28" t="s">
        <v>80</v>
      </c>
      <c r="AS33" s="28" t="s">
        <v>80</v>
      </c>
      <c r="AT33" s="28" t="s">
        <v>80</v>
      </c>
      <c r="AU33" s="28"/>
      <c r="AW33" s="28" t="s">
        <v>84</v>
      </c>
      <c r="AX33" s="28" t="s">
        <v>82</v>
      </c>
      <c r="AY33" s="28" t="s">
        <v>84</v>
      </c>
      <c r="AZ33" s="28" t="s">
        <v>84</v>
      </c>
      <c r="BA33" s="28"/>
      <c r="BB33" s="28" t="s">
        <v>84</v>
      </c>
      <c r="BC33" s="28" t="s">
        <v>80</v>
      </c>
      <c r="BD33" s="28" t="s">
        <v>93</v>
      </c>
      <c r="BE33" s="28" t="s">
        <v>100</v>
      </c>
      <c r="BF33" s="28" t="s">
        <v>340</v>
      </c>
      <c r="BG33" s="28" t="s">
        <v>84</v>
      </c>
      <c r="BH33" s="28" t="s">
        <v>84</v>
      </c>
      <c r="BI33" s="28"/>
      <c r="BJ33" s="28" t="s">
        <v>84</v>
      </c>
      <c r="BK33" s="28" t="s">
        <v>80</v>
      </c>
      <c r="BL33" s="28">
        <v>3</v>
      </c>
      <c r="BM33" s="28">
        <v>4</v>
      </c>
      <c r="BN33" s="28">
        <v>4</v>
      </c>
      <c r="BO33" s="28">
        <v>4</v>
      </c>
      <c r="BP33" s="28">
        <v>4</v>
      </c>
      <c r="BQ33" s="28">
        <v>4</v>
      </c>
      <c r="BS33" s="28" t="s">
        <v>97</v>
      </c>
      <c r="BT33" s="28"/>
      <c r="BU33" s="28" t="s">
        <v>246</v>
      </c>
      <c r="BV33" s="28"/>
      <c r="BX33" s="28" t="s">
        <v>80</v>
      </c>
      <c r="BY33" s="28"/>
      <c r="BZ33" s="28" t="s">
        <v>80</v>
      </c>
      <c r="CA33" s="28"/>
      <c r="CB33" s="28" t="s">
        <v>80</v>
      </c>
      <c r="CC33" s="28"/>
      <c r="CD33" s="28" t="s">
        <v>80</v>
      </c>
      <c r="CE33" s="28"/>
      <c r="CF33" s="28"/>
      <c r="CG33" s="28"/>
      <c r="CI33" s="28" t="s">
        <v>84</v>
      </c>
      <c r="CJ33" s="28"/>
      <c r="CK33" s="28" t="s">
        <v>82</v>
      </c>
      <c r="CL33" s="28"/>
      <c r="CM33" s="28" t="s">
        <v>82</v>
      </c>
      <c r="CN33" s="28"/>
      <c r="CO33" s="28"/>
      <c r="CP33" s="28"/>
      <c r="CQ33" s="28" t="s">
        <v>97</v>
      </c>
      <c r="CR33" s="28" t="s">
        <v>84</v>
      </c>
      <c r="CS33" s="28" t="s">
        <v>1312</v>
      </c>
      <c r="CT33" s="28"/>
      <c r="CU33" s="28" t="s">
        <v>81</v>
      </c>
      <c r="CV33" s="28"/>
      <c r="CW33" s="28" t="s">
        <v>84</v>
      </c>
      <c r="CX33" s="28" t="s">
        <v>1552</v>
      </c>
      <c r="CY33" s="28"/>
      <c r="CZ33" s="28"/>
      <c r="DA33" s="28" t="s">
        <v>82</v>
      </c>
      <c r="DB33" s="28"/>
      <c r="DC33" s="28" t="s">
        <v>84</v>
      </c>
      <c r="DD33" s="28" t="s">
        <v>84</v>
      </c>
      <c r="DG33" s="28">
        <v>5</v>
      </c>
      <c r="DH33" s="28">
        <v>5</v>
      </c>
      <c r="DI33" s="28">
        <v>3</v>
      </c>
      <c r="DJ33" s="28">
        <v>1</v>
      </c>
      <c r="DK33" s="28">
        <v>2</v>
      </c>
      <c r="DL33" s="28">
        <v>1</v>
      </c>
      <c r="DM33" s="28">
        <v>3</v>
      </c>
      <c r="DN33" s="28">
        <v>4</v>
      </c>
      <c r="DO33" s="28">
        <v>3</v>
      </c>
      <c r="DP33" s="28">
        <v>1</v>
      </c>
      <c r="DQ33" s="28">
        <v>4</v>
      </c>
      <c r="DR33" s="28">
        <v>1</v>
      </c>
      <c r="DS33" s="28" t="s">
        <v>97</v>
      </c>
      <c r="DT33" s="28" t="s">
        <v>84</v>
      </c>
      <c r="DU33" s="28"/>
      <c r="DV33" s="28" t="s">
        <v>84</v>
      </c>
      <c r="DW33" s="28" t="s">
        <v>100</v>
      </c>
      <c r="DX33" s="28" t="s">
        <v>81</v>
      </c>
      <c r="DY33" s="28"/>
      <c r="DZ33" s="28" t="s">
        <v>113</v>
      </c>
      <c r="EA33" s="28"/>
      <c r="EB33" s="28" t="s">
        <v>82</v>
      </c>
      <c r="EC33" s="28"/>
      <c r="ED33" s="28" t="s">
        <v>81</v>
      </c>
      <c r="EE33" s="28"/>
      <c r="EF33" s="28" t="s">
        <v>84</v>
      </c>
      <c r="EG33" s="28" t="s">
        <v>82</v>
      </c>
      <c r="EH33" s="28" t="s">
        <v>84</v>
      </c>
      <c r="EI33" s="28"/>
      <c r="EJ33" s="28"/>
      <c r="EK33" s="28"/>
      <c r="EL33" s="28"/>
      <c r="EM33" s="11">
        <v>378.25</v>
      </c>
      <c r="EN33" s="11">
        <v>13.2</v>
      </c>
      <c r="EQ33" s="11">
        <v>45.84</v>
      </c>
      <c r="EW33" s="11">
        <v>28.51</v>
      </c>
      <c r="FF33" s="11">
        <v>14.05</v>
      </c>
      <c r="FJ33" s="11">
        <v>15.05</v>
      </c>
      <c r="FP33" s="11">
        <v>34.46</v>
      </c>
      <c r="FV33" s="11">
        <v>34.19</v>
      </c>
      <c r="GC33" s="11">
        <v>125.12</v>
      </c>
      <c r="GT33" s="11">
        <v>12.69</v>
      </c>
      <c r="GX33" s="11">
        <v>12.62</v>
      </c>
      <c r="HB33" s="11">
        <v>42.52</v>
      </c>
      <c r="HQ33" s="62">
        <f t="shared" si="0"/>
        <v>378.25</v>
      </c>
      <c r="HR33" s="62">
        <f t="shared" ref="HR33:HR53" si="3">HQ33/60</f>
        <v>6.3041666666666663</v>
      </c>
    </row>
    <row r="34" spans="1:226" ht="12.95" customHeight="1" x14ac:dyDescent="0.2">
      <c r="A34" s="11">
        <v>93</v>
      </c>
      <c r="B34" s="11">
        <v>49</v>
      </c>
      <c r="C34" s="11" t="s">
        <v>83</v>
      </c>
      <c r="D34" s="11">
        <v>11</v>
      </c>
      <c r="E34" s="11" t="s">
        <v>79</v>
      </c>
      <c r="F34" s="11">
        <v>1610099854</v>
      </c>
      <c r="G34" s="11" t="s">
        <v>81</v>
      </c>
      <c r="H34" s="11" t="s">
        <v>84</v>
      </c>
      <c r="I34" s="28" t="s">
        <v>309</v>
      </c>
      <c r="J34" s="28"/>
      <c r="M34" s="28" t="s">
        <v>1319</v>
      </c>
      <c r="N34" s="28" t="s">
        <v>106</v>
      </c>
      <c r="O34" s="28"/>
      <c r="P34" s="28" t="s">
        <v>87</v>
      </c>
      <c r="Q34" s="28" t="s">
        <v>1296</v>
      </c>
      <c r="S34" s="28" t="s">
        <v>84</v>
      </c>
      <c r="T34" s="28" t="s">
        <v>84</v>
      </c>
      <c r="U34" s="28" t="s">
        <v>84</v>
      </c>
      <c r="V34" s="28" t="s">
        <v>82</v>
      </c>
      <c r="W34" s="28" t="s">
        <v>82</v>
      </c>
      <c r="X34" s="28" t="s">
        <v>82</v>
      </c>
      <c r="Y34" s="28" t="s">
        <v>82</v>
      </c>
      <c r="Z34" s="28" t="s">
        <v>82</v>
      </c>
      <c r="AA34" s="28"/>
      <c r="AB34" s="28" t="s">
        <v>82</v>
      </c>
      <c r="AC34" s="28"/>
      <c r="AD34" s="28" t="s">
        <v>82</v>
      </c>
      <c r="AE34" s="28"/>
      <c r="AF34" s="28"/>
      <c r="AG34" s="28" t="s">
        <v>82</v>
      </c>
      <c r="AH34" s="28"/>
      <c r="AI34" s="28" t="s">
        <v>84</v>
      </c>
      <c r="AJ34" s="28"/>
      <c r="AK34" s="28" t="s">
        <v>1553</v>
      </c>
      <c r="AL34" s="28" t="s">
        <v>126</v>
      </c>
      <c r="AM34" s="28" t="s">
        <v>111</v>
      </c>
      <c r="AN34" s="28"/>
      <c r="AO34" s="28" t="s">
        <v>80</v>
      </c>
      <c r="AQ34" s="28" t="s">
        <v>84</v>
      </c>
      <c r="AR34" s="28" t="s">
        <v>84</v>
      </c>
      <c r="AS34" s="28" t="s">
        <v>82</v>
      </c>
      <c r="AT34" s="28" t="s">
        <v>82</v>
      </c>
      <c r="AU34" s="28"/>
      <c r="AW34" s="28" t="s">
        <v>80</v>
      </c>
      <c r="AX34" s="28" t="s">
        <v>80</v>
      </c>
      <c r="AY34" s="28" t="s">
        <v>80</v>
      </c>
      <c r="AZ34" s="28" t="s">
        <v>80</v>
      </c>
      <c r="BA34" s="28"/>
      <c r="BB34" s="28" t="s">
        <v>84</v>
      </c>
      <c r="BC34" s="28" t="s">
        <v>80</v>
      </c>
      <c r="BD34" s="28" t="s">
        <v>93</v>
      </c>
      <c r="BE34" s="28" t="s">
        <v>113</v>
      </c>
      <c r="BF34" s="28" t="s">
        <v>100</v>
      </c>
      <c r="BG34" s="28" t="s">
        <v>145</v>
      </c>
      <c r="BH34" s="28" t="s">
        <v>82</v>
      </c>
      <c r="BI34" s="28"/>
      <c r="BJ34" s="28" t="s">
        <v>84</v>
      </c>
      <c r="BK34" s="28" t="s">
        <v>80</v>
      </c>
      <c r="BL34" s="28">
        <v>3</v>
      </c>
      <c r="BM34" s="28">
        <v>3</v>
      </c>
      <c r="BN34" s="28">
        <v>3</v>
      </c>
      <c r="BO34" s="28">
        <v>3</v>
      </c>
      <c r="BP34" s="28">
        <v>3</v>
      </c>
      <c r="BQ34" s="28">
        <v>3</v>
      </c>
      <c r="BS34" s="28" t="s">
        <v>97</v>
      </c>
      <c r="BT34" s="28"/>
      <c r="BU34" s="28" t="s">
        <v>246</v>
      </c>
      <c r="BV34" s="28"/>
      <c r="BX34" s="28" t="s">
        <v>80</v>
      </c>
      <c r="BY34" s="28"/>
      <c r="BZ34" s="28" t="s">
        <v>80</v>
      </c>
      <c r="CA34" s="28"/>
      <c r="CB34" s="28" t="s">
        <v>80</v>
      </c>
      <c r="CC34" s="28"/>
      <c r="CD34" s="28" t="s">
        <v>80</v>
      </c>
      <c r="CE34" s="28"/>
      <c r="CF34" s="28"/>
      <c r="CG34" s="28"/>
      <c r="CI34" s="28" t="s">
        <v>82</v>
      </c>
      <c r="CJ34" s="28"/>
      <c r="CK34" s="28" t="s">
        <v>82</v>
      </c>
      <c r="CL34" s="28"/>
      <c r="CM34" s="28" t="s">
        <v>82</v>
      </c>
      <c r="CN34" s="28"/>
      <c r="CO34" s="28" t="s">
        <v>1554</v>
      </c>
      <c r="CP34" s="28" t="s">
        <v>1555</v>
      </c>
      <c r="CQ34" s="28" t="s">
        <v>118</v>
      </c>
      <c r="CR34" s="28" t="s">
        <v>82</v>
      </c>
      <c r="CS34" s="28"/>
      <c r="CT34" s="28"/>
      <c r="CU34" s="28"/>
      <c r="CV34" s="28"/>
      <c r="CW34" s="28" t="s">
        <v>82</v>
      </c>
      <c r="CX34" s="28"/>
      <c r="CY34" s="28" t="s">
        <v>246</v>
      </c>
      <c r="CZ34" s="28"/>
      <c r="DA34" s="28" t="s">
        <v>82</v>
      </c>
      <c r="DB34" s="28"/>
      <c r="DC34" s="28" t="s">
        <v>82</v>
      </c>
      <c r="DD34" s="28" t="s">
        <v>82</v>
      </c>
      <c r="DG34" s="28">
        <v>3</v>
      </c>
      <c r="DH34" s="28">
        <v>3</v>
      </c>
      <c r="DI34" s="28">
        <v>3</v>
      </c>
      <c r="DJ34" s="28">
        <v>3</v>
      </c>
      <c r="DK34" s="28">
        <v>3</v>
      </c>
      <c r="DL34" s="28">
        <v>3</v>
      </c>
      <c r="DM34" s="28">
        <v>3</v>
      </c>
      <c r="DN34" s="28">
        <v>3</v>
      </c>
      <c r="DO34" s="28">
        <v>3</v>
      </c>
      <c r="DP34" s="28">
        <v>3</v>
      </c>
      <c r="DQ34" s="28">
        <v>3</v>
      </c>
      <c r="DR34" s="28">
        <v>3</v>
      </c>
      <c r="DS34" s="28" t="s">
        <v>97</v>
      </c>
      <c r="DT34" s="28" t="s">
        <v>106</v>
      </c>
      <c r="DU34" s="28"/>
      <c r="DV34" s="28" t="s">
        <v>82</v>
      </c>
      <c r="DW34" s="28" t="s">
        <v>100</v>
      </c>
      <c r="DX34" s="28" t="s">
        <v>246</v>
      </c>
      <c r="DY34" s="28"/>
      <c r="DZ34" s="28" t="s">
        <v>100</v>
      </c>
      <c r="EA34" s="28"/>
      <c r="EB34" s="28" t="s">
        <v>82</v>
      </c>
      <c r="EC34" s="28"/>
      <c r="ED34" s="28" t="s">
        <v>246</v>
      </c>
      <c r="EE34" s="28"/>
      <c r="EF34" s="28" t="s">
        <v>84</v>
      </c>
      <c r="EG34" s="28" t="s">
        <v>84</v>
      </c>
      <c r="EH34" s="28" t="s">
        <v>82</v>
      </c>
      <c r="EI34" s="28"/>
      <c r="EJ34" s="28"/>
      <c r="EK34" s="28"/>
      <c r="EL34" s="28"/>
      <c r="EM34" s="11">
        <v>1414.71</v>
      </c>
      <c r="EN34" s="11">
        <v>48.47</v>
      </c>
      <c r="EQ34" s="11">
        <v>86.09</v>
      </c>
      <c r="EW34" s="11">
        <v>141.68</v>
      </c>
      <c r="FF34" s="11">
        <v>128.85</v>
      </c>
      <c r="FJ34" s="11">
        <v>98.74</v>
      </c>
      <c r="FP34" s="11">
        <v>50.07</v>
      </c>
      <c r="FV34" s="11">
        <v>272.82</v>
      </c>
      <c r="GC34" s="11">
        <v>397.54</v>
      </c>
      <c r="GT34" s="11">
        <v>37.11</v>
      </c>
      <c r="GX34" s="11">
        <v>44.31</v>
      </c>
      <c r="HB34" s="11">
        <v>109.03</v>
      </c>
      <c r="HQ34" s="62">
        <f t="shared" ref="HQ34:HQ65" si="4">EM34</f>
        <v>1414.71</v>
      </c>
      <c r="HR34" s="62">
        <f t="shared" si="3"/>
        <v>23.578500000000002</v>
      </c>
    </row>
    <row r="35" spans="1:226" ht="12.95" customHeight="1" x14ac:dyDescent="0.2">
      <c r="A35" s="11">
        <v>94</v>
      </c>
      <c r="B35" s="11">
        <v>50</v>
      </c>
      <c r="C35" s="11" t="s">
        <v>83</v>
      </c>
      <c r="D35" s="11">
        <v>11</v>
      </c>
      <c r="E35" s="11" t="s">
        <v>79</v>
      </c>
      <c r="F35" s="11">
        <v>4887810</v>
      </c>
      <c r="G35" s="11" t="s">
        <v>81</v>
      </c>
      <c r="H35" s="11" t="s">
        <v>84</v>
      </c>
      <c r="I35" s="28" t="s">
        <v>107</v>
      </c>
      <c r="J35" s="28"/>
      <c r="M35" s="28" t="s">
        <v>1319</v>
      </c>
      <c r="N35" s="28" t="s">
        <v>108</v>
      </c>
      <c r="O35" s="28"/>
      <c r="P35" s="28" t="s">
        <v>87</v>
      </c>
      <c r="Q35" s="28" t="s">
        <v>1296</v>
      </c>
      <c r="S35" s="28" t="s">
        <v>84</v>
      </c>
      <c r="T35" s="28" t="s">
        <v>84</v>
      </c>
      <c r="U35" s="28" t="s">
        <v>84</v>
      </c>
      <c r="V35" s="28" t="s">
        <v>84</v>
      </c>
      <c r="W35" s="28" t="s">
        <v>82</v>
      </c>
      <c r="X35" s="28" t="s">
        <v>82</v>
      </c>
      <c r="Y35" s="28" t="s">
        <v>82</v>
      </c>
      <c r="Z35" s="28" t="s">
        <v>82</v>
      </c>
      <c r="AA35" s="28"/>
      <c r="AB35" s="28" t="s">
        <v>82</v>
      </c>
      <c r="AC35" s="28"/>
      <c r="AD35" s="28" t="s">
        <v>82</v>
      </c>
      <c r="AE35" s="28"/>
      <c r="AF35" s="28"/>
      <c r="AG35" s="28" t="s">
        <v>82</v>
      </c>
      <c r="AH35" s="28" t="s">
        <v>1556</v>
      </c>
      <c r="AI35" s="28" t="s">
        <v>84</v>
      </c>
      <c r="AJ35" s="28"/>
      <c r="AK35" s="28" t="s">
        <v>1557</v>
      </c>
      <c r="AL35" s="28" t="s">
        <v>126</v>
      </c>
      <c r="AM35" s="28" t="s">
        <v>91</v>
      </c>
      <c r="AN35" s="28"/>
      <c r="AO35" s="28" t="s">
        <v>80</v>
      </c>
      <c r="AQ35" s="28" t="s">
        <v>80</v>
      </c>
      <c r="AR35" s="28" t="s">
        <v>80</v>
      </c>
      <c r="AS35" s="28" t="s">
        <v>80</v>
      </c>
      <c r="AT35" s="28" t="s">
        <v>80</v>
      </c>
      <c r="AU35" s="28"/>
      <c r="AW35" s="28" t="s">
        <v>84</v>
      </c>
      <c r="AX35" s="28" t="s">
        <v>82</v>
      </c>
      <c r="AY35" s="28" t="s">
        <v>82</v>
      </c>
      <c r="AZ35" s="28" t="s">
        <v>84</v>
      </c>
      <c r="BA35" s="28"/>
      <c r="BB35" s="28" t="s">
        <v>84</v>
      </c>
      <c r="BC35" s="28" t="s">
        <v>80</v>
      </c>
      <c r="BD35" s="28" t="s">
        <v>113</v>
      </c>
      <c r="BE35" s="28" t="s">
        <v>113</v>
      </c>
      <c r="BF35" s="28" t="s">
        <v>100</v>
      </c>
      <c r="BG35" s="28" t="s">
        <v>84</v>
      </c>
      <c r="BH35" s="28" t="s">
        <v>84</v>
      </c>
      <c r="BI35" s="28" t="s">
        <v>1558</v>
      </c>
      <c r="BJ35" s="28" t="s">
        <v>84</v>
      </c>
      <c r="BK35" s="28" t="s">
        <v>80</v>
      </c>
      <c r="BL35" s="28">
        <v>2</v>
      </c>
      <c r="BM35" s="28">
        <v>1</v>
      </c>
      <c r="BN35" s="28">
        <v>2</v>
      </c>
      <c r="BO35" s="28">
        <v>1</v>
      </c>
      <c r="BP35" s="28">
        <v>2</v>
      </c>
      <c r="BQ35" s="28">
        <v>1</v>
      </c>
      <c r="BS35" s="28" t="s">
        <v>118</v>
      </c>
      <c r="BT35" s="28"/>
      <c r="BU35" s="28"/>
      <c r="BV35" s="28"/>
      <c r="BX35" s="28" t="s">
        <v>82</v>
      </c>
      <c r="BY35" s="28"/>
      <c r="BZ35" s="28" t="s">
        <v>84</v>
      </c>
      <c r="CA35" s="28"/>
      <c r="CB35" s="28" t="s">
        <v>82</v>
      </c>
      <c r="CC35" s="28"/>
      <c r="CD35" s="28" t="s">
        <v>82</v>
      </c>
      <c r="CE35" s="28"/>
      <c r="CF35" s="28"/>
      <c r="CG35" s="28"/>
      <c r="CI35" s="28" t="s">
        <v>84</v>
      </c>
      <c r="CJ35" s="28"/>
      <c r="CK35" s="28" t="s">
        <v>82</v>
      </c>
      <c r="CL35" s="28"/>
      <c r="CM35" s="28" t="s">
        <v>82</v>
      </c>
      <c r="CN35" s="28"/>
      <c r="CO35" s="28"/>
      <c r="CP35" s="28"/>
      <c r="CQ35" s="28" t="s">
        <v>118</v>
      </c>
      <c r="CR35" s="28" t="s">
        <v>84</v>
      </c>
      <c r="CS35" s="28" t="s">
        <v>1312</v>
      </c>
      <c r="CT35" s="28"/>
      <c r="CU35" s="28" t="s">
        <v>81</v>
      </c>
      <c r="CV35" s="28"/>
      <c r="CW35" s="28" t="s">
        <v>84</v>
      </c>
      <c r="CX35" s="28" t="s">
        <v>1559</v>
      </c>
      <c r="CY35" s="28"/>
      <c r="CZ35" s="28"/>
      <c r="DA35" s="28" t="s">
        <v>84</v>
      </c>
      <c r="DB35" s="28" t="s">
        <v>1560</v>
      </c>
      <c r="DC35" s="28" t="s">
        <v>84</v>
      </c>
      <c r="DD35" s="28" t="s">
        <v>82</v>
      </c>
      <c r="DG35" s="28">
        <v>4</v>
      </c>
      <c r="DH35" s="28">
        <v>2</v>
      </c>
      <c r="DI35" s="28">
        <v>4</v>
      </c>
      <c r="DJ35" s="28">
        <v>1</v>
      </c>
      <c r="DK35" s="28">
        <v>3</v>
      </c>
      <c r="DL35" s="28">
        <v>3</v>
      </c>
      <c r="DM35" s="28">
        <v>3</v>
      </c>
      <c r="DN35" s="28">
        <v>3</v>
      </c>
      <c r="DO35" s="28">
        <v>2</v>
      </c>
      <c r="DP35" s="28">
        <v>2</v>
      </c>
      <c r="DQ35" s="28">
        <v>4</v>
      </c>
      <c r="DR35" s="28">
        <v>1</v>
      </c>
      <c r="DS35" s="28" t="s">
        <v>118</v>
      </c>
      <c r="DT35" s="28" t="s">
        <v>106</v>
      </c>
      <c r="DU35" s="28"/>
      <c r="DV35" s="28" t="s">
        <v>84</v>
      </c>
      <c r="DW35" s="28" t="s">
        <v>113</v>
      </c>
      <c r="DX35" s="28" t="s">
        <v>81</v>
      </c>
      <c r="DY35" s="28" t="s">
        <v>1561</v>
      </c>
      <c r="DZ35" s="28" t="s">
        <v>113</v>
      </c>
      <c r="EA35" s="28" t="s">
        <v>1562</v>
      </c>
      <c r="EB35" s="28" t="s">
        <v>82</v>
      </c>
      <c r="EC35" s="28"/>
      <c r="ED35" s="28" t="s">
        <v>246</v>
      </c>
      <c r="EE35" s="28" t="s">
        <v>1563</v>
      </c>
      <c r="EF35" s="28" t="s">
        <v>84</v>
      </c>
      <c r="EG35" s="28" t="s">
        <v>84</v>
      </c>
      <c r="EH35" s="28" t="s">
        <v>84</v>
      </c>
      <c r="EI35" s="28" t="s">
        <v>1564</v>
      </c>
      <c r="EJ35" s="28" t="s">
        <v>1565</v>
      </c>
      <c r="EK35" s="28" t="s">
        <v>1566</v>
      </c>
      <c r="EL35" s="28" t="s">
        <v>1567</v>
      </c>
      <c r="EM35" s="11">
        <v>1453.3</v>
      </c>
      <c r="EN35" s="11">
        <v>25.2</v>
      </c>
      <c r="EQ35" s="11">
        <v>67.989999999999995</v>
      </c>
      <c r="EW35" s="11">
        <v>68.39</v>
      </c>
      <c r="FF35" s="11">
        <v>46.96</v>
      </c>
      <c r="FJ35" s="11">
        <v>20.43</v>
      </c>
      <c r="FP35" s="11">
        <v>48</v>
      </c>
      <c r="FV35" s="11">
        <v>193.61</v>
      </c>
      <c r="GC35" s="11">
        <v>391.5</v>
      </c>
      <c r="GT35" s="11">
        <v>32.93</v>
      </c>
      <c r="GX35" s="11">
        <v>68.540000000000006</v>
      </c>
      <c r="HB35" s="11">
        <v>489.75</v>
      </c>
      <c r="HQ35" s="62">
        <f t="shared" si="4"/>
        <v>1453.3</v>
      </c>
      <c r="HR35" s="62">
        <f t="shared" si="3"/>
        <v>24.221666666666668</v>
      </c>
    </row>
    <row r="36" spans="1:226" ht="12.95" customHeight="1" x14ac:dyDescent="0.2">
      <c r="A36" s="11">
        <v>95</v>
      </c>
      <c r="B36" s="11">
        <v>53</v>
      </c>
      <c r="C36" s="11" t="s">
        <v>83</v>
      </c>
      <c r="D36" s="11">
        <v>11</v>
      </c>
      <c r="E36" s="11" t="s">
        <v>79</v>
      </c>
      <c r="F36" s="11">
        <v>1611977055</v>
      </c>
      <c r="G36" s="11" t="s">
        <v>81</v>
      </c>
      <c r="H36" s="11" t="s">
        <v>84</v>
      </c>
      <c r="I36" s="28" t="s">
        <v>105</v>
      </c>
      <c r="J36" s="28"/>
      <c r="M36" s="28" t="s">
        <v>1319</v>
      </c>
      <c r="N36" s="28" t="s">
        <v>108</v>
      </c>
      <c r="O36" s="28"/>
      <c r="P36" s="28" t="s">
        <v>87</v>
      </c>
      <c r="Q36" s="28" t="s">
        <v>1375</v>
      </c>
      <c r="S36" s="28" t="s">
        <v>84</v>
      </c>
      <c r="T36" s="28" t="s">
        <v>84</v>
      </c>
      <c r="U36" s="28" t="s">
        <v>84</v>
      </c>
      <c r="V36" s="28" t="s">
        <v>84</v>
      </c>
      <c r="W36" s="28" t="s">
        <v>82</v>
      </c>
      <c r="X36" s="28" t="s">
        <v>82</v>
      </c>
      <c r="Y36" s="28" t="s">
        <v>84</v>
      </c>
      <c r="Z36" s="28" t="s">
        <v>84</v>
      </c>
      <c r="AA36" s="28"/>
      <c r="AB36" s="28" t="s">
        <v>84</v>
      </c>
      <c r="AC36" s="28" t="s">
        <v>1568</v>
      </c>
      <c r="AD36" s="28" t="s">
        <v>82</v>
      </c>
      <c r="AE36" s="28"/>
      <c r="AF36" s="28"/>
      <c r="AG36" s="28" t="s">
        <v>84</v>
      </c>
      <c r="AH36" s="28" t="s">
        <v>1569</v>
      </c>
      <c r="AI36" s="28" t="s">
        <v>84</v>
      </c>
      <c r="AJ36" s="28" t="s">
        <v>1570</v>
      </c>
      <c r="AK36" s="28" t="s">
        <v>1571</v>
      </c>
      <c r="AL36" s="28" t="s">
        <v>126</v>
      </c>
      <c r="AM36" s="28" t="s">
        <v>91</v>
      </c>
      <c r="AN36" s="28"/>
      <c r="AO36" s="28" t="s">
        <v>80</v>
      </c>
      <c r="AQ36" s="28" t="s">
        <v>80</v>
      </c>
      <c r="AR36" s="28" t="s">
        <v>80</v>
      </c>
      <c r="AS36" s="28" t="s">
        <v>80</v>
      </c>
      <c r="AT36" s="28" t="s">
        <v>80</v>
      </c>
      <c r="AU36" s="28"/>
      <c r="AW36" s="28" t="s">
        <v>84</v>
      </c>
      <c r="AX36" s="28" t="s">
        <v>84</v>
      </c>
      <c r="AY36" s="28" t="s">
        <v>84</v>
      </c>
      <c r="AZ36" s="28" t="s">
        <v>84</v>
      </c>
      <c r="BA36" s="28"/>
      <c r="BB36" s="28" t="s">
        <v>84</v>
      </c>
      <c r="BC36" s="28" t="s">
        <v>80</v>
      </c>
      <c r="BD36" s="28" t="s">
        <v>100</v>
      </c>
      <c r="BE36" s="28" t="s">
        <v>100</v>
      </c>
      <c r="BF36" s="28" t="s">
        <v>100</v>
      </c>
      <c r="BG36" s="28" t="s">
        <v>82</v>
      </c>
      <c r="BH36" s="28" t="s">
        <v>84</v>
      </c>
      <c r="BI36" s="28" t="s">
        <v>1572</v>
      </c>
      <c r="BJ36" s="28" t="s">
        <v>84</v>
      </c>
      <c r="BK36" s="28" t="s">
        <v>80</v>
      </c>
      <c r="BL36" s="28">
        <v>3</v>
      </c>
      <c r="BM36" s="28">
        <v>2</v>
      </c>
      <c r="BN36" s="28">
        <v>2</v>
      </c>
      <c r="BO36" s="28">
        <v>1</v>
      </c>
      <c r="BP36" s="28">
        <v>3</v>
      </c>
      <c r="BQ36" s="28">
        <v>2</v>
      </c>
      <c r="BS36" s="28" t="s">
        <v>97</v>
      </c>
      <c r="BT36" s="28"/>
      <c r="BU36" s="28" t="s">
        <v>246</v>
      </c>
      <c r="BV36" s="28" t="s">
        <v>1573</v>
      </c>
      <c r="BX36" s="28" t="s">
        <v>80</v>
      </c>
      <c r="BY36" s="28"/>
      <c r="BZ36" s="28" t="s">
        <v>80</v>
      </c>
      <c r="CA36" s="28"/>
      <c r="CB36" s="28" t="s">
        <v>80</v>
      </c>
      <c r="CC36" s="28"/>
      <c r="CD36" s="28" t="s">
        <v>80</v>
      </c>
      <c r="CE36" s="28"/>
      <c r="CF36" s="28"/>
      <c r="CG36" s="28"/>
      <c r="CI36" s="28" t="s">
        <v>84</v>
      </c>
      <c r="CJ36" s="28" t="s">
        <v>1574</v>
      </c>
      <c r="CK36" s="28" t="s">
        <v>82</v>
      </c>
      <c r="CL36" s="28"/>
      <c r="CM36" s="28" t="s">
        <v>82</v>
      </c>
      <c r="CN36" s="28"/>
      <c r="CO36" s="28"/>
      <c r="CP36" s="28"/>
      <c r="CQ36" s="28" t="s">
        <v>118</v>
      </c>
      <c r="CR36" s="28" t="s">
        <v>84</v>
      </c>
      <c r="CS36" s="28" t="s">
        <v>97</v>
      </c>
      <c r="CT36" s="28" t="s">
        <v>1575</v>
      </c>
      <c r="CU36" s="28" t="s">
        <v>246</v>
      </c>
      <c r="CV36" s="28" t="s">
        <v>1576</v>
      </c>
      <c r="CW36" s="28" t="s">
        <v>82</v>
      </c>
      <c r="CX36" s="28"/>
      <c r="CY36" s="28" t="s">
        <v>81</v>
      </c>
      <c r="CZ36" s="28" t="s">
        <v>1577</v>
      </c>
      <c r="DA36" s="28" t="s">
        <v>82</v>
      </c>
      <c r="DB36" s="28"/>
      <c r="DC36" s="28" t="s">
        <v>84</v>
      </c>
      <c r="DD36" s="28" t="s">
        <v>84</v>
      </c>
      <c r="DG36" s="28">
        <v>4</v>
      </c>
      <c r="DH36" s="28">
        <v>2</v>
      </c>
      <c r="DI36" s="28">
        <v>5</v>
      </c>
      <c r="DJ36" s="28">
        <v>2</v>
      </c>
      <c r="DK36" s="28">
        <v>4</v>
      </c>
      <c r="DL36" s="28">
        <v>3</v>
      </c>
      <c r="DM36" s="28">
        <v>3</v>
      </c>
      <c r="DN36" s="28">
        <v>2</v>
      </c>
      <c r="DO36" s="28">
        <v>5</v>
      </c>
      <c r="DP36" s="28">
        <v>2</v>
      </c>
      <c r="DQ36" s="28">
        <v>5</v>
      </c>
      <c r="DR36" s="28">
        <v>2</v>
      </c>
      <c r="DS36" s="28" t="s">
        <v>118</v>
      </c>
      <c r="DT36" s="28" t="s">
        <v>106</v>
      </c>
      <c r="DU36" s="28"/>
      <c r="DV36" s="28" t="s">
        <v>84</v>
      </c>
      <c r="DW36" s="28" t="s">
        <v>100</v>
      </c>
      <c r="DX36" s="28" t="s">
        <v>81</v>
      </c>
      <c r="DY36" s="28" t="s">
        <v>1578</v>
      </c>
      <c r="DZ36" s="28" t="s">
        <v>100</v>
      </c>
      <c r="EA36" s="28" t="s">
        <v>1579</v>
      </c>
      <c r="EB36" s="28" t="s">
        <v>82</v>
      </c>
      <c r="EC36" s="28"/>
      <c r="ED36" s="28" t="s">
        <v>81</v>
      </c>
      <c r="EE36" s="28" t="s">
        <v>1580</v>
      </c>
      <c r="EF36" s="28" t="s">
        <v>82</v>
      </c>
      <c r="EG36" s="28" t="s">
        <v>82</v>
      </c>
      <c r="EH36" s="28" t="s">
        <v>82</v>
      </c>
      <c r="EI36" s="28"/>
      <c r="EJ36" s="28" t="s">
        <v>1581</v>
      </c>
      <c r="EK36" s="28" t="s">
        <v>1582</v>
      </c>
      <c r="EL36" s="28" t="s">
        <v>1583</v>
      </c>
      <c r="EM36" s="11">
        <v>3870.22</v>
      </c>
      <c r="EN36" s="11">
        <v>27.6</v>
      </c>
      <c r="EQ36" s="11">
        <v>79.05</v>
      </c>
      <c r="EW36" s="11">
        <v>281.33999999999997</v>
      </c>
      <c r="FF36" s="11">
        <v>151.97999999999999</v>
      </c>
      <c r="FJ36" s="11">
        <v>17.78</v>
      </c>
      <c r="FP36" s="11">
        <v>29.65</v>
      </c>
      <c r="FV36" s="11">
        <v>305.14999999999998</v>
      </c>
      <c r="GC36" s="11">
        <v>534.26</v>
      </c>
      <c r="GT36" s="11">
        <v>12.67</v>
      </c>
      <c r="GX36" s="11">
        <v>59.23</v>
      </c>
      <c r="HB36" s="11">
        <v>2371.5100000000002</v>
      </c>
      <c r="HQ36" s="62">
        <f t="shared" si="4"/>
        <v>3870.22</v>
      </c>
      <c r="HR36" s="62">
        <f t="shared" si="3"/>
        <v>64.50366666666666</v>
      </c>
    </row>
    <row r="37" spans="1:226" ht="12.95" customHeight="1" x14ac:dyDescent="0.2">
      <c r="A37" s="11">
        <v>96</v>
      </c>
      <c r="B37" s="11">
        <v>54</v>
      </c>
      <c r="C37" s="11" t="s">
        <v>83</v>
      </c>
      <c r="D37" s="11">
        <v>11</v>
      </c>
      <c r="E37" s="11" t="s">
        <v>79</v>
      </c>
      <c r="F37" s="11">
        <v>2066097192</v>
      </c>
      <c r="G37" s="11" t="s">
        <v>81</v>
      </c>
      <c r="H37" s="11" t="s">
        <v>84</v>
      </c>
      <c r="I37" s="28" t="s">
        <v>161</v>
      </c>
      <c r="J37" s="28"/>
      <c r="M37" s="28" t="s">
        <v>1294</v>
      </c>
      <c r="N37" s="28" t="s">
        <v>618</v>
      </c>
      <c r="O37" s="28"/>
      <c r="P37" s="28" t="s">
        <v>87</v>
      </c>
      <c r="Q37" s="28" t="s">
        <v>1358</v>
      </c>
      <c r="S37" s="28" t="s">
        <v>84</v>
      </c>
      <c r="T37" s="28" t="s">
        <v>84</v>
      </c>
      <c r="U37" s="28" t="s">
        <v>82</v>
      </c>
      <c r="V37" s="28" t="s">
        <v>82</v>
      </c>
      <c r="W37" s="28" t="s">
        <v>82</v>
      </c>
      <c r="X37" s="28" t="s">
        <v>84</v>
      </c>
      <c r="Y37" s="28" t="s">
        <v>84</v>
      </c>
      <c r="Z37" s="28" t="s">
        <v>82</v>
      </c>
      <c r="AA37" s="28"/>
      <c r="AB37" s="28" t="s">
        <v>84</v>
      </c>
      <c r="AC37" s="28"/>
      <c r="AD37" s="28" t="s">
        <v>84</v>
      </c>
      <c r="AE37" s="28" t="s">
        <v>430</v>
      </c>
      <c r="AF37" s="28" t="s">
        <v>1584</v>
      </c>
      <c r="AG37" s="28" t="s">
        <v>80</v>
      </c>
      <c r="AH37" s="28"/>
      <c r="AI37" s="28" t="s">
        <v>84</v>
      </c>
      <c r="AJ37" s="28"/>
      <c r="AK37" s="28" t="s">
        <v>1585</v>
      </c>
      <c r="AL37" s="28" t="s">
        <v>126</v>
      </c>
      <c r="AM37" s="28" t="s">
        <v>111</v>
      </c>
      <c r="AN37" s="28"/>
      <c r="AO37" s="28" t="s">
        <v>80</v>
      </c>
      <c r="AQ37" s="28" t="s">
        <v>84</v>
      </c>
      <c r="AR37" s="28" t="s">
        <v>82</v>
      </c>
      <c r="AS37" s="28" t="s">
        <v>84</v>
      </c>
      <c r="AT37" s="28" t="s">
        <v>82</v>
      </c>
      <c r="AU37" s="28" t="s">
        <v>1586</v>
      </c>
      <c r="AW37" s="28" t="s">
        <v>80</v>
      </c>
      <c r="AX37" s="28" t="s">
        <v>80</v>
      </c>
      <c r="AY37" s="28" t="s">
        <v>80</v>
      </c>
      <c r="AZ37" s="28" t="s">
        <v>80</v>
      </c>
      <c r="BA37" s="28"/>
      <c r="BB37" s="28" t="s">
        <v>84</v>
      </c>
      <c r="BC37" s="28" t="s">
        <v>80</v>
      </c>
      <c r="BD37" s="28" t="s">
        <v>93</v>
      </c>
      <c r="BE37" s="28" t="s">
        <v>113</v>
      </c>
      <c r="BF37" s="28" t="s">
        <v>112</v>
      </c>
      <c r="BG37" s="28" t="s">
        <v>84</v>
      </c>
      <c r="BH37" s="28" t="s">
        <v>84</v>
      </c>
      <c r="BI37" s="28" t="s">
        <v>1587</v>
      </c>
      <c r="BJ37" s="28" t="s">
        <v>84</v>
      </c>
      <c r="BK37" s="28" t="s">
        <v>80</v>
      </c>
      <c r="BL37" s="28">
        <v>3</v>
      </c>
      <c r="BM37" s="28">
        <v>3</v>
      </c>
      <c r="BN37" s="28">
        <v>1</v>
      </c>
      <c r="BO37" s="28">
        <v>1</v>
      </c>
      <c r="BP37" s="28">
        <v>4</v>
      </c>
      <c r="BQ37" s="28">
        <v>2</v>
      </c>
      <c r="BS37" s="28" t="s">
        <v>119</v>
      </c>
      <c r="BT37" s="28" t="s">
        <v>1588</v>
      </c>
      <c r="BU37" s="28" t="s">
        <v>81</v>
      </c>
      <c r="BV37" s="28"/>
      <c r="BX37" s="28" t="s">
        <v>82</v>
      </c>
      <c r="BY37" s="28"/>
      <c r="BZ37" s="28" t="s">
        <v>84</v>
      </c>
      <c r="CA37" s="28"/>
      <c r="CB37" s="28" t="s">
        <v>82</v>
      </c>
      <c r="CC37" s="28"/>
      <c r="CD37" s="28" t="s">
        <v>82</v>
      </c>
      <c r="CE37" s="28"/>
      <c r="CF37" s="28"/>
      <c r="CG37" s="28"/>
      <c r="CI37" s="28" t="s">
        <v>84</v>
      </c>
      <c r="CJ37" s="28"/>
      <c r="CK37" s="28" t="s">
        <v>82</v>
      </c>
      <c r="CL37" s="28"/>
      <c r="CM37" s="28" t="s">
        <v>82</v>
      </c>
      <c r="CN37" s="28"/>
      <c r="CO37" s="28"/>
      <c r="CP37" s="28"/>
      <c r="CQ37" s="28" t="s">
        <v>99</v>
      </c>
      <c r="CR37" s="28" t="s">
        <v>80</v>
      </c>
      <c r="CS37" s="28" t="s">
        <v>1312</v>
      </c>
      <c r="CT37" s="28"/>
      <c r="CU37" s="28" t="s">
        <v>81</v>
      </c>
      <c r="CV37" s="28"/>
      <c r="CW37" s="28" t="s">
        <v>82</v>
      </c>
      <c r="CX37" s="28"/>
      <c r="CY37" s="28" t="s">
        <v>81</v>
      </c>
      <c r="CZ37" s="28"/>
      <c r="DA37" s="28" t="s">
        <v>84</v>
      </c>
      <c r="DB37" s="28" t="s">
        <v>1589</v>
      </c>
      <c r="DC37" s="28" t="s">
        <v>84</v>
      </c>
      <c r="DD37" s="28" t="s">
        <v>84</v>
      </c>
      <c r="DG37" s="28">
        <v>1</v>
      </c>
      <c r="DH37" s="28">
        <v>2</v>
      </c>
      <c r="DI37" s="28">
        <v>1</v>
      </c>
      <c r="DJ37" s="28">
        <v>1</v>
      </c>
      <c r="DK37" s="28">
        <v>1</v>
      </c>
      <c r="DL37" s="28">
        <v>3</v>
      </c>
      <c r="DM37" s="28">
        <v>1</v>
      </c>
      <c r="DN37" s="28">
        <v>3</v>
      </c>
      <c r="DO37" s="28">
        <v>2</v>
      </c>
      <c r="DP37" s="28">
        <v>2</v>
      </c>
      <c r="DQ37" s="28">
        <v>2</v>
      </c>
      <c r="DR37" s="28">
        <v>2</v>
      </c>
      <c r="DS37" s="28" t="s">
        <v>118</v>
      </c>
      <c r="DT37" s="28" t="s">
        <v>84</v>
      </c>
      <c r="DU37" s="28"/>
      <c r="DV37" s="28" t="s">
        <v>84</v>
      </c>
      <c r="DW37" s="28" t="s">
        <v>100</v>
      </c>
      <c r="DX37" s="28" t="s">
        <v>81</v>
      </c>
      <c r="DY37" s="28" t="s">
        <v>1590</v>
      </c>
      <c r="DZ37" s="28" t="s">
        <v>113</v>
      </c>
      <c r="EA37" s="28"/>
      <c r="EB37" s="28" t="s">
        <v>82</v>
      </c>
      <c r="EC37" s="28"/>
      <c r="ED37" s="28" t="s">
        <v>81</v>
      </c>
      <c r="EE37" s="28"/>
      <c r="EF37" s="28" t="s">
        <v>82</v>
      </c>
      <c r="EG37" s="28" t="s">
        <v>84</v>
      </c>
      <c r="EH37" s="28" t="s">
        <v>84</v>
      </c>
      <c r="EI37" s="28" t="s">
        <v>1591</v>
      </c>
      <c r="EJ37" s="28" t="s">
        <v>1592</v>
      </c>
      <c r="EK37" s="28" t="s">
        <v>1593</v>
      </c>
      <c r="EL37" s="28"/>
      <c r="EM37" s="11">
        <v>1043.74</v>
      </c>
      <c r="EN37" s="11">
        <v>51.48</v>
      </c>
      <c r="EQ37" s="11">
        <v>49.31</v>
      </c>
      <c r="EW37" s="11">
        <v>106.36</v>
      </c>
      <c r="FF37" s="11">
        <v>72.239999999999995</v>
      </c>
      <c r="FJ37" s="11">
        <v>23.71</v>
      </c>
      <c r="FP37" s="11">
        <v>29.1</v>
      </c>
      <c r="FV37" s="11">
        <v>89.43</v>
      </c>
      <c r="GC37" s="11">
        <v>310.7</v>
      </c>
      <c r="GT37" s="11">
        <v>22.45</v>
      </c>
      <c r="GX37" s="11">
        <v>50.45</v>
      </c>
      <c r="HB37" s="11">
        <v>238.51</v>
      </c>
      <c r="HQ37" s="62">
        <f t="shared" si="4"/>
        <v>1043.74</v>
      </c>
      <c r="HR37" s="62">
        <f t="shared" si="3"/>
        <v>17.395666666666667</v>
      </c>
    </row>
    <row r="38" spans="1:226" ht="12.95" customHeight="1" x14ac:dyDescent="0.2">
      <c r="A38" s="11">
        <v>97</v>
      </c>
      <c r="B38" s="11">
        <v>55</v>
      </c>
      <c r="C38" s="11" t="s">
        <v>83</v>
      </c>
      <c r="D38" s="11">
        <v>11</v>
      </c>
      <c r="E38" s="11" t="s">
        <v>79</v>
      </c>
      <c r="F38" s="11">
        <v>824814831</v>
      </c>
      <c r="G38" s="11" t="s">
        <v>81</v>
      </c>
      <c r="H38" s="11" t="s">
        <v>84</v>
      </c>
      <c r="I38" s="28" t="s">
        <v>119</v>
      </c>
      <c r="J38" s="28" t="s">
        <v>402</v>
      </c>
      <c r="M38" s="28" t="s">
        <v>1319</v>
      </c>
      <c r="N38" s="28" t="s">
        <v>108</v>
      </c>
      <c r="O38" s="28"/>
      <c r="P38" s="28" t="s">
        <v>87</v>
      </c>
      <c r="Q38" s="28" t="s">
        <v>1358</v>
      </c>
      <c r="S38" s="28" t="s">
        <v>84</v>
      </c>
      <c r="T38" s="28" t="s">
        <v>84</v>
      </c>
      <c r="U38" s="28" t="s">
        <v>82</v>
      </c>
      <c r="V38" s="28" t="s">
        <v>82</v>
      </c>
      <c r="W38" s="28" t="s">
        <v>84</v>
      </c>
      <c r="X38" s="28" t="s">
        <v>84</v>
      </c>
      <c r="Y38" s="28" t="s">
        <v>84</v>
      </c>
      <c r="Z38" s="28" t="s">
        <v>82</v>
      </c>
      <c r="AA38" s="28"/>
      <c r="AB38" s="28" t="s">
        <v>84</v>
      </c>
      <c r="AC38" s="28" t="s">
        <v>1594</v>
      </c>
      <c r="AD38" s="28" t="s">
        <v>84</v>
      </c>
      <c r="AE38" s="28" t="s">
        <v>1595</v>
      </c>
      <c r="AF38" s="28" t="s">
        <v>1596</v>
      </c>
      <c r="AG38" s="28" t="s">
        <v>80</v>
      </c>
      <c r="AH38" s="28"/>
      <c r="AI38" s="28" t="s">
        <v>84</v>
      </c>
      <c r="AJ38" s="28" t="s">
        <v>1597</v>
      </c>
      <c r="AK38" s="28" t="s">
        <v>1598</v>
      </c>
      <c r="AL38" s="28" t="s">
        <v>126</v>
      </c>
      <c r="AM38" s="28" t="s">
        <v>111</v>
      </c>
      <c r="AN38" s="28"/>
      <c r="AO38" s="28" t="s">
        <v>80</v>
      </c>
      <c r="AQ38" s="28" t="s">
        <v>84</v>
      </c>
      <c r="AR38" s="28" t="s">
        <v>82</v>
      </c>
      <c r="AS38" s="28" t="s">
        <v>82</v>
      </c>
      <c r="AT38" s="28" t="s">
        <v>82</v>
      </c>
      <c r="AU38" s="28"/>
      <c r="AW38" s="28" t="s">
        <v>80</v>
      </c>
      <c r="AX38" s="28" t="s">
        <v>80</v>
      </c>
      <c r="AY38" s="28" t="s">
        <v>80</v>
      </c>
      <c r="AZ38" s="28" t="s">
        <v>80</v>
      </c>
      <c r="BA38" s="28"/>
      <c r="BB38" s="28" t="s">
        <v>84</v>
      </c>
      <c r="BC38" s="28" t="s">
        <v>80</v>
      </c>
      <c r="BD38" s="28" t="s">
        <v>100</v>
      </c>
      <c r="BE38" s="28" t="s">
        <v>100</v>
      </c>
      <c r="BF38" s="28" t="s">
        <v>112</v>
      </c>
      <c r="BG38" s="28" t="s">
        <v>84</v>
      </c>
      <c r="BH38" s="28" t="s">
        <v>84</v>
      </c>
      <c r="BI38" s="28" t="s">
        <v>1599</v>
      </c>
      <c r="BJ38" s="28" t="s">
        <v>84</v>
      </c>
      <c r="BK38" s="28" t="s">
        <v>80</v>
      </c>
      <c r="BL38" s="28">
        <v>2</v>
      </c>
      <c r="BM38" s="28">
        <v>5</v>
      </c>
      <c r="BN38" s="28">
        <v>4</v>
      </c>
      <c r="BO38" s="28">
        <v>5</v>
      </c>
      <c r="BP38" s="28">
        <v>1</v>
      </c>
      <c r="BQ38" s="28">
        <v>1</v>
      </c>
      <c r="BS38" s="28" t="s">
        <v>97</v>
      </c>
      <c r="BT38" s="28"/>
      <c r="BU38" s="28" t="s">
        <v>246</v>
      </c>
      <c r="BV38" s="28" t="s">
        <v>1600</v>
      </c>
      <c r="BX38" s="28" t="s">
        <v>80</v>
      </c>
      <c r="BY38" s="28"/>
      <c r="BZ38" s="28" t="s">
        <v>80</v>
      </c>
      <c r="CA38" s="28"/>
      <c r="CB38" s="28" t="s">
        <v>80</v>
      </c>
      <c r="CC38" s="28"/>
      <c r="CD38" s="28" t="s">
        <v>80</v>
      </c>
      <c r="CE38" s="28"/>
      <c r="CF38" s="28"/>
      <c r="CG38" s="28"/>
      <c r="CI38" s="28" t="s">
        <v>84</v>
      </c>
      <c r="CJ38" s="28"/>
      <c r="CK38" s="28" t="s">
        <v>82</v>
      </c>
      <c r="CL38" s="28"/>
      <c r="CM38" s="28" t="s">
        <v>82</v>
      </c>
      <c r="CN38" s="28"/>
      <c r="CO38" s="28"/>
      <c r="CP38" s="28"/>
      <c r="CQ38" s="28" t="s">
        <v>99</v>
      </c>
      <c r="CR38" s="28" t="s">
        <v>80</v>
      </c>
      <c r="CS38" s="28" t="s">
        <v>1312</v>
      </c>
      <c r="CT38" s="28"/>
      <c r="CU38" s="28" t="s">
        <v>81</v>
      </c>
      <c r="CV38" s="28"/>
      <c r="CW38" s="28" t="s">
        <v>84</v>
      </c>
      <c r="CX38" s="28" t="s">
        <v>1601</v>
      </c>
      <c r="CY38" s="28"/>
      <c r="CZ38" s="28"/>
      <c r="DA38" s="28" t="s">
        <v>84</v>
      </c>
      <c r="DB38" s="28" t="s">
        <v>1602</v>
      </c>
      <c r="DC38" s="28" t="s">
        <v>84</v>
      </c>
      <c r="DD38" s="28" t="s">
        <v>84</v>
      </c>
      <c r="DG38" s="28">
        <v>3</v>
      </c>
      <c r="DH38" s="28">
        <v>5</v>
      </c>
      <c r="DI38" s="28">
        <v>4</v>
      </c>
      <c r="DJ38" s="28">
        <v>5</v>
      </c>
      <c r="DK38" s="28">
        <v>5</v>
      </c>
      <c r="DL38" s="28">
        <v>5</v>
      </c>
      <c r="DM38" s="28">
        <v>5</v>
      </c>
      <c r="DN38" s="28">
        <v>5</v>
      </c>
      <c r="DO38" s="28">
        <v>5</v>
      </c>
      <c r="DP38" s="28">
        <v>5</v>
      </c>
      <c r="DQ38" s="28">
        <v>3</v>
      </c>
      <c r="DR38" s="28">
        <v>5</v>
      </c>
      <c r="DS38" s="28" t="s">
        <v>118</v>
      </c>
      <c r="DT38" s="28" t="s">
        <v>82</v>
      </c>
      <c r="DU38" s="28" t="s">
        <v>1603</v>
      </c>
      <c r="DV38" s="28" t="s">
        <v>84</v>
      </c>
      <c r="DW38" s="28" t="s">
        <v>100</v>
      </c>
      <c r="DX38" s="28" t="s">
        <v>81</v>
      </c>
      <c r="DY38" s="28" t="s">
        <v>1604</v>
      </c>
      <c r="DZ38" s="28" t="s">
        <v>100</v>
      </c>
      <c r="EA38" s="28"/>
      <c r="EB38" s="28" t="s">
        <v>82</v>
      </c>
      <c r="EC38" s="28"/>
      <c r="ED38" s="28" t="s">
        <v>81</v>
      </c>
      <c r="EE38" s="28" t="s">
        <v>1605</v>
      </c>
      <c r="EF38" s="28" t="s">
        <v>82</v>
      </c>
      <c r="EG38" s="28" t="s">
        <v>84</v>
      </c>
      <c r="EH38" s="28" t="s">
        <v>84</v>
      </c>
      <c r="EI38" s="28" t="s">
        <v>1606</v>
      </c>
      <c r="EJ38" s="28" t="s">
        <v>1607</v>
      </c>
      <c r="EK38" s="28" t="s">
        <v>1608</v>
      </c>
      <c r="EL38" s="28" t="s">
        <v>1057</v>
      </c>
      <c r="EM38" s="11">
        <v>4143.17</v>
      </c>
      <c r="EN38" s="11">
        <v>24.55</v>
      </c>
      <c r="EQ38" s="11">
        <v>70.75</v>
      </c>
      <c r="EW38" s="11">
        <v>218.05</v>
      </c>
      <c r="FF38" s="11">
        <v>66.040000000000006</v>
      </c>
      <c r="FJ38" s="11">
        <v>23.55</v>
      </c>
      <c r="FP38" s="11">
        <v>76.959999999999994</v>
      </c>
      <c r="FV38" s="11">
        <v>113.41</v>
      </c>
      <c r="GC38" s="11">
        <v>2963.21</v>
      </c>
      <c r="GT38" s="11">
        <v>83.63</v>
      </c>
      <c r="GX38" s="11">
        <v>88.06</v>
      </c>
      <c r="HB38" s="11">
        <v>414.96</v>
      </c>
      <c r="HQ38" s="62">
        <f t="shared" si="4"/>
        <v>4143.17</v>
      </c>
      <c r="HR38" s="62">
        <f t="shared" si="3"/>
        <v>69.052833333333339</v>
      </c>
    </row>
    <row r="39" spans="1:226" ht="12.95" customHeight="1" x14ac:dyDescent="0.2">
      <c r="A39" s="11">
        <v>98</v>
      </c>
      <c r="B39" s="11">
        <v>57</v>
      </c>
      <c r="C39" s="11" t="s">
        <v>83</v>
      </c>
      <c r="D39" s="11">
        <v>11</v>
      </c>
      <c r="E39" s="11" t="s">
        <v>79</v>
      </c>
      <c r="F39" s="11">
        <v>720429679</v>
      </c>
      <c r="G39" s="11" t="s">
        <v>81</v>
      </c>
      <c r="H39" s="11" t="s">
        <v>84</v>
      </c>
      <c r="I39" s="28" t="s">
        <v>324</v>
      </c>
      <c r="J39" s="28"/>
      <c r="M39" s="28" t="s">
        <v>1294</v>
      </c>
      <c r="N39" s="28" t="s">
        <v>108</v>
      </c>
      <c r="O39" s="28"/>
      <c r="P39" s="28" t="s">
        <v>290</v>
      </c>
      <c r="Q39" s="28" t="s">
        <v>1358</v>
      </c>
      <c r="S39" s="28" t="s">
        <v>84</v>
      </c>
      <c r="T39" s="28" t="s">
        <v>84</v>
      </c>
      <c r="U39" s="28" t="s">
        <v>84</v>
      </c>
      <c r="V39" s="28" t="s">
        <v>84</v>
      </c>
      <c r="W39" s="28" t="s">
        <v>84</v>
      </c>
      <c r="X39" s="28" t="s">
        <v>84</v>
      </c>
      <c r="Y39" s="28" t="s">
        <v>84</v>
      </c>
      <c r="Z39" s="28" t="s">
        <v>82</v>
      </c>
      <c r="AA39" s="28"/>
      <c r="AB39" s="28" t="s">
        <v>84</v>
      </c>
      <c r="AC39" s="28" t="s">
        <v>1609</v>
      </c>
      <c r="AD39" s="28" t="s">
        <v>84</v>
      </c>
      <c r="AE39" s="28" t="s">
        <v>196</v>
      </c>
      <c r="AF39" s="28" t="s">
        <v>1610</v>
      </c>
      <c r="AG39" s="28" t="s">
        <v>80</v>
      </c>
      <c r="AH39" s="28"/>
      <c r="AI39" s="28" t="s">
        <v>84</v>
      </c>
      <c r="AJ39" s="28"/>
      <c r="AK39" s="28" t="s">
        <v>1611</v>
      </c>
      <c r="AL39" s="28" t="s">
        <v>90</v>
      </c>
      <c r="AM39" s="28" t="s">
        <v>91</v>
      </c>
      <c r="AN39" s="28"/>
      <c r="AO39" s="28" t="s">
        <v>80</v>
      </c>
      <c r="AQ39" s="28" t="s">
        <v>80</v>
      </c>
      <c r="AR39" s="28" t="s">
        <v>80</v>
      </c>
      <c r="AS39" s="28" t="s">
        <v>80</v>
      </c>
      <c r="AT39" s="28" t="s">
        <v>80</v>
      </c>
      <c r="AU39" s="28"/>
      <c r="AW39" s="28" t="s">
        <v>84</v>
      </c>
      <c r="AX39" s="28" t="s">
        <v>84</v>
      </c>
      <c r="AY39" s="28" t="s">
        <v>84</v>
      </c>
      <c r="AZ39" s="28" t="s">
        <v>84</v>
      </c>
      <c r="BA39" s="28"/>
      <c r="BB39" s="28" t="s">
        <v>84</v>
      </c>
      <c r="BC39" s="28" t="s">
        <v>80</v>
      </c>
      <c r="BD39" s="28" t="s">
        <v>113</v>
      </c>
      <c r="BE39" s="28" t="s">
        <v>113</v>
      </c>
      <c r="BF39" s="28" t="s">
        <v>112</v>
      </c>
      <c r="BG39" s="28" t="s">
        <v>84</v>
      </c>
      <c r="BH39" s="28" t="s">
        <v>84</v>
      </c>
      <c r="BI39" s="28" t="s">
        <v>1612</v>
      </c>
      <c r="BJ39" s="28" t="s">
        <v>84</v>
      </c>
      <c r="BK39" s="28" t="s">
        <v>80</v>
      </c>
      <c r="BL39" s="28">
        <v>4</v>
      </c>
      <c r="BM39" s="28">
        <v>5</v>
      </c>
      <c r="BN39" s="28">
        <v>4</v>
      </c>
      <c r="BO39" s="28">
        <v>4</v>
      </c>
      <c r="BP39" s="28">
        <v>3</v>
      </c>
      <c r="BQ39" s="28">
        <v>3</v>
      </c>
      <c r="BS39" s="28" t="s">
        <v>118</v>
      </c>
      <c r="BT39" s="28"/>
      <c r="BU39" s="28"/>
      <c r="BV39" s="28"/>
      <c r="BX39" s="28" t="s">
        <v>84</v>
      </c>
      <c r="BY39" s="28"/>
      <c r="BZ39" s="28" t="s">
        <v>84</v>
      </c>
      <c r="CA39" s="28"/>
      <c r="CB39" s="28" t="s">
        <v>82</v>
      </c>
      <c r="CC39" s="28"/>
      <c r="CD39" s="28" t="s">
        <v>84</v>
      </c>
      <c r="CE39" s="28"/>
      <c r="CF39" s="28"/>
      <c r="CG39" s="28"/>
      <c r="CI39" s="28" t="s">
        <v>84</v>
      </c>
      <c r="CJ39" s="28"/>
      <c r="CK39" s="28" t="s">
        <v>84</v>
      </c>
      <c r="CL39" s="28"/>
      <c r="CM39" s="28" t="s">
        <v>84</v>
      </c>
      <c r="CN39" s="28"/>
      <c r="CO39" s="28"/>
      <c r="CP39" s="28"/>
      <c r="CQ39" s="28" t="s">
        <v>118</v>
      </c>
      <c r="CR39" s="28" t="s">
        <v>84</v>
      </c>
      <c r="CS39" s="28" t="s">
        <v>1312</v>
      </c>
      <c r="CT39" s="28"/>
      <c r="CU39" s="28" t="s">
        <v>246</v>
      </c>
      <c r="CV39" s="28"/>
      <c r="CW39" s="28" t="s">
        <v>82</v>
      </c>
      <c r="CX39" s="28"/>
      <c r="CY39" s="28" t="s">
        <v>81</v>
      </c>
      <c r="CZ39" s="28"/>
      <c r="DA39" s="28" t="s">
        <v>82</v>
      </c>
      <c r="DB39" s="28"/>
      <c r="DC39" s="28" t="s">
        <v>84</v>
      </c>
      <c r="DD39" s="28" t="s">
        <v>82</v>
      </c>
      <c r="DG39" s="28">
        <v>5</v>
      </c>
      <c r="DH39" s="28">
        <v>5</v>
      </c>
      <c r="DI39" s="28">
        <v>4</v>
      </c>
      <c r="DJ39" s="28">
        <v>2</v>
      </c>
      <c r="DK39" s="28">
        <v>4</v>
      </c>
      <c r="DL39" s="28">
        <v>2</v>
      </c>
      <c r="DM39" s="28">
        <v>3</v>
      </c>
      <c r="DN39" s="28">
        <v>3</v>
      </c>
      <c r="DO39" s="28">
        <v>5</v>
      </c>
      <c r="DP39" s="28">
        <v>5</v>
      </c>
      <c r="DQ39" s="28">
        <v>4</v>
      </c>
      <c r="DR39" s="28">
        <v>5</v>
      </c>
      <c r="DS39" s="28" t="s">
        <v>99</v>
      </c>
      <c r="DT39" s="28" t="s">
        <v>84</v>
      </c>
      <c r="DU39" s="28"/>
      <c r="DV39" s="28" t="s">
        <v>84</v>
      </c>
      <c r="DW39" s="28" t="s">
        <v>100</v>
      </c>
      <c r="DX39" s="28" t="s">
        <v>81</v>
      </c>
      <c r="DY39" s="28" t="s">
        <v>1613</v>
      </c>
      <c r="DZ39" s="28" t="s">
        <v>113</v>
      </c>
      <c r="EA39" s="28"/>
      <c r="EB39" s="28" t="s">
        <v>84</v>
      </c>
      <c r="EC39" s="28"/>
      <c r="ED39" s="28"/>
      <c r="EE39" s="28"/>
      <c r="EF39" s="28" t="s">
        <v>82</v>
      </c>
      <c r="EG39" s="28" t="s">
        <v>82</v>
      </c>
      <c r="EH39" s="28" t="s">
        <v>84</v>
      </c>
      <c r="EI39" s="28" t="s">
        <v>1614</v>
      </c>
      <c r="EJ39" s="28"/>
      <c r="EK39" s="28" t="s">
        <v>1615</v>
      </c>
      <c r="EL39" s="28" t="s">
        <v>1616</v>
      </c>
      <c r="EM39" s="11">
        <v>709.26</v>
      </c>
      <c r="EN39" s="11">
        <v>17.88</v>
      </c>
      <c r="EQ39" s="11">
        <v>226.57</v>
      </c>
      <c r="EW39" s="11">
        <v>52.85</v>
      </c>
      <c r="FF39" s="11">
        <v>31.39</v>
      </c>
      <c r="FJ39" s="11">
        <v>10.93</v>
      </c>
      <c r="FP39" s="11">
        <v>25.26</v>
      </c>
      <c r="FV39" s="11">
        <v>53.18</v>
      </c>
      <c r="GC39" s="11">
        <v>141.69999999999999</v>
      </c>
      <c r="GT39" s="11">
        <v>9.6300000000000008</v>
      </c>
      <c r="GX39" s="11">
        <v>28.92</v>
      </c>
      <c r="HB39" s="11">
        <v>110.95</v>
      </c>
      <c r="HQ39" s="62">
        <f t="shared" si="4"/>
        <v>709.26</v>
      </c>
      <c r="HR39" s="62">
        <f t="shared" si="3"/>
        <v>11.821</v>
      </c>
    </row>
    <row r="40" spans="1:226" ht="12.95" customHeight="1" x14ac:dyDescent="0.2">
      <c r="A40" s="11">
        <v>99</v>
      </c>
      <c r="B40" s="11">
        <v>59</v>
      </c>
      <c r="C40" s="11" t="s">
        <v>83</v>
      </c>
      <c r="D40" s="11">
        <v>11</v>
      </c>
      <c r="E40" s="11" t="s">
        <v>79</v>
      </c>
      <c r="F40" s="11">
        <v>736187259</v>
      </c>
      <c r="G40" s="11" t="s">
        <v>81</v>
      </c>
      <c r="H40" s="11" t="s">
        <v>84</v>
      </c>
      <c r="I40" s="28" t="s">
        <v>107</v>
      </c>
      <c r="J40" s="28"/>
      <c r="M40" s="28" t="s">
        <v>1319</v>
      </c>
      <c r="N40" s="28" t="s">
        <v>618</v>
      </c>
      <c r="O40" s="28"/>
      <c r="P40" s="28" t="s">
        <v>87</v>
      </c>
      <c r="Q40" s="28" t="s">
        <v>1296</v>
      </c>
      <c r="S40" s="28" t="s">
        <v>84</v>
      </c>
      <c r="T40" s="28" t="s">
        <v>84</v>
      </c>
      <c r="U40" s="28" t="s">
        <v>84</v>
      </c>
      <c r="V40" s="28" t="s">
        <v>82</v>
      </c>
      <c r="W40" s="28" t="s">
        <v>82</v>
      </c>
      <c r="X40" s="28" t="s">
        <v>82</v>
      </c>
      <c r="Y40" s="28" t="s">
        <v>82</v>
      </c>
      <c r="Z40" s="28" t="s">
        <v>82</v>
      </c>
      <c r="AA40" s="28"/>
      <c r="AB40" s="28" t="s">
        <v>82</v>
      </c>
      <c r="AC40" s="28"/>
      <c r="AD40" s="28" t="s">
        <v>82</v>
      </c>
      <c r="AE40" s="28"/>
      <c r="AF40" s="28"/>
      <c r="AG40" s="28" t="s">
        <v>84</v>
      </c>
      <c r="AH40" s="28"/>
      <c r="AI40" s="28" t="s">
        <v>84</v>
      </c>
      <c r="AJ40" s="28"/>
      <c r="AK40" s="28" t="s">
        <v>1617</v>
      </c>
      <c r="AL40" s="28" t="s">
        <v>126</v>
      </c>
      <c r="AM40" s="28" t="s">
        <v>82</v>
      </c>
      <c r="AN40" s="28" t="s">
        <v>1618</v>
      </c>
      <c r="AO40" s="28" t="s">
        <v>84</v>
      </c>
      <c r="AQ40" s="28" t="s">
        <v>80</v>
      </c>
      <c r="AR40" s="28" t="s">
        <v>80</v>
      </c>
      <c r="AS40" s="28" t="s">
        <v>80</v>
      </c>
      <c r="AT40" s="28" t="s">
        <v>80</v>
      </c>
      <c r="AU40" s="28"/>
      <c r="AW40" s="28" t="s">
        <v>80</v>
      </c>
      <c r="AX40" s="28" t="s">
        <v>80</v>
      </c>
      <c r="AY40" s="28" t="s">
        <v>80</v>
      </c>
      <c r="AZ40" s="28" t="s">
        <v>80</v>
      </c>
      <c r="BA40" s="28"/>
      <c r="BB40" s="28" t="s">
        <v>84</v>
      </c>
      <c r="BC40" s="28" t="s">
        <v>80</v>
      </c>
      <c r="BD40" s="28" t="s">
        <v>113</v>
      </c>
      <c r="BE40" s="28" t="s">
        <v>100</v>
      </c>
      <c r="BF40" s="28" t="s">
        <v>112</v>
      </c>
      <c r="BG40" s="28" t="s">
        <v>84</v>
      </c>
      <c r="BH40" s="28" t="s">
        <v>84</v>
      </c>
      <c r="BI40" s="28" t="s">
        <v>1619</v>
      </c>
      <c r="BJ40" s="28" t="s">
        <v>84</v>
      </c>
      <c r="BK40" s="28" t="s">
        <v>80</v>
      </c>
      <c r="BL40" s="28">
        <v>3</v>
      </c>
      <c r="BM40" s="28">
        <v>2</v>
      </c>
      <c r="BN40" s="28">
        <v>2</v>
      </c>
      <c r="BO40" s="28">
        <v>2</v>
      </c>
      <c r="BP40" s="28">
        <v>3</v>
      </c>
      <c r="BQ40" s="28">
        <v>3</v>
      </c>
      <c r="BS40" s="28" t="s">
        <v>119</v>
      </c>
      <c r="BT40" s="28" t="s">
        <v>1620</v>
      </c>
      <c r="BU40" s="28" t="s">
        <v>246</v>
      </c>
      <c r="BV40" s="28"/>
      <c r="BX40" s="28" t="s">
        <v>82</v>
      </c>
      <c r="BY40" s="28"/>
      <c r="BZ40" s="28" t="s">
        <v>84</v>
      </c>
      <c r="CA40" s="28" t="s">
        <v>1621</v>
      </c>
      <c r="CB40" s="28" t="s">
        <v>82</v>
      </c>
      <c r="CC40" s="28"/>
      <c r="CD40" s="28" t="s">
        <v>82</v>
      </c>
      <c r="CE40" s="28"/>
      <c r="CF40" s="28"/>
      <c r="CG40" s="28"/>
      <c r="CI40" s="28" t="s">
        <v>84</v>
      </c>
      <c r="CJ40" s="28"/>
      <c r="CK40" s="28" t="s">
        <v>82</v>
      </c>
      <c r="CL40" s="28"/>
      <c r="CM40" s="28" t="s">
        <v>82</v>
      </c>
      <c r="CN40" s="28"/>
      <c r="CO40" s="28"/>
      <c r="CP40" s="28"/>
      <c r="CQ40" s="28" t="s">
        <v>118</v>
      </c>
      <c r="CR40" s="28" t="s">
        <v>84</v>
      </c>
      <c r="CS40" s="28" t="s">
        <v>1312</v>
      </c>
      <c r="CT40" s="28"/>
      <c r="CU40" s="28" t="s">
        <v>81</v>
      </c>
      <c r="CV40" s="28"/>
      <c r="CW40" s="28" t="s">
        <v>82</v>
      </c>
      <c r="CX40" s="28"/>
      <c r="CY40" s="28" t="s">
        <v>81</v>
      </c>
      <c r="CZ40" s="28"/>
      <c r="DA40" s="28" t="s">
        <v>82</v>
      </c>
      <c r="DB40" s="28"/>
      <c r="DC40" s="28" t="s">
        <v>84</v>
      </c>
      <c r="DD40" s="28" t="s">
        <v>84</v>
      </c>
      <c r="DG40" s="28">
        <v>2</v>
      </c>
      <c r="DH40" s="28">
        <v>1</v>
      </c>
      <c r="DI40" s="28">
        <v>4</v>
      </c>
      <c r="DJ40" s="28">
        <v>3</v>
      </c>
      <c r="DK40" s="28">
        <v>5</v>
      </c>
      <c r="DL40" s="28">
        <v>5</v>
      </c>
      <c r="DM40" s="28">
        <v>2</v>
      </c>
      <c r="DN40" s="28">
        <v>2</v>
      </c>
      <c r="DO40" s="28">
        <v>3</v>
      </c>
      <c r="DP40" s="28">
        <v>2</v>
      </c>
      <c r="DQ40" s="28">
        <v>4</v>
      </c>
      <c r="DR40" s="28">
        <v>3</v>
      </c>
      <c r="DS40" s="28" t="s">
        <v>118</v>
      </c>
      <c r="DT40" s="28" t="s">
        <v>82</v>
      </c>
      <c r="DU40" s="28" t="s">
        <v>1622</v>
      </c>
      <c r="DV40" s="28" t="s">
        <v>84</v>
      </c>
      <c r="DW40" s="28" t="s">
        <v>113</v>
      </c>
      <c r="DX40" s="28" t="s">
        <v>81</v>
      </c>
      <c r="DY40" s="28" t="s">
        <v>1623</v>
      </c>
      <c r="DZ40" s="28" t="s">
        <v>113</v>
      </c>
      <c r="EA40" s="28" t="s">
        <v>1624</v>
      </c>
      <c r="EB40" s="28" t="s">
        <v>82</v>
      </c>
      <c r="EC40" s="28"/>
      <c r="ED40" s="28" t="s">
        <v>81</v>
      </c>
      <c r="EE40" s="28" t="s">
        <v>1625</v>
      </c>
      <c r="EF40" s="28" t="s">
        <v>84</v>
      </c>
      <c r="EG40" s="28" t="s">
        <v>84</v>
      </c>
      <c r="EH40" s="28" t="s">
        <v>82</v>
      </c>
      <c r="EI40" s="28"/>
      <c r="EJ40" s="28" t="s">
        <v>1626</v>
      </c>
      <c r="EK40" s="28" t="s">
        <v>1627</v>
      </c>
      <c r="EL40" s="28" t="s">
        <v>1628</v>
      </c>
      <c r="EM40" s="11">
        <v>712.23</v>
      </c>
      <c r="EN40" s="11">
        <v>11.82</v>
      </c>
      <c r="EQ40" s="11">
        <v>40.36</v>
      </c>
      <c r="EW40" s="11">
        <v>26.67</v>
      </c>
      <c r="FF40" s="11">
        <v>37.03</v>
      </c>
      <c r="FJ40" s="11">
        <v>49.42</v>
      </c>
      <c r="FP40" s="11">
        <v>35.369999999999997</v>
      </c>
      <c r="FV40" s="11">
        <v>57.61</v>
      </c>
      <c r="GC40" s="11">
        <v>162.74</v>
      </c>
      <c r="GT40" s="11">
        <v>32.65</v>
      </c>
      <c r="GX40" s="11">
        <v>53.2</v>
      </c>
      <c r="HB40" s="11">
        <v>205.36</v>
      </c>
      <c r="HQ40" s="62">
        <f t="shared" si="4"/>
        <v>712.23</v>
      </c>
      <c r="HR40" s="62">
        <f t="shared" si="3"/>
        <v>11.8705</v>
      </c>
    </row>
    <row r="41" spans="1:226" ht="12.95" customHeight="1" x14ac:dyDescent="0.2">
      <c r="A41" s="11">
        <v>100</v>
      </c>
      <c r="B41" s="11">
        <v>60</v>
      </c>
      <c r="C41" s="11" t="s">
        <v>83</v>
      </c>
      <c r="D41" s="11">
        <v>11</v>
      </c>
      <c r="E41" s="11" t="s">
        <v>79</v>
      </c>
      <c r="F41" s="11">
        <v>627193815</v>
      </c>
      <c r="G41" s="11" t="s">
        <v>81</v>
      </c>
      <c r="H41" s="11" t="s">
        <v>84</v>
      </c>
      <c r="I41" s="28" t="s">
        <v>119</v>
      </c>
      <c r="J41" s="28" t="s">
        <v>1629</v>
      </c>
      <c r="M41" s="28" t="s">
        <v>1319</v>
      </c>
      <c r="N41" s="28" t="s">
        <v>106</v>
      </c>
      <c r="O41" s="28" t="s">
        <v>1630</v>
      </c>
      <c r="P41" s="28" t="s">
        <v>87</v>
      </c>
      <c r="Q41" s="28" t="s">
        <v>1296</v>
      </c>
      <c r="S41" s="28" t="s">
        <v>84</v>
      </c>
      <c r="T41" s="28" t="s">
        <v>84</v>
      </c>
      <c r="U41" s="28" t="s">
        <v>84</v>
      </c>
      <c r="V41" s="28" t="s">
        <v>82</v>
      </c>
      <c r="W41" s="28" t="s">
        <v>82</v>
      </c>
      <c r="X41" s="28" t="s">
        <v>82</v>
      </c>
      <c r="Y41" s="28" t="s">
        <v>82</v>
      </c>
      <c r="Z41" s="28" t="s">
        <v>84</v>
      </c>
      <c r="AA41" s="28"/>
      <c r="AB41" s="28" t="s">
        <v>82</v>
      </c>
      <c r="AC41" s="28"/>
      <c r="AD41" s="28" t="s">
        <v>82</v>
      </c>
      <c r="AE41" s="28"/>
      <c r="AF41" s="28"/>
      <c r="AG41" s="28" t="s">
        <v>84</v>
      </c>
      <c r="AH41" s="28" t="s">
        <v>1631</v>
      </c>
      <c r="AI41" s="28" t="s">
        <v>84</v>
      </c>
      <c r="AJ41" s="28" t="s">
        <v>1632</v>
      </c>
      <c r="AK41" s="28" t="s">
        <v>1633</v>
      </c>
      <c r="AL41" s="28" t="s">
        <v>126</v>
      </c>
      <c r="AM41" s="28" t="s">
        <v>91</v>
      </c>
      <c r="AN41" s="28"/>
      <c r="AO41" s="28" t="s">
        <v>80</v>
      </c>
      <c r="AQ41" s="28" t="s">
        <v>80</v>
      </c>
      <c r="AR41" s="28" t="s">
        <v>80</v>
      </c>
      <c r="AS41" s="28" t="s">
        <v>80</v>
      </c>
      <c r="AT41" s="28" t="s">
        <v>80</v>
      </c>
      <c r="AU41" s="28"/>
      <c r="AW41" s="28" t="s">
        <v>84</v>
      </c>
      <c r="AX41" s="28" t="s">
        <v>84</v>
      </c>
      <c r="AY41" s="28" t="s">
        <v>82</v>
      </c>
      <c r="AZ41" s="28" t="s">
        <v>84</v>
      </c>
      <c r="BA41" s="28"/>
      <c r="BB41" s="28" t="s">
        <v>84</v>
      </c>
      <c r="BC41" s="28" t="s">
        <v>80</v>
      </c>
      <c r="BD41" s="28" t="s">
        <v>93</v>
      </c>
      <c r="BE41" s="28" t="s">
        <v>113</v>
      </c>
      <c r="BF41" s="28" t="s">
        <v>100</v>
      </c>
      <c r="BG41" s="28" t="s">
        <v>84</v>
      </c>
      <c r="BH41" s="28" t="s">
        <v>84</v>
      </c>
      <c r="BI41" s="28"/>
      <c r="BJ41" s="28" t="s">
        <v>84</v>
      </c>
      <c r="BK41" s="28" t="s">
        <v>80</v>
      </c>
      <c r="BL41" s="28">
        <v>4</v>
      </c>
      <c r="BM41" s="28">
        <v>4</v>
      </c>
      <c r="BN41" s="28">
        <v>1</v>
      </c>
      <c r="BO41" s="28">
        <v>1</v>
      </c>
      <c r="BP41" s="28">
        <v>5</v>
      </c>
      <c r="BQ41" s="28">
        <v>5</v>
      </c>
      <c r="BS41" s="28" t="s">
        <v>118</v>
      </c>
      <c r="BT41" s="28"/>
      <c r="BU41" s="28"/>
      <c r="BV41" s="28"/>
      <c r="BX41" s="28" t="s">
        <v>84</v>
      </c>
      <c r="BY41" s="28" t="s">
        <v>1634</v>
      </c>
      <c r="BZ41" s="28" t="s">
        <v>82</v>
      </c>
      <c r="CA41" s="28"/>
      <c r="CB41" s="28" t="s">
        <v>82</v>
      </c>
      <c r="CC41" s="28"/>
      <c r="CD41" s="28" t="s">
        <v>82</v>
      </c>
      <c r="CE41" s="28"/>
      <c r="CF41" s="28"/>
      <c r="CG41" s="28"/>
      <c r="CI41" s="28" t="s">
        <v>84</v>
      </c>
      <c r="CJ41" s="28" t="s">
        <v>1635</v>
      </c>
      <c r="CK41" s="28" t="s">
        <v>84</v>
      </c>
      <c r="CL41" s="28"/>
      <c r="CM41" s="28" t="s">
        <v>82</v>
      </c>
      <c r="CN41" s="28"/>
      <c r="CO41" s="28"/>
      <c r="CP41" s="28"/>
      <c r="CQ41" s="28" t="s">
        <v>118</v>
      </c>
      <c r="CR41" s="28" t="s">
        <v>84</v>
      </c>
      <c r="CS41" s="28" t="s">
        <v>97</v>
      </c>
      <c r="CT41" s="28"/>
      <c r="CU41" s="28" t="s">
        <v>81</v>
      </c>
      <c r="CV41" s="28"/>
      <c r="CW41" s="28" t="s">
        <v>82</v>
      </c>
      <c r="CX41" s="28"/>
      <c r="CY41" s="28" t="s">
        <v>246</v>
      </c>
      <c r="CZ41" s="28"/>
      <c r="DA41" s="28" t="s">
        <v>82</v>
      </c>
      <c r="DB41" s="28"/>
      <c r="DC41" s="28" t="s">
        <v>84</v>
      </c>
      <c r="DD41" s="28" t="s">
        <v>84</v>
      </c>
      <c r="DG41" s="28">
        <v>3</v>
      </c>
      <c r="DH41" s="28">
        <v>1</v>
      </c>
      <c r="DI41" s="28">
        <v>4</v>
      </c>
      <c r="DJ41" s="28">
        <v>1</v>
      </c>
      <c r="DK41" s="28">
        <v>2</v>
      </c>
      <c r="DL41" s="28">
        <v>1</v>
      </c>
      <c r="DM41" s="28">
        <v>1</v>
      </c>
      <c r="DN41" s="28">
        <v>3</v>
      </c>
      <c r="DO41" s="28">
        <v>3</v>
      </c>
      <c r="DP41" s="28">
        <v>1</v>
      </c>
      <c r="DQ41" s="28">
        <v>2</v>
      </c>
      <c r="DR41" s="28">
        <v>2</v>
      </c>
      <c r="DS41" s="28" t="s">
        <v>118</v>
      </c>
      <c r="DT41" s="28" t="s">
        <v>106</v>
      </c>
      <c r="DU41" s="28"/>
      <c r="DV41" s="28" t="s">
        <v>84</v>
      </c>
      <c r="DW41" s="28" t="s">
        <v>100</v>
      </c>
      <c r="DX41" s="28" t="s">
        <v>81</v>
      </c>
      <c r="DY41" s="28"/>
      <c r="DZ41" s="28" t="s">
        <v>113</v>
      </c>
      <c r="EA41" s="28"/>
      <c r="EB41" s="28" t="s">
        <v>82</v>
      </c>
      <c r="EC41" s="28"/>
      <c r="ED41" s="28" t="s">
        <v>246</v>
      </c>
      <c r="EE41" s="28" t="s">
        <v>1636</v>
      </c>
      <c r="EF41" s="28" t="s">
        <v>82</v>
      </c>
      <c r="EG41" s="28" t="s">
        <v>84</v>
      </c>
      <c r="EH41" s="28" t="s">
        <v>82</v>
      </c>
      <c r="EI41" s="28"/>
      <c r="EJ41" s="28"/>
      <c r="EK41" s="28"/>
      <c r="EL41" s="28"/>
      <c r="EM41" s="11">
        <v>971.34</v>
      </c>
      <c r="EN41" s="11">
        <v>16.66</v>
      </c>
      <c r="EQ41" s="11">
        <v>154.94999999999999</v>
      </c>
      <c r="EW41" s="11">
        <v>121.68</v>
      </c>
      <c r="FF41" s="11">
        <v>110.46</v>
      </c>
      <c r="FJ41" s="11">
        <v>14.31</v>
      </c>
      <c r="FP41" s="11">
        <v>27.69</v>
      </c>
      <c r="FV41" s="11">
        <v>76.83</v>
      </c>
      <c r="GC41" s="11">
        <v>227.28</v>
      </c>
      <c r="GT41" s="11">
        <v>80.930000000000007</v>
      </c>
      <c r="GX41" s="11">
        <v>24.5</v>
      </c>
      <c r="HB41" s="11">
        <v>116.05</v>
      </c>
      <c r="HQ41" s="62">
        <f t="shared" si="4"/>
        <v>971.34</v>
      </c>
      <c r="HR41" s="62">
        <f t="shared" si="3"/>
        <v>16.189</v>
      </c>
    </row>
    <row r="42" spans="1:226" ht="12.95" customHeight="1" x14ac:dyDescent="0.2">
      <c r="A42" s="11">
        <v>101</v>
      </c>
      <c r="B42" s="11">
        <v>61</v>
      </c>
      <c r="C42" s="11" t="s">
        <v>83</v>
      </c>
      <c r="D42" s="11">
        <v>11</v>
      </c>
      <c r="E42" s="11" t="s">
        <v>79</v>
      </c>
      <c r="F42" s="11">
        <v>1374159378</v>
      </c>
      <c r="G42" s="11" t="s">
        <v>81</v>
      </c>
      <c r="H42" s="11" t="s">
        <v>84</v>
      </c>
      <c r="I42" s="28" t="s">
        <v>324</v>
      </c>
      <c r="J42" s="28"/>
      <c r="M42" s="28" t="s">
        <v>1319</v>
      </c>
      <c r="N42" s="28" t="s">
        <v>108</v>
      </c>
      <c r="O42" s="28"/>
      <c r="P42" s="28" t="s">
        <v>632</v>
      </c>
      <c r="Q42" s="28" t="s">
        <v>1375</v>
      </c>
      <c r="S42" s="28" t="s">
        <v>84</v>
      </c>
      <c r="T42" s="28" t="s">
        <v>84</v>
      </c>
      <c r="U42" s="28" t="s">
        <v>84</v>
      </c>
      <c r="V42" s="28" t="s">
        <v>84</v>
      </c>
      <c r="W42" s="28" t="s">
        <v>82</v>
      </c>
      <c r="X42" s="28" t="s">
        <v>84</v>
      </c>
      <c r="Y42" s="28" t="s">
        <v>84</v>
      </c>
      <c r="Z42" s="28" t="s">
        <v>84</v>
      </c>
      <c r="AA42" s="28"/>
      <c r="AB42" s="28" t="s">
        <v>82</v>
      </c>
      <c r="AC42" s="28"/>
      <c r="AD42" s="28" t="s">
        <v>84</v>
      </c>
      <c r="AE42" s="28" t="s">
        <v>1637</v>
      </c>
      <c r="AF42" s="28" t="s">
        <v>1638</v>
      </c>
      <c r="AG42" s="28" t="s">
        <v>80</v>
      </c>
      <c r="AH42" s="28"/>
      <c r="AI42" s="28" t="s">
        <v>82</v>
      </c>
      <c r="AJ42" s="28" t="s">
        <v>1639</v>
      </c>
      <c r="AK42" s="28"/>
      <c r="AL42" s="28" t="s">
        <v>140</v>
      </c>
      <c r="AM42" s="28" t="s">
        <v>91</v>
      </c>
      <c r="AN42" s="28"/>
      <c r="AO42" s="28" t="s">
        <v>80</v>
      </c>
      <c r="AQ42" s="28" t="s">
        <v>80</v>
      </c>
      <c r="AR42" s="28" t="s">
        <v>80</v>
      </c>
      <c r="AS42" s="28" t="s">
        <v>80</v>
      </c>
      <c r="AT42" s="28" t="s">
        <v>80</v>
      </c>
      <c r="AU42" s="28"/>
      <c r="AW42" s="28" t="s">
        <v>84</v>
      </c>
      <c r="AX42" s="28" t="s">
        <v>84</v>
      </c>
      <c r="AY42" s="28" t="s">
        <v>84</v>
      </c>
      <c r="AZ42" s="28" t="s">
        <v>84</v>
      </c>
      <c r="BA42" s="28"/>
      <c r="BB42" s="28" t="s">
        <v>82</v>
      </c>
      <c r="BC42" s="28" t="s">
        <v>82</v>
      </c>
      <c r="BD42" s="28" t="s">
        <v>100</v>
      </c>
      <c r="BE42" s="28" t="s">
        <v>113</v>
      </c>
      <c r="BF42" s="28" t="s">
        <v>113</v>
      </c>
      <c r="BG42" s="28" t="s">
        <v>145</v>
      </c>
      <c r="BH42" s="28" t="s">
        <v>82</v>
      </c>
      <c r="BI42" s="28"/>
      <c r="BJ42" s="28" t="s">
        <v>84</v>
      </c>
      <c r="BK42" s="28" t="s">
        <v>80</v>
      </c>
      <c r="BL42" s="28">
        <v>3</v>
      </c>
      <c r="BM42" s="28">
        <v>3</v>
      </c>
      <c r="BN42" s="28">
        <v>3</v>
      </c>
      <c r="BO42" s="28">
        <v>3</v>
      </c>
      <c r="BP42" s="28">
        <v>3</v>
      </c>
      <c r="BQ42" s="28">
        <v>3</v>
      </c>
      <c r="BS42" s="28" t="s">
        <v>99</v>
      </c>
      <c r="BT42" s="28"/>
      <c r="BU42" s="28"/>
      <c r="BV42" s="28"/>
      <c r="BX42" s="28" t="s">
        <v>82</v>
      </c>
      <c r="BY42" s="28"/>
      <c r="BZ42" s="28" t="s">
        <v>84</v>
      </c>
      <c r="CA42" s="28" t="s">
        <v>1640</v>
      </c>
      <c r="CB42" s="28" t="s">
        <v>82</v>
      </c>
      <c r="CC42" s="28"/>
      <c r="CD42" s="28" t="s">
        <v>84</v>
      </c>
      <c r="CE42" s="28" t="s">
        <v>1641</v>
      </c>
      <c r="CF42" s="28"/>
      <c r="CG42" s="28"/>
      <c r="CI42" s="28" t="s">
        <v>82</v>
      </c>
      <c r="CJ42" s="28"/>
      <c r="CK42" s="28" t="s">
        <v>82</v>
      </c>
      <c r="CL42" s="28"/>
      <c r="CM42" s="28" t="s">
        <v>82</v>
      </c>
      <c r="CN42" s="28"/>
      <c r="CO42" s="28" t="s">
        <v>1642</v>
      </c>
      <c r="CP42" s="28" t="s">
        <v>1643</v>
      </c>
      <c r="CQ42" s="28" t="s">
        <v>118</v>
      </c>
      <c r="CR42" s="28" t="s">
        <v>82</v>
      </c>
      <c r="CS42" s="28" t="s">
        <v>97</v>
      </c>
      <c r="CT42" s="28"/>
      <c r="CU42" s="28" t="s">
        <v>246</v>
      </c>
      <c r="CV42" s="28"/>
      <c r="CW42" s="28" t="s">
        <v>84</v>
      </c>
      <c r="CX42" s="28" t="s">
        <v>1644</v>
      </c>
      <c r="CY42" s="28"/>
      <c r="CZ42" s="28"/>
      <c r="DA42" s="28" t="s">
        <v>84</v>
      </c>
      <c r="DB42" s="28" t="s">
        <v>1645</v>
      </c>
      <c r="DC42" s="28" t="s">
        <v>84</v>
      </c>
      <c r="DD42" s="28" t="s">
        <v>84</v>
      </c>
      <c r="DG42" s="28">
        <v>1</v>
      </c>
      <c r="DH42" s="28">
        <v>1</v>
      </c>
      <c r="DI42" s="28">
        <v>2</v>
      </c>
      <c r="DJ42" s="28">
        <v>1</v>
      </c>
      <c r="DK42" s="28">
        <v>2</v>
      </c>
      <c r="DL42" s="28">
        <v>1</v>
      </c>
      <c r="DM42" s="28">
        <v>2</v>
      </c>
      <c r="DN42" s="28">
        <v>1</v>
      </c>
      <c r="DO42" s="28">
        <v>1</v>
      </c>
      <c r="DP42" s="28">
        <v>1</v>
      </c>
      <c r="DQ42" s="28">
        <v>2</v>
      </c>
      <c r="DR42" s="28">
        <v>2</v>
      </c>
      <c r="DS42" s="28" t="s">
        <v>118</v>
      </c>
      <c r="DT42" s="28" t="s">
        <v>106</v>
      </c>
      <c r="DU42" s="28"/>
      <c r="DV42" s="28" t="s">
        <v>84</v>
      </c>
      <c r="DW42" s="28" t="s">
        <v>113</v>
      </c>
      <c r="DX42" s="28" t="s">
        <v>81</v>
      </c>
      <c r="DY42" s="28" t="s">
        <v>1646</v>
      </c>
      <c r="DZ42" s="28" t="s">
        <v>113</v>
      </c>
      <c r="EA42" s="28"/>
      <c r="EB42" s="28" t="s">
        <v>82</v>
      </c>
      <c r="EC42" s="28"/>
      <c r="ED42" s="28" t="s">
        <v>81</v>
      </c>
      <c r="EE42" s="28" t="s">
        <v>1647</v>
      </c>
      <c r="EF42" s="28" t="s">
        <v>82</v>
      </c>
      <c r="EG42" s="28" t="s">
        <v>84</v>
      </c>
      <c r="EH42" s="28" t="s">
        <v>84</v>
      </c>
      <c r="EI42" s="28" t="s">
        <v>1648</v>
      </c>
      <c r="EJ42" s="28" t="s">
        <v>1649</v>
      </c>
      <c r="EK42" s="28" t="s">
        <v>1650</v>
      </c>
      <c r="EL42" s="28"/>
      <c r="EM42" s="11">
        <v>1163.24</v>
      </c>
      <c r="EN42" s="11">
        <v>15.37</v>
      </c>
      <c r="EQ42" s="11">
        <v>98.7</v>
      </c>
      <c r="EW42" s="11">
        <v>167.6</v>
      </c>
      <c r="FF42" s="11">
        <v>50.12</v>
      </c>
      <c r="FJ42" s="11">
        <v>27.63</v>
      </c>
      <c r="FP42" s="11">
        <v>98.94</v>
      </c>
      <c r="FV42" s="11">
        <v>46.68</v>
      </c>
      <c r="GC42" s="11">
        <v>273.38</v>
      </c>
      <c r="GT42" s="11">
        <v>21.88</v>
      </c>
      <c r="GX42" s="11">
        <v>85.83</v>
      </c>
      <c r="HB42" s="11">
        <v>277.11</v>
      </c>
      <c r="HQ42" s="62">
        <f t="shared" si="4"/>
        <v>1163.24</v>
      </c>
      <c r="HR42" s="62">
        <f t="shared" si="3"/>
        <v>19.387333333333334</v>
      </c>
    </row>
    <row r="43" spans="1:226" ht="12.95" customHeight="1" x14ac:dyDescent="0.2">
      <c r="A43" s="11">
        <v>102</v>
      </c>
      <c r="B43" s="11">
        <v>65</v>
      </c>
      <c r="C43" s="11" t="s">
        <v>83</v>
      </c>
      <c r="D43" s="11">
        <v>11</v>
      </c>
      <c r="E43" s="11" t="s">
        <v>79</v>
      </c>
      <c r="F43" s="11">
        <v>2039265012</v>
      </c>
      <c r="G43" s="11" t="s">
        <v>81</v>
      </c>
      <c r="H43" s="11" t="s">
        <v>84</v>
      </c>
      <c r="I43" s="28" t="s">
        <v>377</v>
      </c>
      <c r="J43" s="28"/>
      <c r="M43" s="28" t="s">
        <v>1319</v>
      </c>
      <c r="N43" s="28" t="s">
        <v>618</v>
      </c>
      <c r="O43" s="28"/>
      <c r="P43" s="28" t="s">
        <v>253</v>
      </c>
      <c r="Q43" s="28" t="s">
        <v>1358</v>
      </c>
      <c r="S43" s="28" t="s">
        <v>84</v>
      </c>
      <c r="T43" s="28" t="s">
        <v>84</v>
      </c>
      <c r="U43" s="28" t="s">
        <v>84</v>
      </c>
      <c r="V43" s="28" t="s">
        <v>84</v>
      </c>
      <c r="W43" s="28" t="s">
        <v>82</v>
      </c>
      <c r="X43" s="28" t="s">
        <v>82</v>
      </c>
      <c r="Y43" s="28" t="s">
        <v>84</v>
      </c>
      <c r="Z43" s="28" t="s">
        <v>82</v>
      </c>
      <c r="AA43" s="28"/>
      <c r="AB43" s="28" t="s">
        <v>82</v>
      </c>
      <c r="AC43" s="28"/>
      <c r="AD43" s="28" t="s">
        <v>82</v>
      </c>
      <c r="AE43" s="28"/>
      <c r="AF43" s="28"/>
      <c r="AG43" s="28" t="s">
        <v>84</v>
      </c>
      <c r="AH43" s="28"/>
      <c r="AI43" s="28" t="s">
        <v>84</v>
      </c>
      <c r="AJ43" s="28"/>
      <c r="AK43" s="28"/>
      <c r="AL43" s="28" t="s">
        <v>140</v>
      </c>
      <c r="AM43" s="28" t="s">
        <v>91</v>
      </c>
      <c r="AN43" s="28"/>
      <c r="AO43" s="28" t="s">
        <v>80</v>
      </c>
      <c r="AQ43" s="28" t="s">
        <v>80</v>
      </c>
      <c r="AR43" s="28" t="s">
        <v>80</v>
      </c>
      <c r="AS43" s="28" t="s">
        <v>80</v>
      </c>
      <c r="AT43" s="28" t="s">
        <v>80</v>
      </c>
      <c r="AU43" s="28"/>
      <c r="AW43" s="28" t="s">
        <v>84</v>
      </c>
      <c r="AX43" s="28" t="s">
        <v>84</v>
      </c>
      <c r="AY43" s="28" t="s">
        <v>84</v>
      </c>
      <c r="AZ43" s="28" t="s">
        <v>84</v>
      </c>
      <c r="BA43" s="28"/>
      <c r="BB43" s="28" t="s">
        <v>84</v>
      </c>
      <c r="BC43" s="28" t="s">
        <v>80</v>
      </c>
      <c r="BD43" s="28" t="s">
        <v>100</v>
      </c>
      <c r="BE43" s="28" t="s">
        <v>100</v>
      </c>
      <c r="BF43" s="28" t="s">
        <v>100</v>
      </c>
      <c r="BG43" s="28" t="s">
        <v>84</v>
      </c>
      <c r="BH43" s="28" t="s">
        <v>84</v>
      </c>
      <c r="BI43" s="28"/>
      <c r="BJ43" s="28" t="s">
        <v>84</v>
      </c>
      <c r="BK43" s="28" t="s">
        <v>80</v>
      </c>
      <c r="BL43" s="28">
        <v>3</v>
      </c>
      <c r="BM43" s="28">
        <v>3</v>
      </c>
      <c r="BN43" s="28">
        <v>2</v>
      </c>
      <c r="BO43" s="28">
        <v>2</v>
      </c>
      <c r="BP43" s="28">
        <v>3</v>
      </c>
      <c r="BQ43" s="28">
        <v>3</v>
      </c>
      <c r="BS43" s="28" t="s">
        <v>118</v>
      </c>
      <c r="BT43" s="28"/>
      <c r="BU43" s="28"/>
      <c r="BV43" s="28"/>
      <c r="BX43" s="28" t="s">
        <v>84</v>
      </c>
      <c r="BY43" s="28" t="s">
        <v>1651</v>
      </c>
      <c r="BZ43" s="28" t="s">
        <v>84</v>
      </c>
      <c r="CA43" s="28" t="s">
        <v>1652</v>
      </c>
      <c r="CB43" s="28" t="s">
        <v>82</v>
      </c>
      <c r="CC43" s="28"/>
      <c r="CD43" s="28" t="s">
        <v>84</v>
      </c>
      <c r="CE43" s="28" t="s">
        <v>1653</v>
      </c>
      <c r="CF43" s="28"/>
      <c r="CG43" s="28"/>
      <c r="CI43" s="28" t="s">
        <v>84</v>
      </c>
      <c r="CJ43" s="28"/>
      <c r="CK43" s="28" t="s">
        <v>84</v>
      </c>
      <c r="CL43" s="28"/>
      <c r="CM43" s="28" t="s">
        <v>84</v>
      </c>
      <c r="CN43" s="28"/>
      <c r="CO43" s="28"/>
      <c r="CP43" s="28"/>
      <c r="CQ43" s="28" t="s">
        <v>118</v>
      </c>
      <c r="CR43" s="28" t="s">
        <v>84</v>
      </c>
      <c r="CS43" s="28" t="s">
        <v>1312</v>
      </c>
      <c r="CT43" s="28"/>
      <c r="CU43" s="28" t="s">
        <v>246</v>
      </c>
      <c r="CV43" s="28"/>
      <c r="CW43" s="28" t="s">
        <v>84</v>
      </c>
      <c r="CX43" s="28" t="s">
        <v>1654</v>
      </c>
      <c r="CY43" s="28"/>
      <c r="CZ43" s="28"/>
      <c r="DA43" s="28" t="s">
        <v>82</v>
      </c>
      <c r="DB43" s="28"/>
      <c r="DC43" s="28" t="s">
        <v>84</v>
      </c>
      <c r="DD43" s="28" t="s">
        <v>84</v>
      </c>
      <c r="DG43" s="28">
        <v>3</v>
      </c>
      <c r="DH43" s="28">
        <v>2</v>
      </c>
      <c r="DI43" s="28">
        <v>3</v>
      </c>
      <c r="DJ43" s="28">
        <v>2</v>
      </c>
      <c r="DK43" s="28">
        <v>2</v>
      </c>
      <c r="DL43" s="28">
        <v>2</v>
      </c>
      <c r="DM43" s="28">
        <v>2</v>
      </c>
      <c r="DN43" s="28">
        <v>2</v>
      </c>
      <c r="DO43" s="28">
        <v>2</v>
      </c>
      <c r="DP43" s="28">
        <v>2</v>
      </c>
      <c r="DQ43" s="28">
        <v>3</v>
      </c>
      <c r="DR43" s="28">
        <v>2</v>
      </c>
      <c r="DS43" s="28" t="s">
        <v>118</v>
      </c>
      <c r="DT43" s="28" t="s">
        <v>84</v>
      </c>
      <c r="DU43" s="28"/>
      <c r="DV43" s="28" t="s">
        <v>84</v>
      </c>
      <c r="DW43" s="28" t="s">
        <v>100</v>
      </c>
      <c r="DX43" s="28" t="s">
        <v>81</v>
      </c>
      <c r="DY43" s="28" t="s">
        <v>1655</v>
      </c>
      <c r="DZ43" s="28" t="s">
        <v>100</v>
      </c>
      <c r="EA43" s="28"/>
      <c r="EB43" s="28" t="s">
        <v>84</v>
      </c>
      <c r="EC43" s="28"/>
      <c r="ED43" s="28"/>
      <c r="EE43" s="28"/>
      <c r="EF43" s="28" t="s">
        <v>82</v>
      </c>
      <c r="EG43" s="28" t="s">
        <v>82</v>
      </c>
      <c r="EH43" s="28" t="s">
        <v>82</v>
      </c>
      <c r="EI43" s="28"/>
      <c r="EJ43" s="28"/>
      <c r="EK43" s="28"/>
      <c r="EL43" s="28"/>
      <c r="EM43" s="11">
        <v>846.06</v>
      </c>
      <c r="EN43" s="11">
        <v>15.58</v>
      </c>
      <c r="EQ43" s="11">
        <v>60.53</v>
      </c>
      <c r="EW43" s="11">
        <v>32.58</v>
      </c>
      <c r="FF43" s="11">
        <v>13.36</v>
      </c>
      <c r="FJ43" s="11">
        <v>13.54</v>
      </c>
      <c r="FP43" s="11">
        <v>23.11</v>
      </c>
      <c r="FV43" s="11">
        <v>87.73</v>
      </c>
      <c r="GC43" s="11">
        <v>237.07</v>
      </c>
      <c r="GT43" s="11">
        <v>13.16</v>
      </c>
      <c r="GX43" s="11">
        <v>266.85000000000002</v>
      </c>
      <c r="HB43" s="11">
        <v>82.55</v>
      </c>
      <c r="HQ43" s="62">
        <f t="shared" si="4"/>
        <v>846.06</v>
      </c>
      <c r="HR43" s="62">
        <f t="shared" si="3"/>
        <v>14.100999999999999</v>
      </c>
    </row>
    <row r="44" spans="1:226" ht="12.95" customHeight="1" x14ac:dyDescent="0.2">
      <c r="A44" s="11">
        <v>103</v>
      </c>
      <c r="B44" s="11">
        <v>66</v>
      </c>
      <c r="C44" s="11" t="s">
        <v>83</v>
      </c>
      <c r="D44" s="11">
        <v>11</v>
      </c>
      <c r="E44" s="11" t="s">
        <v>79</v>
      </c>
      <c r="F44" s="11">
        <v>105831384</v>
      </c>
      <c r="G44" s="11" t="s">
        <v>81</v>
      </c>
      <c r="H44" s="11" t="s">
        <v>84</v>
      </c>
      <c r="I44" s="28" t="s">
        <v>309</v>
      </c>
      <c r="J44" s="28"/>
      <c r="M44" s="28" t="s">
        <v>1319</v>
      </c>
      <c r="N44" s="28" t="s">
        <v>106</v>
      </c>
      <c r="O44" s="28"/>
      <c r="P44" s="28" t="s">
        <v>87</v>
      </c>
      <c r="Q44" s="28" t="s">
        <v>1296</v>
      </c>
      <c r="S44" s="28" t="s">
        <v>84</v>
      </c>
      <c r="T44" s="28" t="s">
        <v>84</v>
      </c>
      <c r="U44" s="28" t="s">
        <v>84</v>
      </c>
      <c r="V44" s="28" t="s">
        <v>82</v>
      </c>
      <c r="W44" s="28" t="s">
        <v>82</v>
      </c>
      <c r="X44" s="28" t="s">
        <v>82</v>
      </c>
      <c r="Y44" s="28" t="s">
        <v>82</v>
      </c>
      <c r="Z44" s="28" t="s">
        <v>82</v>
      </c>
      <c r="AA44" s="28"/>
      <c r="AB44" s="28" t="s">
        <v>82</v>
      </c>
      <c r="AC44" s="28"/>
      <c r="AD44" s="28" t="s">
        <v>82</v>
      </c>
      <c r="AE44" s="28"/>
      <c r="AF44" s="28"/>
      <c r="AG44" s="28" t="s">
        <v>84</v>
      </c>
      <c r="AH44" s="28"/>
      <c r="AI44" s="28" t="s">
        <v>84</v>
      </c>
      <c r="AJ44" s="28"/>
      <c r="AK44" s="28" t="s">
        <v>1656</v>
      </c>
      <c r="AL44" s="28" t="s">
        <v>140</v>
      </c>
      <c r="AM44" s="28" t="s">
        <v>91</v>
      </c>
      <c r="AN44" s="28"/>
      <c r="AO44" s="28" t="s">
        <v>80</v>
      </c>
      <c r="AQ44" s="28" t="s">
        <v>80</v>
      </c>
      <c r="AR44" s="28" t="s">
        <v>80</v>
      </c>
      <c r="AS44" s="28" t="s">
        <v>80</v>
      </c>
      <c r="AT44" s="28" t="s">
        <v>80</v>
      </c>
      <c r="AU44" s="28"/>
      <c r="AW44" s="28" t="s">
        <v>84</v>
      </c>
      <c r="AX44" s="28" t="s">
        <v>82</v>
      </c>
      <c r="AY44" s="28" t="s">
        <v>84</v>
      </c>
      <c r="AZ44" s="28" t="s">
        <v>82</v>
      </c>
      <c r="BA44" s="28"/>
      <c r="BB44" s="28" t="s">
        <v>84</v>
      </c>
      <c r="BC44" s="28" t="s">
        <v>80</v>
      </c>
      <c r="BD44" s="28" t="s">
        <v>93</v>
      </c>
      <c r="BE44" s="28" t="s">
        <v>93</v>
      </c>
      <c r="BF44" s="28" t="s">
        <v>112</v>
      </c>
      <c r="BG44" s="28" t="s">
        <v>84</v>
      </c>
      <c r="BH44" s="28" t="s">
        <v>82</v>
      </c>
      <c r="BI44" s="28"/>
      <c r="BJ44" s="28" t="s">
        <v>84</v>
      </c>
      <c r="BK44" s="28" t="s">
        <v>80</v>
      </c>
      <c r="BL44" s="28">
        <v>1</v>
      </c>
      <c r="BM44" s="28">
        <v>1</v>
      </c>
      <c r="BN44" s="28">
        <v>2</v>
      </c>
      <c r="BO44" s="28">
        <v>1</v>
      </c>
      <c r="BP44" s="28">
        <v>1</v>
      </c>
      <c r="BQ44" s="28">
        <v>1</v>
      </c>
      <c r="BS44" s="28" t="s">
        <v>118</v>
      </c>
      <c r="BT44" s="28"/>
      <c r="BU44" s="28"/>
      <c r="BV44" s="28"/>
      <c r="BX44" s="28" t="s">
        <v>84</v>
      </c>
      <c r="BY44" s="28"/>
      <c r="BZ44" s="28" t="s">
        <v>82</v>
      </c>
      <c r="CA44" s="28"/>
      <c r="CB44" s="28" t="s">
        <v>82</v>
      </c>
      <c r="CC44" s="28"/>
      <c r="CD44" s="28" t="s">
        <v>82</v>
      </c>
      <c r="CE44" s="28"/>
      <c r="CF44" s="28"/>
      <c r="CG44" s="28"/>
      <c r="CI44" s="28" t="s">
        <v>82</v>
      </c>
      <c r="CJ44" s="28"/>
      <c r="CK44" s="28" t="s">
        <v>84</v>
      </c>
      <c r="CL44" s="28"/>
      <c r="CM44" s="28" t="s">
        <v>82</v>
      </c>
      <c r="CN44" s="28"/>
      <c r="CO44" s="28"/>
      <c r="CP44" s="28"/>
      <c r="CQ44" s="28" t="s">
        <v>97</v>
      </c>
      <c r="CR44" s="28" t="s">
        <v>84</v>
      </c>
      <c r="CS44" s="28" t="s">
        <v>97</v>
      </c>
      <c r="CT44" s="28"/>
      <c r="CU44" s="28" t="s">
        <v>246</v>
      </c>
      <c r="CV44" s="28"/>
      <c r="CW44" s="28" t="s">
        <v>82</v>
      </c>
      <c r="CX44" s="28"/>
      <c r="CY44" s="28" t="s">
        <v>246</v>
      </c>
      <c r="CZ44" s="28"/>
      <c r="DA44" s="28" t="s">
        <v>82</v>
      </c>
      <c r="DB44" s="28"/>
      <c r="DC44" s="28" t="s">
        <v>84</v>
      </c>
      <c r="DD44" s="28" t="s">
        <v>82</v>
      </c>
      <c r="DG44" s="28">
        <v>3</v>
      </c>
      <c r="DH44" s="28">
        <v>1</v>
      </c>
      <c r="DI44" s="28">
        <v>3</v>
      </c>
      <c r="DJ44" s="28">
        <v>1</v>
      </c>
      <c r="DK44" s="28">
        <v>3</v>
      </c>
      <c r="DL44" s="28">
        <v>1</v>
      </c>
      <c r="DM44" s="28">
        <v>3</v>
      </c>
      <c r="DN44" s="28">
        <v>1</v>
      </c>
      <c r="DO44" s="28">
        <v>3</v>
      </c>
      <c r="DP44" s="28">
        <v>1</v>
      </c>
      <c r="DQ44" s="28">
        <v>3</v>
      </c>
      <c r="DR44" s="28">
        <v>1</v>
      </c>
      <c r="DS44" s="28" t="s">
        <v>97</v>
      </c>
      <c r="DT44" s="28" t="s">
        <v>84</v>
      </c>
      <c r="DU44" s="28"/>
      <c r="DV44" s="28" t="s">
        <v>84</v>
      </c>
      <c r="DW44" s="28" t="s">
        <v>113</v>
      </c>
      <c r="DX44" s="28" t="s">
        <v>246</v>
      </c>
      <c r="DY44" s="28"/>
      <c r="DZ44" s="28" t="s">
        <v>93</v>
      </c>
      <c r="EA44" s="28"/>
      <c r="EB44" s="28" t="s">
        <v>82</v>
      </c>
      <c r="EC44" s="28"/>
      <c r="ED44" s="28" t="s">
        <v>246</v>
      </c>
      <c r="EE44" s="28"/>
      <c r="EF44" s="28" t="s">
        <v>84</v>
      </c>
      <c r="EG44" s="28" t="s">
        <v>82</v>
      </c>
      <c r="EH44" s="28" t="s">
        <v>82</v>
      </c>
      <c r="EI44" s="28"/>
      <c r="EJ44" s="28"/>
      <c r="EK44" s="28"/>
      <c r="EL44" s="28"/>
      <c r="EM44" s="11">
        <v>545.58000000000004</v>
      </c>
      <c r="EN44" s="11">
        <v>11.3</v>
      </c>
      <c r="EQ44" s="11">
        <v>30.67</v>
      </c>
      <c r="EW44" s="11">
        <v>17.46</v>
      </c>
      <c r="FF44" s="11">
        <v>41.43</v>
      </c>
      <c r="FJ44" s="11">
        <v>11.11</v>
      </c>
      <c r="FP44" s="11">
        <v>18.2</v>
      </c>
      <c r="FV44" s="11">
        <v>32.119999999999997</v>
      </c>
      <c r="GC44" s="11">
        <v>324.83</v>
      </c>
      <c r="GT44" s="11">
        <v>10.61</v>
      </c>
      <c r="GX44" s="11">
        <v>19.53</v>
      </c>
      <c r="HB44" s="11">
        <v>28.32</v>
      </c>
      <c r="HQ44" s="62">
        <f t="shared" si="4"/>
        <v>545.58000000000004</v>
      </c>
      <c r="HR44" s="62">
        <f t="shared" si="3"/>
        <v>9.093</v>
      </c>
    </row>
    <row r="45" spans="1:226" ht="12.95" customHeight="1" x14ac:dyDescent="0.2">
      <c r="A45" s="11">
        <v>104</v>
      </c>
      <c r="B45" s="11">
        <v>69</v>
      </c>
      <c r="C45" s="11" t="s">
        <v>83</v>
      </c>
      <c r="D45" s="11">
        <v>11</v>
      </c>
      <c r="E45" s="11" t="s">
        <v>79</v>
      </c>
      <c r="F45" s="11">
        <v>418734430</v>
      </c>
      <c r="G45" s="11" t="s">
        <v>81</v>
      </c>
      <c r="H45" s="11" t="s">
        <v>84</v>
      </c>
      <c r="I45" s="28" t="s">
        <v>336</v>
      </c>
      <c r="J45" s="28"/>
      <c r="M45" s="28" t="s">
        <v>1319</v>
      </c>
      <c r="N45" s="28" t="s">
        <v>106</v>
      </c>
      <c r="O45" s="28"/>
      <c r="P45" s="28" t="s">
        <v>87</v>
      </c>
      <c r="Q45" s="28" t="s">
        <v>1375</v>
      </c>
      <c r="S45" s="28" t="s">
        <v>84</v>
      </c>
      <c r="T45" s="28" t="s">
        <v>84</v>
      </c>
      <c r="U45" s="28" t="s">
        <v>84</v>
      </c>
      <c r="V45" s="28" t="s">
        <v>84</v>
      </c>
      <c r="W45" s="28" t="s">
        <v>82</v>
      </c>
      <c r="X45" s="28" t="s">
        <v>84</v>
      </c>
      <c r="Y45" s="28" t="s">
        <v>82</v>
      </c>
      <c r="Z45" s="28" t="s">
        <v>84</v>
      </c>
      <c r="AA45" s="28"/>
      <c r="AB45" s="28" t="s">
        <v>82</v>
      </c>
      <c r="AC45" s="28"/>
      <c r="AD45" s="28" t="s">
        <v>82</v>
      </c>
      <c r="AE45" s="28"/>
      <c r="AF45" s="28"/>
      <c r="AG45" s="28" t="s">
        <v>84</v>
      </c>
      <c r="AH45" s="28" t="s">
        <v>1657</v>
      </c>
      <c r="AI45" s="28" t="s">
        <v>84</v>
      </c>
      <c r="AJ45" s="28" t="s">
        <v>1658</v>
      </c>
      <c r="AK45" s="28"/>
      <c r="AL45" s="28" t="s">
        <v>126</v>
      </c>
      <c r="AM45" s="28" t="s">
        <v>82</v>
      </c>
      <c r="AN45" s="28" t="s">
        <v>1659</v>
      </c>
      <c r="AO45" s="28" t="s">
        <v>82</v>
      </c>
      <c r="AQ45" s="28" t="s">
        <v>80</v>
      </c>
      <c r="AR45" s="28" t="s">
        <v>80</v>
      </c>
      <c r="AS45" s="28" t="s">
        <v>80</v>
      </c>
      <c r="AT45" s="28" t="s">
        <v>80</v>
      </c>
      <c r="AU45" s="28"/>
      <c r="AW45" s="28" t="s">
        <v>80</v>
      </c>
      <c r="AX45" s="28" t="s">
        <v>80</v>
      </c>
      <c r="AY45" s="28" t="s">
        <v>80</v>
      </c>
      <c r="AZ45" s="28" t="s">
        <v>80</v>
      </c>
      <c r="BA45" s="28"/>
      <c r="BB45" s="28" t="s">
        <v>82</v>
      </c>
      <c r="BC45" s="28" t="s">
        <v>82</v>
      </c>
      <c r="BD45" s="28" t="s">
        <v>340</v>
      </c>
      <c r="BE45" s="28" t="s">
        <v>340</v>
      </c>
      <c r="BF45" s="28" t="s">
        <v>100</v>
      </c>
      <c r="BG45" s="28" t="s">
        <v>84</v>
      </c>
      <c r="BH45" s="28" t="s">
        <v>82</v>
      </c>
      <c r="BI45" s="28"/>
      <c r="BJ45" s="28" t="s">
        <v>84</v>
      </c>
      <c r="BK45" s="28" t="s">
        <v>80</v>
      </c>
      <c r="BL45" s="28">
        <v>3</v>
      </c>
      <c r="BM45" s="28">
        <v>3</v>
      </c>
      <c r="BN45" s="28">
        <v>3</v>
      </c>
      <c r="BO45" s="28">
        <v>3</v>
      </c>
      <c r="BP45" s="28">
        <v>3</v>
      </c>
      <c r="BQ45" s="28">
        <v>3</v>
      </c>
      <c r="BS45" s="28" t="s">
        <v>97</v>
      </c>
      <c r="BT45" s="28"/>
      <c r="BU45" s="28" t="s">
        <v>246</v>
      </c>
      <c r="BV45" s="28"/>
      <c r="BX45" s="28" t="s">
        <v>80</v>
      </c>
      <c r="BY45" s="28"/>
      <c r="BZ45" s="28" t="s">
        <v>80</v>
      </c>
      <c r="CA45" s="28"/>
      <c r="CB45" s="28" t="s">
        <v>80</v>
      </c>
      <c r="CC45" s="28"/>
      <c r="CD45" s="28" t="s">
        <v>80</v>
      </c>
      <c r="CE45" s="28"/>
      <c r="CF45" s="28"/>
      <c r="CG45" s="28"/>
      <c r="CI45" s="28" t="s">
        <v>84</v>
      </c>
      <c r="CJ45" s="28" t="s">
        <v>1660</v>
      </c>
      <c r="CK45" s="28" t="s">
        <v>82</v>
      </c>
      <c r="CL45" s="28"/>
      <c r="CM45" s="28" t="s">
        <v>84</v>
      </c>
      <c r="CN45" s="28" t="s">
        <v>1661</v>
      </c>
      <c r="CO45" s="28"/>
      <c r="CP45" s="28"/>
      <c r="CQ45" s="28" t="s">
        <v>118</v>
      </c>
      <c r="CR45" s="28" t="s">
        <v>84</v>
      </c>
      <c r="CS45" s="28"/>
      <c r="CT45" s="28"/>
      <c r="CU45" s="28"/>
      <c r="CV45" s="28"/>
      <c r="CW45" s="28" t="s">
        <v>84</v>
      </c>
      <c r="CX45" s="28"/>
      <c r="CY45" s="28"/>
      <c r="CZ45" s="28"/>
      <c r="DA45" s="28" t="s">
        <v>82</v>
      </c>
      <c r="DB45" s="28"/>
      <c r="DC45" s="28" t="s">
        <v>84</v>
      </c>
      <c r="DD45" s="28" t="s">
        <v>84</v>
      </c>
      <c r="DG45" s="28">
        <v>2</v>
      </c>
      <c r="DH45" s="28">
        <v>3</v>
      </c>
      <c r="DI45" s="28">
        <v>2</v>
      </c>
      <c r="DJ45" s="28">
        <v>3</v>
      </c>
      <c r="DK45" s="28">
        <v>2</v>
      </c>
      <c r="DL45" s="28">
        <v>3</v>
      </c>
      <c r="DM45" s="28">
        <v>2</v>
      </c>
      <c r="DN45" s="28">
        <v>3</v>
      </c>
      <c r="DO45" s="28">
        <v>3</v>
      </c>
      <c r="DP45" s="28">
        <v>3</v>
      </c>
      <c r="DQ45" s="28">
        <v>2</v>
      </c>
      <c r="DR45" s="28">
        <v>3</v>
      </c>
      <c r="DS45" s="28" t="s">
        <v>118</v>
      </c>
      <c r="DT45" s="28" t="s">
        <v>84</v>
      </c>
      <c r="DU45" s="28"/>
      <c r="DV45" s="28" t="s">
        <v>84</v>
      </c>
      <c r="DW45" s="28" t="s">
        <v>100</v>
      </c>
      <c r="DX45" s="28" t="s">
        <v>246</v>
      </c>
      <c r="DY45" s="28"/>
      <c r="DZ45" s="28" t="s">
        <v>100</v>
      </c>
      <c r="EA45" s="28"/>
      <c r="EB45" s="28" t="s">
        <v>84</v>
      </c>
      <c r="EC45" s="28"/>
      <c r="ED45" s="28"/>
      <c r="EE45" s="28"/>
      <c r="EF45" s="28" t="s">
        <v>82</v>
      </c>
      <c r="EG45" s="28" t="s">
        <v>84</v>
      </c>
      <c r="EH45" s="28" t="s">
        <v>82</v>
      </c>
      <c r="EI45" s="28"/>
      <c r="EJ45" s="28"/>
      <c r="EK45" s="28" t="s">
        <v>1662</v>
      </c>
      <c r="EL45" s="28" t="s">
        <v>1663</v>
      </c>
      <c r="EM45" s="11">
        <v>719.02</v>
      </c>
      <c r="EN45" s="11">
        <v>14.29</v>
      </c>
      <c r="EQ45" s="11">
        <v>44.52</v>
      </c>
      <c r="EW45" s="11">
        <v>96.97</v>
      </c>
      <c r="FF45" s="11">
        <v>86.36</v>
      </c>
      <c r="FJ45" s="11">
        <v>52.01</v>
      </c>
      <c r="FP45" s="11">
        <v>48.86</v>
      </c>
      <c r="FV45" s="11">
        <v>38.31</v>
      </c>
      <c r="GC45" s="11">
        <v>200.43</v>
      </c>
      <c r="GT45" s="11">
        <v>13.1</v>
      </c>
      <c r="GX45" s="11">
        <v>22.33</v>
      </c>
      <c r="HB45" s="11">
        <v>101.84</v>
      </c>
      <c r="HQ45" s="62">
        <f t="shared" si="4"/>
        <v>719.02</v>
      </c>
      <c r="HR45" s="62">
        <f t="shared" si="3"/>
        <v>11.983666666666666</v>
      </c>
    </row>
    <row r="46" spans="1:226" ht="12.95" customHeight="1" x14ac:dyDescent="0.2">
      <c r="A46" s="11">
        <v>105</v>
      </c>
      <c r="B46" s="11">
        <v>71</v>
      </c>
      <c r="C46" s="11" t="s">
        <v>83</v>
      </c>
      <c r="D46" s="11">
        <v>11</v>
      </c>
      <c r="E46" s="11" t="s">
        <v>79</v>
      </c>
      <c r="F46" s="11">
        <v>1309507418</v>
      </c>
      <c r="G46" s="11" t="s">
        <v>81</v>
      </c>
      <c r="H46" s="11" t="s">
        <v>84</v>
      </c>
      <c r="I46" s="28" t="s">
        <v>107</v>
      </c>
      <c r="J46" s="28"/>
      <c r="M46" s="28" t="s">
        <v>1294</v>
      </c>
      <c r="N46" s="28" t="s">
        <v>86</v>
      </c>
      <c r="O46" s="28"/>
      <c r="P46" s="28" t="s">
        <v>87</v>
      </c>
      <c r="Q46" s="28" t="s">
        <v>1296</v>
      </c>
      <c r="S46" s="28" t="s">
        <v>84</v>
      </c>
      <c r="T46" s="28" t="s">
        <v>84</v>
      </c>
      <c r="U46" s="28" t="s">
        <v>84</v>
      </c>
      <c r="V46" s="28" t="s">
        <v>82</v>
      </c>
      <c r="W46" s="28" t="s">
        <v>82</v>
      </c>
      <c r="X46" s="28" t="s">
        <v>82</v>
      </c>
      <c r="Y46" s="28" t="s">
        <v>82</v>
      </c>
      <c r="Z46" s="28" t="s">
        <v>82</v>
      </c>
      <c r="AA46" s="28"/>
      <c r="AB46" s="28" t="s">
        <v>84</v>
      </c>
      <c r="AC46" s="28" t="s">
        <v>1664</v>
      </c>
      <c r="AD46" s="28" t="s">
        <v>82</v>
      </c>
      <c r="AE46" s="28"/>
      <c r="AF46" s="28"/>
      <c r="AG46" s="28" t="s">
        <v>82</v>
      </c>
      <c r="AH46" s="28" t="s">
        <v>1665</v>
      </c>
      <c r="AI46" s="28" t="s">
        <v>82</v>
      </c>
      <c r="AJ46" s="28" t="s">
        <v>1666</v>
      </c>
      <c r="AK46" s="28"/>
      <c r="AL46" s="28" t="s">
        <v>140</v>
      </c>
      <c r="AM46" s="28" t="s">
        <v>91</v>
      </c>
      <c r="AN46" s="28"/>
      <c r="AO46" s="28" t="s">
        <v>80</v>
      </c>
      <c r="AQ46" s="28" t="s">
        <v>80</v>
      </c>
      <c r="AR46" s="28" t="s">
        <v>80</v>
      </c>
      <c r="AS46" s="28" t="s">
        <v>80</v>
      </c>
      <c r="AT46" s="28" t="s">
        <v>80</v>
      </c>
      <c r="AU46" s="28"/>
      <c r="AW46" s="28" t="s">
        <v>84</v>
      </c>
      <c r="AX46" s="28" t="s">
        <v>82</v>
      </c>
      <c r="AY46" s="28" t="s">
        <v>82</v>
      </c>
      <c r="AZ46" s="28" t="s">
        <v>82</v>
      </c>
      <c r="BA46" s="28"/>
      <c r="BB46" s="28" t="s">
        <v>84</v>
      </c>
      <c r="BC46" s="28" t="s">
        <v>80</v>
      </c>
      <c r="BD46" s="28" t="s">
        <v>93</v>
      </c>
      <c r="BE46" s="28" t="s">
        <v>93</v>
      </c>
      <c r="BF46" s="28" t="s">
        <v>112</v>
      </c>
      <c r="BG46" s="28" t="s">
        <v>84</v>
      </c>
      <c r="BH46" s="28" t="s">
        <v>84</v>
      </c>
      <c r="BI46" s="28" t="s">
        <v>1667</v>
      </c>
      <c r="BJ46" s="28" t="s">
        <v>84</v>
      </c>
      <c r="BK46" s="28" t="s">
        <v>80</v>
      </c>
      <c r="BL46" s="28">
        <v>2</v>
      </c>
      <c r="BM46" s="28">
        <v>2</v>
      </c>
      <c r="BN46" s="28">
        <v>1</v>
      </c>
      <c r="BO46" s="28">
        <v>1</v>
      </c>
      <c r="BP46" s="28">
        <v>1</v>
      </c>
      <c r="BQ46" s="28">
        <v>1</v>
      </c>
      <c r="BS46" s="28" t="s">
        <v>99</v>
      </c>
      <c r="BT46" s="28"/>
      <c r="BU46" s="28"/>
      <c r="BV46" s="28"/>
      <c r="BX46" s="28" t="s">
        <v>84</v>
      </c>
      <c r="BY46" s="28"/>
      <c r="BZ46" s="28" t="s">
        <v>84</v>
      </c>
      <c r="CA46" s="28"/>
      <c r="CB46" s="28" t="s">
        <v>84</v>
      </c>
      <c r="CC46" s="28"/>
      <c r="CD46" s="28" t="s">
        <v>82</v>
      </c>
      <c r="CE46" s="28"/>
      <c r="CF46" s="28"/>
      <c r="CG46" s="28"/>
      <c r="CI46" s="28" t="s">
        <v>84</v>
      </c>
      <c r="CJ46" s="28"/>
      <c r="CK46" s="28" t="s">
        <v>84</v>
      </c>
      <c r="CL46" s="28"/>
      <c r="CM46" s="28" t="s">
        <v>84</v>
      </c>
      <c r="CN46" s="28"/>
      <c r="CO46" s="28"/>
      <c r="CP46" s="28"/>
      <c r="CQ46" s="28" t="s">
        <v>99</v>
      </c>
      <c r="CR46" s="28" t="s">
        <v>80</v>
      </c>
      <c r="CS46" s="28" t="s">
        <v>97</v>
      </c>
      <c r="CT46" s="28"/>
      <c r="CU46" s="28" t="s">
        <v>246</v>
      </c>
      <c r="CV46" s="28"/>
      <c r="CW46" s="28" t="s">
        <v>82</v>
      </c>
      <c r="CX46" s="28"/>
      <c r="CY46" s="28" t="s">
        <v>81</v>
      </c>
      <c r="CZ46" s="28"/>
      <c r="DA46" s="28" t="s">
        <v>84</v>
      </c>
      <c r="DB46" s="28" t="s">
        <v>1668</v>
      </c>
      <c r="DC46" s="28" t="s">
        <v>84</v>
      </c>
      <c r="DD46" s="28" t="s">
        <v>84</v>
      </c>
      <c r="DG46" s="28">
        <v>2</v>
      </c>
      <c r="DH46" s="28">
        <v>2</v>
      </c>
      <c r="DI46" s="28">
        <v>2</v>
      </c>
      <c r="DJ46" s="28">
        <v>1</v>
      </c>
      <c r="DK46" s="28">
        <v>3</v>
      </c>
      <c r="DL46" s="28">
        <v>2</v>
      </c>
      <c r="DM46" s="28">
        <v>2</v>
      </c>
      <c r="DN46" s="28">
        <v>1</v>
      </c>
      <c r="DO46" s="28">
        <v>2</v>
      </c>
      <c r="DP46" s="28">
        <v>2</v>
      </c>
      <c r="DQ46" s="28">
        <v>2</v>
      </c>
      <c r="DR46" s="28">
        <v>2</v>
      </c>
      <c r="DS46" s="28" t="s">
        <v>99</v>
      </c>
      <c r="DT46" s="28" t="s">
        <v>84</v>
      </c>
      <c r="DU46" s="28"/>
      <c r="DV46" s="28" t="s">
        <v>84</v>
      </c>
      <c r="DW46" s="28" t="s">
        <v>113</v>
      </c>
      <c r="DX46" s="28" t="s">
        <v>81</v>
      </c>
      <c r="DY46" s="28" t="s">
        <v>1669</v>
      </c>
      <c r="DZ46" s="28" t="s">
        <v>113</v>
      </c>
      <c r="EA46" s="28" t="s">
        <v>1670</v>
      </c>
      <c r="EB46" s="28" t="s">
        <v>84</v>
      </c>
      <c r="EC46" s="28"/>
      <c r="ED46" s="28"/>
      <c r="EE46" s="28"/>
      <c r="EF46" s="28" t="s">
        <v>82</v>
      </c>
      <c r="EG46" s="28" t="s">
        <v>82</v>
      </c>
      <c r="EH46" s="28" t="s">
        <v>82</v>
      </c>
      <c r="EI46" s="28"/>
      <c r="EJ46" s="28" t="s">
        <v>1671</v>
      </c>
      <c r="EK46" s="28" t="s">
        <v>1672</v>
      </c>
      <c r="EL46" s="28" t="s">
        <v>1673</v>
      </c>
      <c r="EM46" s="11">
        <v>1216.26</v>
      </c>
      <c r="EN46" s="11">
        <v>26.12</v>
      </c>
      <c r="EQ46" s="11">
        <v>64.67</v>
      </c>
      <c r="EW46" s="11">
        <v>159.21</v>
      </c>
      <c r="FF46" s="11">
        <v>55.2</v>
      </c>
      <c r="FJ46" s="11">
        <v>17.91</v>
      </c>
      <c r="FP46" s="11">
        <v>31.22</v>
      </c>
      <c r="FV46" s="11">
        <v>189.38</v>
      </c>
      <c r="GC46" s="11">
        <v>221.34</v>
      </c>
      <c r="GT46" s="11">
        <v>11.58</v>
      </c>
      <c r="GX46" s="11">
        <v>63.24</v>
      </c>
      <c r="HB46" s="11">
        <v>376.39</v>
      </c>
      <c r="HQ46" s="62">
        <f t="shared" si="4"/>
        <v>1216.26</v>
      </c>
      <c r="HR46" s="62">
        <f t="shared" si="3"/>
        <v>20.271000000000001</v>
      </c>
    </row>
    <row r="47" spans="1:226" ht="12.95" customHeight="1" x14ac:dyDescent="0.2">
      <c r="A47" s="11">
        <v>106</v>
      </c>
      <c r="B47" s="11">
        <v>72</v>
      </c>
      <c r="C47" s="11" t="s">
        <v>83</v>
      </c>
      <c r="D47" s="11">
        <v>11</v>
      </c>
      <c r="E47" s="11" t="s">
        <v>79</v>
      </c>
      <c r="F47" s="11">
        <v>1043488773</v>
      </c>
      <c r="G47" s="11" t="s">
        <v>81</v>
      </c>
      <c r="H47" s="11" t="s">
        <v>84</v>
      </c>
      <c r="I47" s="28" t="s">
        <v>119</v>
      </c>
      <c r="J47" s="28" t="s">
        <v>1674</v>
      </c>
      <c r="M47" s="28" t="s">
        <v>1319</v>
      </c>
      <c r="N47" s="28" t="s">
        <v>86</v>
      </c>
      <c r="O47" s="28"/>
      <c r="P47" s="28" t="s">
        <v>195</v>
      </c>
      <c r="Q47" s="28" t="s">
        <v>1358</v>
      </c>
      <c r="S47" s="28" t="s">
        <v>84</v>
      </c>
      <c r="T47" s="28" t="s">
        <v>84</v>
      </c>
      <c r="U47" s="28" t="s">
        <v>82</v>
      </c>
      <c r="V47" s="28" t="s">
        <v>84</v>
      </c>
      <c r="W47" s="28" t="s">
        <v>82</v>
      </c>
      <c r="X47" s="28" t="s">
        <v>82</v>
      </c>
      <c r="Y47" s="28" t="s">
        <v>84</v>
      </c>
      <c r="Z47" s="28" t="s">
        <v>82</v>
      </c>
      <c r="AA47" s="28"/>
      <c r="AB47" s="28" t="s">
        <v>84</v>
      </c>
      <c r="AC47" s="28"/>
      <c r="AD47" s="28" t="s">
        <v>82</v>
      </c>
      <c r="AE47" s="28"/>
      <c r="AF47" s="28"/>
      <c r="AG47" s="28" t="s">
        <v>82</v>
      </c>
      <c r="AH47" s="28"/>
      <c r="AI47" s="28" t="s">
        <v>84</v>
      </c>
      <c r="AJ47" s="28"/>
      <c r="AK47" s="28"/>
      <c r="AL47" s="28" t="s">
        <v>140</v>
      </c>
      <c r="AM47" s="28" t="s">
        <v>91</v>
      </c>
      <c r="AN47" s="28"/>
      <c r="AO47" s="28" t="s">
        <v>80</v>
      </c>
      <c r="AQ47" s="28" t="s">
        <v>80</v>
      </c>
      <c r="AR47" s="28" t="s">
        <v>80</v>
      </c>
      <c r="AS47" s="28" t="s">
        <v>80</v>
      </c>
      <c r="AT47" s="28" t="s">
        <v>80</v>
      </c>
      <c r="AU47" s="28"/>
      <c r="AW47" s="28" t="s">
        <v>84</v>
      </c>
      <c r="AX47" s="28" t="s">
        <v>82</v>
      </c>
      <c r="AY47" s="28" t="s">
        <v>84</v>
      </c>
      <c r="AZ47" s="28" t="s">
        <v>84</v>
      </c>
      <c r="BA47" s="28"/>
      <c r="BB47" s="28" t="s">
        <v>84</v>
      </c>
      <c r="BC47" s="28" t="s">
        <v>80</v>
      </c>
      <c r="BD47" s="28" t="s">
        <v>93</v>
      </c>
      <c r="BE47" s="28" t="s">
        <v>93</v>
      </c>
      <c r="BF47" s="28" t="s">
        <v>100</v>
      </c>
      <c r="BG47" s="28" t="s">
        <v>84</v>
      </c>
      <c r="BH47" s="28" t="s">
        <v>84</v>
      </c>
      <c r="BI47" s="28"/>
      <c r="BJ47" s="28" t="s">
        <v>84</v>
      </c>
      <c r="BK47" s="28" t="s">
        <v>80</v>
      </c>
      <c r="BL47" s="28">
        <v>5</v>
      </c>
      <c r="BM47" s="28">
        <v>5</v>
      </c>
      <c r="BN47" s="28">
        <v>1</v>
      </c>
      <c r="BO47" s="28">
        <v>1</v>
      </c>
      <c r="BP47" s="28">
        <v>5</v>
      </c>
      <c r="BQ47" s="28">
        <v>5</v>
      </c>
      <c r="BS47" s="28" t="s">
        <v>118</v>
      </c>
      <c r="BT47" s="28"/>
      <c r="BU47" s="28"/>
      <c r="BV47" s="28"/>
      <c r="BX47" s="28" t="s">
        <v>82</v>
      </c>
      <c r="BY47" s="28"/>
      <c r="BZ47" s="28" t="s">
        <v>82</v>
      </c>
      <c r="CA47" s="28"/>
      <c r="CB47" s="28" t="s">
        <v>84</v>
      </c>
      <c r="CC47" s="28"/>
      <c r="CD47" s="28" t="s">
        <v>82</v>
      </c>
      <c r="CE47" s="28"/>
      <c r="CF47" s="28"/>
      <c r="CG47" s="28"/>
      <c r="CI47" s="28" t="s">
        <v>82</v>
      </c>
      <c r="CJ47" s="28"/>
      <c r="CK47" s="28" t="s">
        <v>82</v>
      </c>
      <c r="CL47" s="28"/>
      <c r="CM47" s="28" t="s">
        <v>84</v>
      </c>
      <c r="CN47" s="28"/>
      <c r="CO47" s="28"/>
      <c r="CP47" s="28"/>
      <c r="CQ47" s="28" t="s">
        <v>99</v>
      </c>
      <c r="CR47" s="28" t="s">
        <v>80</v>
      </c>
      <c r="CS47" s="28" t="s">
        <v>1312</v>
      </c>
      <c r="CT47" s="28"/>
      <c r="CU47" s="28" t="s">
        <v>81</v>
      </c>
      <c r="CV47" s="28"/>
      <c r="CW47" s="28" t="s">
        <v>84</v>
      </c>
      <c r="CX47" s="28"/>
      <c r="CY47" s="28"/>
      <c r="CZ47" s="28"/>
      <c r="DA47" s="28" t="s">
        <v>84</v>
      </c>
      <c r="DB47" s="28"/>
      <c r="DC47" s="28" t="s">
        <v>84</v>
      </c>
      <c r="DD47" s="28" t="s">
        <v>84</v>
      </c>
      <c r="DG47" s="28">
        <v>1</v>
      </c>
      <c r="DH47" s="28">
        <v>3</v>
      </c>
      <c r="DI47" s="28">
        <v>1</v>
      </c>
      <c r="DJ47" s="28">
        <v>3</v>
      </c>
      <c r="DK47" s="28">
        <v>1</v>
      </c>
      <c r="DL47" s="28">
        <v>3</v>
      </c>
      <c r="DM47" s="28">
        <v>1</v>
      </c>
      <c r="DN47" s="28">
        <v>3</v>
      </c>
      <c r="DO47" s="28">
        <v>1</v>
      </c>
      <c r="DP47" s="28">
        <v>3</v>
      </c>
      <c r="DQ47" s="28">
        <v>1</v>
      </c>
      <c r="DR47" s="28">
        <v>3</v>
      </c>
      <c r="DS47" s="28" t="s">
        <v>99</v>
      </c>
      <c r="DT47" s="28" t="s">
        <v>84</v>
      </c>
      <c r="DU47" s="28"/>
      <c r="DV47" s="28" t="s">
        <v>84</v>
      </c>
      <c r="DW47" s="28" t="s">
        <v>100</v>
      </c>
      <c r="DX47" s="28" t="s">
        <v>81</v>
      </c>
      <c r="DY47" s="28"/>
      <c r="DZ47" s="28" t="s">
        <v>113</v>
      </c>
      <c r="EA47" s="28"/>
      <c r="EB47" s="28" t="s">
        <v>82</v>
      </c>
      <c r="EC47" s="28"/>
      <c r="ED47" s="28" t="s">
        <v>81</v>
      </c>
      <c r="EE47" s="28"/>
      <c r="EF47" s="28" t="s">
        <v>84</v>
      </c>
      <c r="EG47" s="28" t="s">
        <v>84</v>
      </c>
      <c r="EH47" s="28" t="s">
        <v>84</v>
      </c>
      <c r="EI47" s="28"/>
      <c r="EJ47" s="28"/>
      <c r="EK47" s="28"/>
      <c r="EL47" s="28"/>
      <c r="EM47" s="11">
        <v>546.39</v>
      </c>
      <c r="EN47" s="11">
        <v>22.38</v>
      </c>
      <c r="EQ47" s="11">
        <v>59.07</v>
      </c>
      <c r="EW47" s="11">
        <v>34.700000000000003</v>
      </c>
      <c r="FF47" s="11">
        <v>19.66</v>
      </c>
      <c r="FJ47" s="11">
        <v>16.95</v>
      </c>
      <c r="FP47" s="11">
        <v>38.86</v>
      </c>
      <c r="FV47" s="11">
        <v>56.24</v>
      </c>
      <c r="GC47" s="11">
        <v>187.98</v>
      </c>
      <c r="GT47" s="11">
        <v>13.04</v>
      </c>
      <c r="GX47" s="11">
        <v>23.73</v>
      </c>
      <c r="HB47" s="11">
        <v>73.78</v>
      </c>
      <c r="HQ47" s="62">
        <f t="shared" si="4"/>
        <v>546.39</v>
      </c>
      <c r="HR47" s="62">
        <f t="shared" si="3"/>
        <v>9.1065000000000005</v>
      </c>
    </row>
    <row r="48" spans="1:226" ht="12.95" customHeight="1" x14ac:dyDescent="0.2">
      <c r="A48" s="11">
        <v>107</v>
      </c>
      <c r="B48" s="11">
        <v>73</v>
      </c>
      <c r="C48" s="11" t="s">
        <v>83</v>
      </c>
      <c r="D48" s="11">
        <v>11</v>
      </c>
      <c r="E48" s="11" t="s">
        <v>79</v>
      </c>
      <c r="F48" s="11">
        <v>1585471163</v>
      </c>
      <c r="G48" s="11" t="s">
        <v>81</v>
      </c>
      <c r="H48" s="11" t="s">
        <v>84</v>
      </c>
      <c r="I48" s="28" t="s">
        <v>377</v>
      </c>
      <c r="J48" s="28"/>
      <c r="M48" s="28" t="s">
        <v>1319</v>
      </c>
      <c r="N48" s="28" t="s">
        <v>106</v>
      </c>
      <c r="O48" s="28"/>
      <c r="P48" s="28" t="s">
        <v>87</v>
      </c>
      <c r="Q48" s="28" t="s">
        <v>1296</v>
      </c>
      <c r="S48" s="28" t="s">
        <v>84</v>
      </c>
      <c r="T48" s="28" t="s">
        <v>84</v>
      </c>
      <c r="U48" s="28" t="s">
        <v>84</v>
      </c>
      <c r="V48" s="28" t="s">
        <v>82</v>
      </c>
      <c r="W48" s="28" t="s">
        <v>82</v>
      </c>
      <c r="X48" s="28" t="s">
        <v>82</v>
      </c>
      <c r="Y48" s="28" t="s">
        <v>84</v>
      </c>
      <c r="Z48" s="28" t="s">
        <v>84</v>
      </c>
      <c r="AA48" s="28"/>
      <c r="AB48" s="28" t="s">
        <v>82</v>
      </c>
      <c r="AC48" s="28"/>
      <c r="AD48" s="28" t="s">
        <v>82</v>
      </c>
      <c r="AE48" s="28"/>
      <c r="AF48" s="28"/>
      <c r="AG48" s="28" t="s">
        <v>84</v>
      </c>
      <c r="AH48" s="28"/>
      <c r="AI48" s="28" t="s">
        <v>84</v>
      </c>
      <c r="AJ48" s="28"/>
      <c r="AK48" s="28" t="s">
        <v>1675</v>
      </c>
      <c r="AL48" s="28" t="s">
        <v>126</v>
      </c>
      <c r="AM48" s="28" t="s">
        <v>91</v>
      </c>
      <c r="AN48" s="28"/>
      <c r="AO48" s="28" t="s">
        <v>80</v>
      </c>
      <c r="AQ48" s="28" t="s">
        <v>80</v>
      </c>
      <c r="AR48" s="28" t="s">
        <v>80</v>
      </c>
      <c r="AS48" s="28" t="s">
        <v>80</v>
      </c>
      <c r="AT48" s="28" t="s">
        <v>80</v>
      </c>
      <c r="AU48" s="28"/>
      <c r="AW48" s="28" t="s">
        <v>84</v>
      </c>
      <c r="AX48" s="28" t="s">
        <v>84</v>
      </c>
      <c r="AY48" s="28" t="s">
        <v>84</v>
      </c>
      <c r="AZ48" s="28" t="s">
        <v>84</v>
      </c>
      <c r="BA48" s="28"/>
      <c r="BB48" s="28" t="s">
        <v>84</v>
      </c>
      <c r="BC48" s="28" t="s">
        <v>80</v>
      </c>
      <c r="BD48" s="28" t="s">
        <v>100</v>
      </c>
      <c r="BE48" s="28" t="s">
        <v>100</v>
      </c>
      <c r="BF48" s="28" t="s">
        <v>100</v>
      </c>
      <c r="BG48" s="28" t="s">
        <v>84</v>
      </c>
      <c r="BH48" s="28" t="s">
        <v>82</v>
      </c>
      <c r="BI48" s="28"/>
      <c r="BJ48" s="28" t="s">
        <v>84</v>
      </c>
      <c r="BK48" s="28" t="s">
        <v>80</v>
      </c>
      <c r="BL48" s="28">
        <v>1</v>
      </c>
      <c r="BM48" s="28">
        <v>3</v>
      </c>
      <c r="BN48" s="28">
        <v>2</v>
      </c>
      <c r="BO48" s="28">
        <v>3</v>
      </c>
      <c r="BP48" s="28">
        <v>5</v>
      </c>
      <c r="BQ48" s="28">
        <v>3</v>
      </c>
      <c r="BS48" s="28" t="s">
        <v>99</v>
      </c>
      <c r="BT48" s="28"/>
      <c r="BU48" s="28"/>
      <c r="BV48" s="28"/>
      <c r="BX48" s="28" t="s">
        <v>84</v>
      </c>
      <c r="BY48" s="28"/>
      <c r="BZ48" s="28" t="s">
        <v>82</v>
      </c>
      <c r="CA48" s="28"/>
      <c r="CB48" s="28" t="s">
        <v>82</v>
      </c>
      <c r="CC48" s="28"/>
      <c r="CD48" s="28" t="s">
        <v>82</v>
      </c>
      <c r="CE48" s="28"/>
      <c r="CF48" s="28"/>
      <c r="CG48" s="28"/>
      <c r="CI48" s="28" t="s">
        <v>82</v>
      </c>
      <c r="CJ48" s="28"/>
      <c r="CK48" s="28" t="s">
        <v>82</v>
      </c>
      <c r="CL48" s="28"/>
      <c r="CM48" s="28" t="s">
        <v>84</v>
      </c>
      <c r="CN48" s="28"/>
      <c r="CO48" s="28"/>
      <c r="CP48" s="28"/>
      <c r="CQ48" s="28" t="s">
        <v>99</v>
      </c>
      <c r="CR48" s="28" t="s">
        <v>80</v>
      </c>
      <c r="CS48" s="28" t="s">
        <v>1312</v>
      </c>
      <c r="CT48" s="28"/>
      <c r="CU48" s="28" t="s">
        <v>246</v>
      </c>
      <c r="CV48" s="28"/>
      <c r="CW48" s="28" t="s">
        <v>82</v>
      </c>
      <c r="CX48" s="28"/>
      <c r="CY48" s="28" t="s">
        <v>81</v>
      </c>
      <c r="CZ48" s="28"/>
      <c r="DA48" s="28" t="s">
        <v>82</v>
      </c>
      <c r="DB48" s="28"/>
      <c r="DC48" s="28" t="s">
        <v>84</v>
      </c>
      <c r="DD48" s="28" t="s">
        <v>84</v>
      </c>
      <c r="DG48" s="28">
        <v>3</v>
      </c>
      <c r="DH48" s="28">
        <v>1</v>
      </c>
      <c r="DI48" s="28">
        <v>3</v>
      </c>
      <c r="DJ48" s="28">
        <v>1</v>
      </c>
      <c r="DK48" s="28">
        <v>3</v>
      </c>
      <c r="DL48" s="28">
        <v>1</v>
      </c>
      <c r="DM48" s="28">
        <v>1</v>
      </c>
      <c r="DN48" s="28">
        <v>1</v>
      </c>
      <c r="DO48" s="28">
        <v>1</v>
      </c>
      <c r="DP48" s="28">
        <v>1</v>
      </c>
      <c r="DQ48" s="28">
        <v>1</v>
      </c>
      <c r="DR48" s="28">
        <v>1</v>
      </c>
      <c r="DS48" s="28" t="s">
        <v>99</v>
      </c>
      <c r="DT48" s="28" t="s">
        <v>106</v>
      </c>
      <c r="DU48" s="28"/>
      <c r="DV48" s="28" t="s">
        <v>84</v>
      </c>
      <c r="DW48" s="28" t="s">
        <v>100</v>
      </c>
      <c r="DX48" s="28" t="s">
        <v>81</v>
      </c>
      <c r="DY48" s="28"/>
      <c r="DZ48" s="28" t="s">
        <v>100</v>
      </c>
      <c r="EA48" s="28"/>
      <c r="EB48" s="28" t="s">
        <v>82</v>
      </c>
      <c r="EC48" s="28"/>
      <c r="ED48" s="28" t="s">
        <v>81</v>
      </c>
      <c r="EE48" s="28"/>
      <c r="EF48" s="28" t="s">
        <v>82</v>
      </c>
      <c r="EG48" s="28" t="s">
        <v>82</v>
      </c>
      <c r="EH48" s="28" t="s">
        <v>82</v>
      </c>
      <c r="EI48" s="28"/>
      <c r="EJ48" s="28" t="s">
        <v>1498</v>
      </c>
      <c r="EK48" s="28" t="s">
        <v>1676</v>
      </c>
      <c r="EL48" s="28" t="s">
        <v>1677</v>
      </c>
      <c r="EM48" s="11">
        <v>1390.1</v>
      </c>
      <c r="EN48" s="11">
        <v>16.21</v>
      </c>
      <c r="EQ48" s="11">
        <v>58.07</v>
      </c>
      <c r="EW48" s="11">
        <v>584.26</v>
      </c>
      <c r="FF48" s="11">
        <v>51.42</v>
      </c>
      <c r="FJ48" s="11">
        <v>24.7</v>
      </c>
      <c r="FP48" s="11">
        <v>45.33</v>
      </c>
      <c r="FV48" s="11">
        <v>160.74</v>
      </c>
      <c r="GC48" s="11">
        <v>226.74</v>
      </c>
      <c r="GT48" s="11">
        <v>25.45</v>
      </c>
      <c r="GX48" s="11">
        <v>56.63</v>
      </c>
      <c r="HB48" s="11">
        <v>140.55000000000001</v>
      </c>
      <c r="HQ48" s="62">
        <f t="shared" si="4"/>
        <v>1390.1</v>
      </c>
      <c r="HR48" s="62">
        <f t="shared" si="3"/>
        <v>23.168333333333333</v>
      </c>
    </row>
    <row r="49" spans="1:226" ht="12.95" customHeight="1" x14ac:dyDescent="0.2">
      <c r="A49" s="11">
        <v>108</v>
      </c>
      <c r="B49" s="11">
        <v>74</v>
      </c>
      <c r="C49" s="11" t="s">
        <v>83</v>
      </c>
      <c r="D49" s="11">
        <v>11</v>
      </c>
      <c r="E49" s="11" t="s">
        <v>79</v>
      </c>
      <c r="F49" s="11">
        <v>330904630</v>
      </c>
      <c r="G49" s="11" t="s">
        <v>81</v>
      </c>
      <c r="H49" s="11" t="s">
        <v>84</v>
      </c>
      <c r="I49" s="28" t="s">
        <v>107</v>
      </c>
      <c r="J49" s="28"/>
      <c r="M49" s="28" t="s">
        <v>1319</v>
      </c>
      <c r="N49" s="28" t="s">
        <v>618</v>
      </c>
      <c r="O49" s="28"/>
      <c r="P49" s="28" t="s">
        <v>87</v>
      </c>
      <c r="Q49" s="28" t="s">
        <v>1310</v>
      </c>
      <c r="S49" s="28" t="s">
        <v>84</v>
      </c>
      <c r="T49" s="28" t="s">
        <v>84</v>
      </c>
      <c r="U49" s="28" t="s">
        <v>82</v>
      </c>
      <c r="V49" s="28" t="s">
        <v>84</v>
      </c>
      <c r="W49" s="28" t="s">
        <v>82</v>
      </c>
      <c r="X49" s="28" t="s">
        <v>84</v>
      </c>
      <c r="Y49" s="28" t="s">
        <v>84</v>
      </c>
      <c r="Z49" s="28" t="s">
        <v>84</v>
      </c>
      <c r="AA49" s="28"/>
      <c r="AB49" s="28" t="s">
        <v>84</v>
      </c>
      <c r="AC49" s="28" t="s">
        <v>1678</v>
      </c>
      <c r="AD49" s="28" t="s">
        <v>84</v>
      </c>
      <c r="AE49" s="28" t="s">
        <v>1679</v>
      </c>
      <c r="AF49" s="28" t="s">
        <v>1680</v>
      </c>
      <c r="AG49" s="28" t="s">
        <v>80</v>
      </c>
      <c r="AH49" s="28"/>
      <c r="AI49" s="28" t="s">
        <v>84</v>
      </c>
      <c r="AJ49" s="28" t="s">
        <v>1681</v>
      </c>
      <c r="AK49" s="28" t="s">
        <v>1682</v>
      </c>
      <c r="AL49" s="28" t="s">
        <v>126</v>
      </c>
      <c r="AM49" s="28" t="s">
        <v>91</v>
      </c>
      <c r="AN49" s="28"/>
      <c r="AO49" s="28" t="s">
        <v>80</v>
      </c>
      <c r="AQ49" s="28" t="s">
        <v>80</v>
      </c>
      <c r="AR49" s="28" t="s">
        <v>80</v>
      </c>
      <c r="AS49" s="28" t="s">
        <v>80</v>
      </c>
      <c r="AT49" s="28" t="s">
        <v>80</v>
      </c>
      <c r="AU49" s="28"/>
      <c r="AW49" s="28" t="s">
        <v>84</v>
      </c>
      <c r="AX49" s="28" t="s">
        <v>82</v>
      </c>
      <c r="AY49" s="28" t="s">
        <v>84</v>
      </c>
      <c r="AZ49" s="28" t="s">
        <v>84</v>
      </c>
      <c r="BA49" s="28"/>
      <c r="BB49" s="28" t="s">
        <v>84</v>
      </c>
      <c r="BC49" s="28" t="s">
        <v>80</v>
      </c>
      <c r="BD49" s="28" t="s">
        <v>93</v>
      </c>
      <c r="BE49" s="28" t="s">
        <v>93</v>
      </c>
      <c r="BF49" s="28" t="s">
        <v>340</v>
      </c>
      <c r="BG49" s="28" t="s">
        <v>84</v>
      </c>
      <c r="BH49" s="28" t="s">
        <v>84</v>
      </c>
      <c r="BI49" s="28" t="s">
        <v>1683</v>
      </c>
      <c r="BJ49" s="28" t="s">
        <v>84</v>
      </c>
      <c r="BK49" s="28" t="s">
        <v>80</v>
      </c>
      <c r="BL49" s="28">
        <v>1</v>
      </c>
      <c r="BM49" s="28">
        <v>1</v>
      </c>
      <c r="BN49" s="28">
        <v>1</v>
      </c>
      <c r="BO49" s="28">
        <v>1</v>
      </c>
      <c r="BP49" s="28">
        <v>1</v>
      </c>
      <c r="BQ49" s="28">
        <v>1</v>
      </c>
      <c r="BS49" s="28" t="s">
        <v>118</v>
      </c>
      <c r="BT49" s="28"/>
      <c r="BU49" s="28"/>
      <c r="BV49" s="28"/>
      <c r="BX49" s="28" t="s">
        <v>82</v>
      </c>
      <c r="BY49" s="28"/>
      <c r="BZ49" s="28" t="s">
        <v>84</v>
      </c>
      <c r="CA49" s="28" t="s">
        <v>1684</v>
      </c>
      <c r="CB49" s="28" t="s">
        <v>82</v>
      </c>
      <c r="CC49" s="28"/>
      <c r="CD49" s="28" t="s">
        <v>82</v>
      </c>
      <c r="CE49" s="28"/>
      <c r="CF49" s="28"/>
      <c r="CG49" s="28"/>
      <c r="CI49" s="28" t="s">
        <v>84</v>
      </c>
      <c r="CJ49" s="28" t="s">
        <v>1684</v>
      </c>
      <c r="CK49" s="28" t="s">
        <v>82</v>
      </c>
      <c r="CL49" s="28"/>
      <c r="CM49" s="28" t="s">
        <v>82</v>
      </c>
      <c r="CN49" s="28"/>
      <c r="CO49" s="28"/>
      <c r="CP49" s="28"/>
      <c r="CQ49" s="28" t="s">
        <v>118</v>
      </c>
      <c r="CR49" s="28" t="s">
        <v>84</v>
      </c>
      <c r="CS49" s="28" t="s">
        <v>1312</v>
      </c>
      <c r="CT49" s="28" t="s">
        <v>1685</v>
      </c>
      <c r="CU49" s="28" t="s">
        <v>81</v>
      </c>
      <c r="CV49" s="28" t="s">
        <v>1686</v>
      </c>
      <c r="CW49" s="28" t="s">
        <v>84</v>
      </c>
      <c r="CX49" s="28" t="s">
        <v>1687</v>
      </c>
      <c r="CY49" s="28"/>
      <c r="CZ49" s="28"/>
      <c r="DA49" s="28" t="s">
        <v>82</v>
      </c>
      <c r="DB49" s="28"/>
      <c r="DC49" s="28" t="s">
        <v>84</v>
      </c>
      <c r="DD49" s="28" t="s">
        <v>84</v>
      </c>
      <c r="DG49" s="28">
        <v>1</v>
      </c>
      <c r="DH49" s="28">
        <v>1</v>
      </c>
      <c r="DI49" s="28">
        <v>3</v>
      </c>
      <c r="DJ49" s="28">
        <v>1</v>
      </c>
      <c r="DK49" s="28">
        <v>1</v>
      </c>
      <c r="DL49" s="28">
        <v>1</v>
      </c>
      <c r="DM49" s="28">
        <v>1</v>
      </c>
      <c r="DN49" s="28">
        <v>1</v>
      </c>
      <c r="DO49" s="28">
        <v>3</v>
      </c>
      <c r="DP49" s="28">
        <v>1</v>
      </c>
      <c r="DQ49" s="28">
        <v>3</v>
      </c>
      <c r="DR49" s="28">
        <v>1</v>
      </c>
      <c r="DS49" s="28" t="s">
        <v>118</v>
      </c>
      <c r="DT49" s="28" t="s">
        <v>84</v>
      </c>
      <c r="DU49" s="28"/>
      <c r="DV49" s="28" t="s">
        <v>84</v>
      </c>
      <c r="DW49" s="28" t="s">
        <v>113</v>
      </c>
      <c r="DX49" s="28" t="s">
        <v>81</v>
      </c>
      <c r="DY49" s="28"/>
      <c r="DZ49" s="28" t="s">
        <v>113</v>
      </c>
      <c r="EA49" s="28" t="s">
        <v>1688</v>
      </c>
      <c r="EB49" s="28" t="s">
        <v>84</v>
      </c>
      <c r="EC49" s="28" t="s">
        <v>1689</v>
      </c>
      <c r="ED49" s="28"/>
      <c r="EE49" s="28"/>
      <c r="EF49" s="28" t="s">
        <v>84</v>
      </c>
      <c r="EG49" s="28" t="s">
        <v>84</v>
      </c>
      <c r="EH49" s="28" t="s">
        <v>82</v>
      </c>
      <c r="EI49" s="28"/>
      <c r="EJ49" s="28"/>
      <c r="EK49" s="28" t="s">
        <v>1690</v>
      </c>
      <c r="EL49" s="28" t="s">
        <v>1691</v>
      </c>
      <c r="EM49" s="11">
        <v>691.78</v>
      </c>
      <c r="EN49" s="11">
        <v>10.29</v>
      </c>
      <c r="EQ49" s="11">
        <v>39.82</v>
      </c>
      <c r="EW49" s="11">
        <v>70.94</v>
      </c>
      <c r="FF49" s="11">
        <v>154.49</v>
      </c>
      <c r="FJ49" s="11">
        <v>11.84</v>
      </c>
      <c r="FP49" s="11">
        <v>24.68</v>
      </c>
      <c r="FV49" s="11">
        <v>54.09</v>
      </c>
      <c r="GC49" s="11">
        <v>190.84</v>
      </c>
      <c r="GT49" s="11">
        <v>15.45</v>
      </c>
      <c r="GX49" s="11">
        <v>15.32</v>
      </c>
      <c r="HB49" s="11">
        <v>104.02</v>
      </c>
      <c r="HQ49" s="62">
        <f t="shared" si="4"/>
        <v>691.78</v>
      </c>
      <c r="HR49" s="62">
        <f t="shared" si="3"/>
        <v>11.529666666666666</v>
      </c>
    </row>
    <row r="50" spans="1:226" ht="12.95" customHeight="1" x14ac:dyDescent="0.2">
      <c r="A50" s="11">
        <v>109</v>
      </c>
      <c r="B50" s="11">
        <v>75</v>
      </c>
      <c r="C50" s="11" t="s">
        <v>83</v>
      </c>
      <c r="D50" s="11">
        <v>11</v>
      </c>
      <c r="E50" s="11" t="s">
        <v>79</v>
      </c>
      <c r="F50" s="11">
        <v>406863215</v>
      </c>
      <c r="G50" s="11" t="s">
        <v>81</v>
      </c>
      <c r="H50" s="11" t="s">
        <v>84</v>
      </c>
      <c r="I50" s="28" t="s">
        <v>443</v>
      </c>
      <c r="J50" s="28"/>
      <c r="M50" s="28" t="s">
        <v>1294</v>
      </c>
      <c r="N50" s="28" t="s">
        <v>86</v>
      </c>
      <c r="O50" s="28"/>
      <c r="P50" s="28" t="s">
        <v>87</v>
      </c>
      <c r="Q50" s="28" t="s">
        <v>1296</v>
      </c>
      <c r="S50" s="28" t="s">
        <v>84</v>
      </c>
      <c r="T50" s="28" t="s">
        <v>84</v>
      </c>
      <c r="U50" s="28" t="s">
        <v>84</v>
      </c>
      <c r="V50" s="28" t="s">
        <v>84</v>
      </c>
      <c r="W50" s="28" t="s">
        <v>82</v>
      </c>
      <c r="X50" s="28" t="s">
        <v>84</v>
      </c>
      <c r="Y50" s="28" t="s">
        <v>84</v>
      </c>
      <c r="Z50" s="28" t="s">
        <v>82</v>
      </c>
      <c r="AA50" s="28"/>
      <c r="AB50" s="28" t="s">
        <v>84</v>
      </c>
      <c r="AC50" s="28" t="s">
        <v>1692</v>
      </c>
      <c r="AD50" s="28" t="s">
        <v>84</v>
      </c>
      <c r="AE50" s="28" t="s">
        <v>240</v>
      </c>
      <c r="AF50" s="28" t="s">
        <v>1693</v>
      </c>
      <c r="AG50" s="28" t="s">
        <v>80</v>
      </c>
      <c r="AH50" s="28"/>
      <c r="AI50" s="28" t="s">
        <v>84</v>
      </c>
      <c r="AJ50" s="28"/>
      <c r="AK50" s="28" t="s">
        <v>1694</v>
      </c>
      <c r="AL50" s="28" t="s">
        <v>140</v>
      </c>
      <c r="AM50" s="28" t="s">
        <v>91</v>
      </c>
      <c r="AN50" s="28"/>
      <c r="AO50" s="28" t="s">
        <v>80</v>
      </c>
      <c r="AQ50" s="28" t="s">
        <v>80</v>
      </c>
      <c r="AR50" s="28" t="s">
        <v>80</v>
      </c>
      <c r="AS50" s="28" t="s">
        <v>80</v>
      </c>
      <c r="AT50" s="28" t="s">
        <v>80</v>
      </c>
      <c r="AU50" s="28"/>
      <c r="AW50" s="28" t="s">
        <v>84</v>
      </c>
      <c r="AX50" s="28" t="s">
        <v>82</v>
      </c>
      <c r="AY50" s="28" t="s">
        <v>84</v>
      </c>
      <c r="AZ50" s="28" t="s">
        <v>84</v>
      </c>
      <c r="BA50" s="28"/>
      <c r="BB50" s="28" t="s">
        <v>84</v>
      </c>
      <c r="BC50" s="28" t="s">
        <v>80</v>
      </c>
      <c r="BD50" s="28" t="s">
        <v>113</v>
      </c>
      <c r="BE50" s="28" t="s">
        <v>113</v>
      </c>
      <c r="BF50" s="28" t="s">
        <v>112</v>
      </c>
      <c r="BG50" s="28" t="s">
        <v>82</v>
      </c>
      <c r="BH50" s="28" t="s">
        <v>84</v>
      </c>
      <c r="BI50" s="28" t="s">
        <v>1695</v>
      </c>
      <c r="BJ50" s="28" t="s">
        <v>84</v>
      </c>
      <c r="BK50" s="28" t="s">
        <v>80</v>
      </c>
      <c r="BL50" s="28">
        <v>3</v>
      </c>
      <c r="BM50" s="28">
        <v>1</v>
      </c>
      <c r="BN50" s="28">
        <v>2</v>
      </c>
      <c r="BO50" s="28">
        <v>1</v>
      </c>
      <c r="BP50" s="28">
        <v>4</v>
      </c>
      <c r="BQ50" s="28">
        <v>3</v>
      </c>
      <c r="BS50" s="28" t="s">
        <v>99</v>
      </c>
      <c r="BT50" s="28"/>
      <c r="BU50" s="28"/>
      <c r="BV50" s="28"/>
      <c r="BX50" s="28" t="s">
        <v>82</v>
      </c>
      <c r="BY50" s="28"/>
      <c r="BZ50" s="28" t="s">
        <v>84</v>
      </c>
      <c r="CA50" s="28"/>
      <c r="CB50" s="28" t="s">
        <v>82</v>
      </c>
      <c r="CC50" s="28"/>
      <c r="CD50" s="28" t="s">
        <v>82</v>
      </c>
      <c r="CE50" s="28"/>
      <c r="CF50" s="28"/>
      <c r="CG50" s="28"/>
      <c r="CI50" s="28" t="s">
        <v>84</v>
      </c>
      <c r="CJ50" s="28"/>
      <c r="CK50" s="28" t="s">
        <v>84</v>
      </c>
      <c r="CL50" s="28"/>
      <c r="CM50" s="28" t="s">
        <v>82</v>
      </c>
      <c r="CN50" s="28"/>
      <c r="CO50" s="28"/>
      <c r="CP50" s="28"/>
      <c r="CQ50" s="28" t="s">
        <v>99</v>
      </c>
      <c r="CR50" s="28" t="s">
        <v>80</v>
      </c>
      <c r="CS50" s="28" t="s">
        <v>1312</v>
      </c>
      <c r="CT50" s="28"/>
      <c r="CU50" s="28" t="s">
        <v>246</v>
      </c>
      <c r="CV50" s="28"/>
      <c r="CW50" s="28" t="s">
        <v>82</v>
      </c>
      <c r="CX50" s="28"/>
      <c r="CY50" s="28" t="s">
        <v>246</v>
      </c>
      <c r="CZ50" s="28"/>
      <c r="DA50" s="28" t="s">
        <v>82</v>
      </c>
      <c r="DB50" s="28"/>
      <c r="DC50" s="28" t="s">
        <v>84</v>
      </c>
      <c r="DD50" s="28" t="s">
        <v>84</v>
      </c>
      <c r="DG50" s="28">
        <v>1</v>
      </c>
      <c r="DH50" s="28">
        <v>1</v>
      </c>
      <c r="DI50" s="28">
        <v>3</v>
      </c>
      <c r="DJ50" s="28">
        <v>1</v>
      </c>
      <c r="DK50" s="28">
        <v>2</v>
      </c>
      <c r="DL50" s="28">
        <v>1</v>
      </c>
      <c r="DM50" s="28">
        <v>3</v>
      </c>
      <c r="DN50" s="28">
        <v>3</v>
      </c>
      <c r="DO50" s="28">
        <v>3</v>
      </c>
      <c r="DP50" s="28">
        <v>1</v>
      </c>
      <c r="DQ50" s="28">
        <v>2</v>
      </c>
      <c r="DR50" s="28">
        <v>1</v>
      </c>
      <c r="DS50" s="28" t="s">
        <v>99</v>
      </c>
      <c r="DT50" s="28" t="s">
        <v>84</v>
      </c>
      <c r="DU50" s="28"/>
      <c r="DV50" s="28" t="s">
        <v>84</v>
      </c>
      <c r="DW50" s="28" t="s">
        <v>100</v>
      </c>
      <c r="DX50" s="28" t="s">
        <v>81</v>
      </c>
      <c r="DY50" s="28" t="s">
        <v>1696</v>
      </c>
      <c r="DZ50" s="28" t="s">
        <v>113</v>
      </c>
      <c r="EA50" s="28" t="s">
        <v>1697</v>
      </c>
      <c r="EB50" s="28" t="s">
        <v>82</v>
      </c>
      <c r="EC50" s="28"/>
      <c r="ED50" s="28" t="s">
        <v>81</v>
      </c>
      <c r="EE50" s="28"/>
      <c r="EF50" s="28" t="s">
        <v>82</v>
      </c>
      <c r="EG50" s="28" t="s">
        <v>82</v>
      </c>
      <c r="EH50" s="28" t="s">
        <v>84</v>
      </c>
      <c r="EI50" s="28" t="s">
        <v>1698</v>
      </c>
      <c r="EJ50" s="28"/>
      <c r="EK50" s="28" t="s">
        <v>1699</v>
      </c>
      <c r="EL50" s="28" t="s">
        <v>1700</v>
      </c>
      <c r="EM50" s="11">
        <v>858.77</v>
      </c>
      <c r="EN50" s="11">
        <v>15.31</v>
      </c>
      <c r="EQ50" s="11">
        <v>53.18</v>
      </c>
      <c r="EW50" s="11">
        <v>62.42</v>
      </c>
      <c r="FF50" s="11">
        <v>30.21</v>
      </c>
      <c r="FJ50" s="11">
        <v>13.29</v>
      </c>
      <c r="FP50" s="11">
        <v>30.67</v>
      </c>
      <c r="FV50" s="11">
        <v>104.01</v>
      </c>
      <c r="GC50" s="11">
        <v>228.08</v>
      </c>
      <c r="GT50" s="11">
        <v>15.63</v>
      </c>
      <c r="GX50" s="11">
        <v>75.64</v>
      </c>
      <c r="HB50" s="11">
        <v>230.33</v>
      </c>
      <c r="HQ50" s="62">
        <f t="shared" si="4"/>
        <v>858.77</v>
      </c>
      <c r="HR50" s="62">
        <f t="shared" si="3"/>
        <v>14.312833333333334</v>
      </c>
    </row>
    <row r="51" spans="1:226" ht="12.95" customHeight="1" x14ac:dyDescent="0.2">
      <c r="A51" s="11">
        <v>110</v>
      </c>
      <c r="B51" s="11">
        <v>78</v>
      </c>
      <c r="C51" s="11" t="s">
        <v>83</v>
      </c>
      <c r="D51" s="11">
        <v>11</v>
      </c>
      <c r="E51" s="11" t="s">
        <v>79</v>
      </c>
      <c r="F51" s="11">
        <v>212054743</v>
      </c>
      <c r="G51" s="11" t="s">
        <v>81</v>
      </c>
      <c r="H51" s="11" t="s">
        <v>84</v>
      </c>
      <c r="I51" s="28" t="s">
        <v>105</v>
      </c>
      <c r="J51" s="28"/>
      <c r="M51" s="28" t="s">
        <v>1319</v>
      </c>
      <c r="N51" s="28" t="s">
        <v>618</v>
      </c>
      <c r="O51" s="28"/>
      <c r="P51" s="28" t="s">
        <v>87</v>
      </c>
      <c r="Q51" s="28" t="s">
        <v>1375</v>
      </c>
      <c r="S51" s="28" t="s">
        <v>84</v>
      </c>
      <c r="T51" s="28" t="s">
        <v>84</v>
      </c>
      <c r="U51" s="28" t="s">
        <v>84</v>
      </c>
      <c r="V51" s="28" t="s">
        <v>82</v>
      </c>
      <c r="W51" s="28" t="s">
        <v>84</v>
      </c>
      <c r="X51" s="28" t="s">
        <v>84</v>
      </c>
      <c r="Y51" s="28" t="s">
        <v>84</v>
      </c>
      <c r="Z51" s="28" t="s">
        <v>82</v>
      </c>
      <c r="AA51" s="28"/>
      <c r="AB51" s="28" t="s">
        <v>84</v>
      </c>
      <c r="AC51" s="28"/>
      <c r="AD51" s="28" t="s">
        <v>84</v>
      </c>
      <c r="AE51" s="28" t="s">
        <v>1701</v>
      </c>
      <c r="AF51" s="28" t="s">
        <v>1702</v>
      </c>
      <c r="AG51" s="28" t="s">
        <v>80</v>
      </c>
      <c r="AH51" s="28"/>
      <c r="AI51" s="28" t="s">
        <v>84</v>
      </c>
      <c r="AJ51" s="28"/>
      <c r="AK51" s="28" t="s">
        <v>1703</v>
      </c>
      <c r="AL51" s="28" t="s">
        <v>126</v>
      </c>
      <c r="AM51" s="28" t="s">
        <v>91</v>
      </c>
      <c r="AN51" s="28"/>
      <c r="AO51" s="28" t="s">
        <v>80</v>
      </c>
      <c r="AQ51" s="28" t="s">
        <v>80</v>
      </c>
      <c r="AR51" s="28" t="s">
        <v>80</v>
      </c>
      <c r="AS51" s="28" t="s">
        <v>80</v>
      </c>
      <c r="AT51" s="28" t="s">
        <v>80</v>
      </c>
      <c r="AU51" s="28"/>
      <c r="AW51" s="28" t="s">
        <v>84</v>
      </c>
      <c r="AX51" s="28" t="s">
        <v>84</v>
      </c>
      <c r="AY51" s="28" t="s">
        <v>84</v>
      </c>
      <c r="AZ51" s="28" t="s">
        <v>84</v>
      </c>
      <c r="BA51" s="28"/>
      <c r="BB51" s="28" t="s">
        <v>84</v>
      </c>
      <c r="BC51" s="28" t="s">
        <v>80</v>
      </c>
      <c r="BD51" s="28" t="s">
        <v>113</v>
      </c>
      <c r="BE51" s="28" t="s">
        <v>113</v>
      </c>
      <c r="BF51" s="28" t="s">
        <v>100</v>
      </c>
      <c r="BG51" s="28" t="s">
        <v>84</v>
      </c>
      <c r="BH51" s="28" t="s">
        <v>84</v>
      </c>
      <c r="BI51" s="28"/>
      <c r="BJ51" s="28" t="s">
        <v>84</v>
      </c>
      <c r="BK51" s="28" t="s">
        <v>80</v>
      </c>
      <c r="BL51" s="28">
        <v>1</v>
      </c>
      <c r="BM51" s="28">
        <v>1</v>
      </c>
      <c r="BN51" s="28">
        <v>1</v>
      </c>
      <c r="BO51" s="28">
        <v>1</v>
      </c>
      <c r="BP51" s="28">
        <v>2</v>
      </c>
      <c r="BQ51" s="28">
        <v>2</v>
      </c>
      <c r="BS51" s="28" t="s">
        <v>97</v>
      </c>
      <c r="BT51" s="28"/>
      <c r="BU51" s="28" t="s">
        <v>246</v>
      </c>
      <c r="BV51" s="28"/>
      <c r="BX51" s="28" t="s">
        <v>80</v>
      </c>
      <c r="BY51" s="28"/>
      <c r="BZ51" s="28" t="s">
        <v>80</v>
      </c>
      <c r="CA51" s="28"/>
      <c r="CB51" s="28" t="s">
        <v>80</v>
      </c>
      <c r="CC51" s="28"/>
      <c r="CD51" s="28" t="s">
        <v>80</v>
      </c>
      <c r="CE51" s="28"/>
      <c r="CF51" s="28"/>
      <c r="CG51" s="28"/>
      <c r="CI51" s="28" t="s">
        <v>84</v>
      </c>
      <c r="CJ51" s="28"/>
      <c r="CK51" s="28" t="s">
        <v>82</v>
      </c>
      <c r="CL51" s="28"/>
      <c r="CM51" s="28" t="s">
        <v>82</v>
      </c>
      <c r="CN51" s="28"/>
      <c r="CO51" s="28"/>
      <c r="CP51" s="28"/>
      <c r="CQ51" s="28" t="s">
        <v>118</v>
      </c>
      <c r="CR51" s="28" t="s">
        <v>84</v>
      </c>
      <c r="CS51" s="28" t="s">
        <v>1312</v>
      </c>
      <c r="CT51" s="28"/>
      <c r="CU51" s="28" t="s">
        <v>81</v>
      </c>
      <c r="CV51" s="28"/>
      <c r="CW51" s="28" t="s">
        <v>84</v>
      </c>
      <c r="CX51" s="28"/>
      <c r="CY51" s="28"/>
      <c r="CZ51" s="28"/>
      <c r="DA51" s="28" t="s">
        <v>82</v>
      </c>
      <c r="DB51" s="28"/>
      <c r="DC51" s="28" t="s">
        <v>84</v>
      </c>
      <c r="DD51" s="28" t="s">
        <v>84</v>
      </c>
      <c r="DG51" s="28">
        <v>1</v>
      </c>
      <c r="DH51" s="28">
        <v>3</v>
      </c>
      <c r="DI51" s="28">
        <v>1</v>
      </c>
      <c r="DJ51" s="28">
        <v>3</v>
      </c>
      <c r="DK51" s="28">
        <v>1</v>
      </c>
      <c r="DL51" s="28">
        <v>3</v>
      </c>
      <c r="DM51" s="28">
        <v>1</v>
      </c>
      <c r="DN51" s="28">
        <v>3</v>
      </c>
      <c r="DO51" s="28">
        <v>2</v>
      </c>
      <c r="DP51" s="28">
        <v>2</v>
      </c>
      <c r="DQ51" s="28">
        <v>1</v>
      </c>
      <c r="DR51" s="28">
        <v>3</v>
      </c>
      <c r="DS51" s="28" t="s">
        <v>97</v>
      </c>
      <c r="DT51" s="28" t="s">
        <v>106</v>
      </c>
      <c r="DU51" s="28"/>
      <c r="DV51" s="28" t="s">
        <v>84</v>
      </c>
      <c r="DW51" s="28" t="s">
        <v>113</v>
      </c>
      <c r="DX51" s="28" t="s">
        <v>81</v>
      </c>
      <c r="DY51" s="28"/>
      <c r="DZ51" s="28" t="s">
        <v>93</v>
      </c>
      <c r="EA51" s="28"/>
      <c r="EB51" s="28" t="s">
        <v>84</v>
      </c>
      <c r="EC51" s="28"/>
      <c r="ED51" s="28"/>
      <c r="EE51" s="28"/>
      <c r="EF51" s="28" t="s">
        <v>82</v>
      </c>
      <c r="EG51" s="28" t="s">
        <v>82</v>
      </c>
      <c r="EH51" s="28" t="s">
        <v>84</v>
      </c>
      <c r="EI51" s="28"/>
      <c r="EJ51" s="28"/>
      <c r="EK51" s="28"/>
      <c r="EL51" s="28"/>
      <c r="EM51" s="11">
        <v>707.41</v>
      </c>
      <c r="EN51" s="11">
        <v>34.270000000000003</v>
      </c>
      <c r="EQ51" s="11">
        <v>58.27</v>
      </c>
      <c r="EW51" s="11">
        <v>84.07</v>
      </c>
      <c r="FF51" s="11">
        <v>31.78</v>
      </c>
      <c r="FJ51" s="11">
        <v>24.62</v>
      </c>
      <c r="FP51" s="11">
        <v>43.56</v>
      </c>
      <c r="FV51" s="11">
        <v>87.46</v>
      </c>
      <c r="GC51" s="11">
        <v>228.94</v>
      </c>
      <c r="GT51" s="11">
        <v>27.04</v>
      </c>
      <c r="GX51" s="11">
        <v>28.92</v>
      </c>
      <c r="HB51" s="11">
        <v>58.48</v>
      </c>
      <c r="HQ51" s="62">
        <f t="shared" si="4"/>
        <v>707.41</v>
      </c>
      <c r="HR51" s="62">
        <f t="shared" si="3"/>
        <v>11.790166666666666</v>
      </c>
    </row>
    <row r="52" spans="1:226" ht="12.95" customHeight="1" x14ac:dyDescent="0.2">
      <c r="A52" s="11">
        <v>111</v>
      </c>
      <c r="B52" s="11">
        <v>79</v>
      </c>
      <c r="C52" s="11" t="s">
        <v>83</v>
      </c>
      <c r="D52" s="11">
        <v>11</v>
      </c>
      <c r="E52" s="11" t="s">
        <v>79</v>
      </c>
      <c r="F52" s="11">
        <v>90203748</v>
      </c>
      <c r="G52" s="11" t="s">
        <v>81</v>
      </c>
      <c r="H52" s="11" t="s">
        <v>84</v>
      </c>
      <c r="I52" s="28" t="s">
        <v>324</v>
      </c>
      <c r="J52" s="28"/>
      <c r="M52" s="28" t="s">
        <v>1319</v>
      </c>
      <c r="N52" s="28" t="s">
        <v>108</v>
      </c>
      <c r="O52" s="28"/>
      <c r="P52" s="28" t="s">
        <v>253</v>
      </c>
      <c r="Q52" s="28" t="s">
        <v>1296</v>
      </c>
      <c r="S52" s="28" t="s">
        <v>84</v>
      </c>
      <c r="T52" s="28" t="s">
        <v>84</v>
      </c>
      <c r="U52" s="28" t="s">
        <v>84</v>
      </c>
      <c r="V52" s="28" t="s">
        <v>84</v>
      </c>
      <c r="W52" s="28" t="s">
        <v>84</v>
      </c>
      <c r="X52" s="28" t="s">
        <v>82</v>
      </c>
      <c r="Y52" s="28" t="s">
        <v>84</v>
      </c>
      <c r="Z52" s="28" t="s">
        <v>84</v>
      </c>
      <c r="AA52" s="28"/>
      <c r="AB52" s="28" t="s">
        <v>84</v>
      </c>
      <c r="AC52" s="28" t="s">
        <v>1704</v>
      </c>
      <c r="AD52" s="28" t="s">
        <v>82</v>
      </c>
      <c r="AE52" s="28"/>
      <c r="AF52" s="28"/>
      <c r="AG52" s="28" t="s">
        <v>84</v>
      </c>
      <c r="AH52" s="28" t="s">
        <v>1705</v>
      </c>
      <c r="AI52" s="28" t="s">
        <v>82</v>
      </c>
      <c r="AJ52" s="28"/>
      <c r="AK52" s="28"/>
      <c r="AL52" s="28" t="s">
        <v>90</v>
      </c>
      <c r="AM52" s="28" t="s">
        <v>111</v>
      </c>
      <c r="AN52" s="28"/>
      <c r="AO52" s="28" t="s">
        <v>80</v>
      </c>
      <c r="AQ52" s="28" t="s">
        <v>84</v>
      </c>
      <c r="AR52" s="28" t="s">
        <v>84</v>
      </c>
      <c r="AS52" s="28" t="s">
        <v>82</v>
      </c>
      <c r="AT52" s="28" t="s">
        <v>84</v>
      </c>
      <c r="AU52" s="28"/>
      <c r="AW52" s="28" t="s">
        <v>80</v>
      </c>
      <c r="AX52" s="28" t="s">
        <v>80</v>
      </c>
      <c r="AY52" s="28" t="s">
        <v>80</v>
      </c>
      <c r="AZ52" s="28" t="s">
        <v>80</v>
      </c>
      <c r="BA52" s="28"/>
      <c r="BB52" s="28" t="s">
        <v>84</v>
      </c>
      <c r="BC52" s="28" t="s">
        <v>80</v>
      </c>
      <c r="BD52" s="28" t="s">
        <v>93</v>
      </c>
      <c r="BE52" s="28" t="s">
        <v>93</v>
      </c>
      <c r="BF52" s="28" t="s">
        <v>112</v>
      </c>
      <c r="BG52" s="28" t="s">
        <v>84</v>
      </c>
      <c r="BH52" s="28" t="s">
        <v>84</v>
      </c>
      <c r="BI52" s="28" t="s">
        <v>1706</v>
      </c>
      <c r="BJ52" s="28" t="s">
        <v>84</v>
      </c>
      <c r="BK52" s="28" t="s">
        <v>80</v>
      </c>
      <c r="BL52" s="28">
        <v>4</v>
      </c>
      <c r="BM52" s="28">
        <v>3</v>
      </c>
      <c r="BN52" s="28">
        <v>1</v>
      </c>
      <c r="BO52" s="28">
        <v>1</v>
      </c>
      <c r="BP52" s="28">
        <v>4</v>
      </c>
      <c r="BQ52" s="28">
        <v>3</v>
      </c>
      <c r="BS52" s="28" t="s">
        <v>118</v>
      </c>
      <c r="BT52" s="28"/>
      <c r="BU52" s="28"/>
      <c r="BV52" s="28"/>
      <c r="BX52" s="28" t="s">
        <v>82</v>
      </c>
      <c r="BY52" s="28"/>
      <c r="BZ52" s="28" t="s">
        <v>84</v>
      </c>
      <c r="CA52" s="28" t="s">
        <v>1707</v>
      </c>
      <c r="CB52" s="28" t="s">
        <v>82</v>
      </c>
      <c r="CC52" s="28"/>
      <c r="CD52" s="28" t="s">
        <v>84</v>
      </c>
      <c r="CE52" s="28" t="s">
        <v>1708</v>
      </c>
      <c r="CF52" s="28"/>
      <c r="CG52" s="28"/>
      <c r="CI52" s="28" t="s">
        <v>84</v>
      </c>
      <c r="CJ52" s="28"/>
      <c r="CK52" s="28" t="s">
        <v>82</v>
      </c>
      <c r="CL52" s="28"/>
      <c r="CM52" s="28" t="s">
        <v>82</v>
      </c>
      <c r="CN52" s="28"/>
      <c r="CO52" s="28"/>
      <c r="CP52" s="28"/>
      <c r="CQ52" s="28" t="s">
        <v>99</v>
      </c>
      <c r="CR52" s="28" t="s">
        <v>80</v>
      </c>
      <c r="CS52" s="28" t="s">
        <v>99</v>
      </c>
      <c r="CT52" s="28"/>
      <c r="CU52" s="28"/>
      <c r="CV52" s="28"/>
      <c r="CW52" s="28" t="s">
        <v>84</v>
      </c>
      <c r="CX52" s="28" t="s">
        <v>1709</v>
      </c>
      <c r="CY52" s="28"/>
      <c r="CZ52" s="28"/>
      <c r="DA52" s="28" t="s">
        <v>82</v>
      </c>
      <c r="DB52" s="28"/>
      <c r="DC52" s="28" t="s">
        <v>84</v>
      </c>
      <c r="DD52" s="28" t="s">
        <v>84</v>
      </c>
      <c r="DG52" s="28">
        <v>2</v>
      </c>
      <c r="DH52" s="28">
        <v>1</v>
      </c>
      <c r="DI52" s="28">
        <v>2</v>
      </c>
      <c r="DJ52" s="28">
        <v>1</v>
      </c>
      <c r="DK52" s="28">
        <v>1</v>
      </c>
      <c r="DL52" s="28">
        <v>1</v>
      </c>
      <c r="DM52" s="28">
        <v>1</v>
      </c>
      <c r="DN52" s="28">
        <v>1</v>
      </c>
      <c r="DO52" s="28">
        <v>2</v>
      </c>
      <c r="DP52" s="28">
        <v>2</v>
      </c>
      <c r="DQ52" s="28">
        <v>2</v>
      </c>
      <c r="DR52" s="28">
        <v>2</v>
      </c>
      <c r="DS52" s="28" t="s">
        <v>99</v>
      </c>
      <c r="DT52" s="28" t="s">
        <v>84</v>
      </c>
      <c r="DU52" s="28"/>
      <c r="DV52" s="28" t="s">
        <v>84</v>
      </c>
      <c r="DW52" s="28" t="s">
        <v>113</v>
      </c>
      <c r="DX52" s="28" t="s">
        <v>81</v>
      </c>
      <c r="DY52" s="28" t="s">
        <v>1710</v>
      </c>
      <c r="DZ52" s="28" t="s">
        <v>113</v>
      </c>
      <c r="EA52" s="28" t="s">
        <v>1711</v>
      </c>
      <c r="EB52" s="28" t="s">
        <v>82</v>
      </c>
      <c r="EC52" s="28"/>
      <c r="ED52" s="28" t="s">
        <v>81</v>
      </c>
      <c r="EE52" s="28" t="s">
        <v>1712</v>
      </c>
      <c r="EF52" s="28" t="s">
        <v>82</v>
      </c>
      <c r="EG52" s="28" t="s">
        <v>82</v>
      </c>
      <c r="EH52" s="28" t="s">
        <v>84</v>
      </c>
      <c r="EI52" s="28" t="s">
        <v>1713</v>
      </c>
      <c r="EJ52" s="28" t="s">
        <v>1714</v>
      </c>
      <c r="EK52" s="28" t="s">
        <v>1715</v>
      </c>
      <c r="EL52" s="28" t="s">
        <v>1716</v>
      </c>
      <c r="EM52" s="11">
        <v>762.3</v>
      </c>
      <c r="EN52" s="11">
        <v>23.56</v>
      </c>
      <c r="EQ52" s="11">
        <v>52.24</v>
      </c>
      <c r="EW52" s="11">
        <v>80.67</v>
      </c>
      <c r="FF52" s="11">
        <v>20.68</v>
      </c>
      <c r="FJ52" s="11">
        <v>14.88</v>
      </c>
      <c r="FP52" s="11">
        <v>24.86</v>
      </c>
      <c r="FV52" s="11">
        <v>79.94</v>
      </c>
      <c r="GC52" s="11">
        <v>204.26</v>
      </c>
      <c r="GT52" s="11">
        <v>9.39</v>
      </c>
      <c r="GX52" s="11">
        <v>62.65</v>
      </c>
      <c r="HB52" s="11">
        <v>189.17</v>
      </c>
      <c r="HQ52" s="62">
        <f t="shared" si="4"/>
        <v>762.3</v>
      </c>
      <c r="HR52" s="62">
        <f t="shared" si="3"/>
        <v>12.705</v>
      </c>
    </row>
    <row r="53" spans="1:226" ht="12.95" customHeight="1" x14ac:dyDescent="0.2">
      <c r="A53" s="11">
        <v>112</v>
      </c>
      <c r="B53" s="11">
        <v>80</v>
      </c>
      <c r="C53" s="11" t="s">
        <v>83</v>
      </c>
      <c r="D53" s="11">
        <v>11</v>
      </c>
      <c r="E53" s="11" t="s">
        <v>79</v>
      </c>
      <c r="F53" s="11">
        <v>1341638491</v>
      </c>
      <c r="G53" s="11" t="s">
        <v>81</v>
      </c>
      <c r="H53" s="11" t="s">
        <v>84</v>
      </c>
      <c r="I53" s="28" t="s">
        <v>107</v>
      </c>
      <c r="J53" s="28"/>
      <c r="M53" s="28" t="s">
        <v>1319</v>
      </c>
      <c r="N53" s="28" t="s">
        <v>108</v>
      </c>
      <c r="O53" s="28"/>
      <c r="P53" s="28" t="s">
        <v>290</v>
      </c>
      <c r="Q53" s="28" t="s">
        <v>1310</v>
      </c>
      <c r="S53" s="28" t="s">
        <v>84</v>
      </c>
      <c r="T53" s="28" t="s">
        <v>84</v>
      </c>
      <c r="U53" s="28" t="s">
        <v>84</v>
      </c>
      <c r="V53" s="28" t="s">
        <v>84</v>
      </c>
      <c r="W53" s="28" t="s">
        <v>84</v>
      </c>
      <c r="X53" s="28" t="s">
        <v>82</v>
      </c>
      <c r="Y53" s="28" t="s">
        <v>84</v>
      </c>
      <c r="Z53" s="28" t="s">
        <v>82</v>
      </c>
      <c r="AA53" s="28"/>
      <c r="AB53" s="28" t="s">
        <v>82</v>
      </c>
      <c r="AC53" s="28"/>
      <c r="AD53" s="28" t="s">
        <v>82</v>
      </c>
      <c r="AE53" s="28"/>
      <c r="AF53" s="28"/>
      <c r="AG53" s="28" t="s">
        <v>84</v>
      </c>
      <c r="AH53" s="28"/>
      <c r="AI53" s="28" t="s">
        <v>84</v>
      </c>
      <c r="AJ53" s="28"/>
      <c r="AK53" s="28" t="s">
        <v>1717</v>
      </c>
      <c r="AL53" s="28" t="s">
        <v>126</v>
      </c>
      <c r="AM53" s="28" t="s">
        <v>91</v>
      </c>
      <c r="AN53" s="28"/>
      <c r="AO53" s="28" t="s">
        <v>80</v>
      </c>
      <c r="AQ53" s="28" t="s">
        <v>80</v>
      </c>
      <c r="AR53" s="28" t="s">
        <v>80</v>
      </c>
      <c r="AS53" s="28" t="s">
        <v>80</v>
      </c>
      <c r="AT53" s="28" t="s">
        <v>80</v>
      </c>
      <c r="AU53" s="28"/>
      <c r="AW53" s="28" t="s">
        <v>84</v>
      </c>
      <c r="AX53" s="28" t="s">
        <v>82</v>
      </c>
      <c r="AY53" s="28" t="s">
        <v>82</v>
      </c>
      <c r="AZ53" s="28" t="s">
        <v>82</v>
      </c>
      <c r="BA53" s="28"/>
      <c r="BB53" s="28" t="s">
        <v>84</v>
      </c>
      <c r="BC53" s="28" t="s">
        <v>80</v>
      </c>
      <c r="BD53" s="28" t="s">
        <v>113</v>
      </c>
      <c r="BE53" s="28" t="s">
        <v>113</v>
      </c>
      <c r="BF53" s="28" t="s">
        <v>112</v>
      </c>
      <c r="BG53" s="28" t="s">
        <v>84</v>
      </c>
      <c r="BH53" s="28" t="s">
        <v>84</v>
      </c>
      <c r="BI53" s="28"/>
      <c r="BJ53" s="28" t="s">
        <v>84</v>
      </c>
      <c r="BK53" s="28" t="s">
        <v>80</v>
      </c>
      <c r="BL53" s="28">
        <v>3</v>
      </c>
      <c r="BM53" s="28">
        <v>2</v>
      </c>
      <c r="BN53" s="28">
        <v>2</v>
      </c>
      <c r="BO53" s="28">
        <v>1</v>
      </c>
      <c r="BP53" s="28">
        <v>3</v>
      </c>
      <c r="BQ53" s="28">
        <v>1</v>
      </c>
      <c r="BS53" s="28" t="s">
        <v>99</v>
      </c>
      <c r="BT53" s="28"/>
      <c r="BU53" s="28"/>
      <c r="BV53" s="28"/>
      <c r="BX53" s="28" t="s">
        <v>82</v>
      </c>
      <c r="BY53" s="28"/>
      <c r="BZ53" s="28" t="s">
        <v>84</v>
      </c>
      <c r="CA53" s="28"/>
      <c r="CB53" s="28" t="s">
        <v>82</v>
      </c>
      <c r="CC53" s="28"/>
      <c r="CD53" s="28" t="s">
        <v>82</v>
      </c>
      <c r="CE53" s="28"/>
      <c r="CF53" s="28"/>
      <c r="CG53" s="28"/>
      <c r="CI53" s="28" t="s">
        <v>84</v>
      </c>
      <c r="CJ53" s="28"/>
      <c r="CK53" s="28" t="s">
        <v>82</v>
      </c>
      <c r="CL53" s="28"/>
      <c r="CM53" s="28" t="s">
        <v>82</v>
      </c>
      <c r="CN53" s="28"/>
      <c r="CO53" s="28"/>
      <c r="CP53" s="28"/>
      <c r="CQ53" s="28" t="s">
        <v>118</v>
      </c>
      <c r="CR53" s="28" t="s">
        <v>84</v>
      </c>
      <c r="CS53" s="28" t="s">
        <v>1312</v>
      </c>
      <c r="CT53" s="28" t="s">
        <v>1718</v>
      </c>
      <c r="CU53" s="28" t="s">
        <v>81</v>
      </c>
      <c r="CV53" s="28"/>
      <c r="CW53" s="28" t="s">
        <v>82</v>
      </c>
      <c r="CX53" s="28"/>
      <c r="CY53" s="28" t="s">
        <v>81</v>
      </c>
      <c r="CZ53" s="28"/>
      <c r="DA53" s="28" t="s">
        <v>82</v>
      </c>
      <c r="DB53" s="28"/>
      <c r="DC53" s="28" t="s">
        <v>84</v>
      </c>
      <c r="DD53" s="28" t="s">
        <v>84</v>
      </c>
      <c r="DG53" s="28">
        <v>1</v>
      </c>
      <c r="DH53" s="28">
        <v>1</v>
      </c>
      <c r="DI53" s="28">
        <v>1</v>
      </c>
      <c r="DJ53" s="28">
        <v>1</v>
      </c>
      <c r="DK53" s="28">
        <v>1</v>
      </c>
      <c r="DL53" s="28">
        <v>1</v>
      </c>
      <c r="DM53" s="28">
        <v>1</v>
      </c>
      <c r="DN53" s="28">
        <v>1</v>
      </c>
      <c r="DO53" s="28">
        <v>3</v>
      </c>
      <c r="DP53" s="28">
        <v>1</v>
      </c>
      <c r="DQ53" s="28">
        <v>3</v>
      </c>
      <c r="DR53" s="28">
        <v>1</v>
      </c>
      <c r="DS53" s="28" t="s">
        <v>97</v>
      </c>
      <c r="DT53" s="28" t="s">
        <v>82</v>
      </c>
      <c r="DU53" s="28"/>
      <c r="DV53" s="28" t="s">
        <v>84</v>
      </c>
      <c r="DW53" s="28" t="s">
        <v>100</v>
      </c>
      <c r="DX53" s="28" t="s">
        <v>81</v>
      </c>
      <c r="DY53" s="28" t="s">
        <v>1719</v>
      </c>
      <c r="DZ53" s="28" t="s">
        <v>113</v>
      </c>
      <c r="EA53" s="28"/>
      <c r="EB53" s="28" t="s">
        <v>82</v>
      </c>
      <c r="EC53" s="28"/>
      <c r="ED53" s="28" t="s">
        <v>81</v>
      </c>
      <c r="EE53" s="28"/>
      <c r="EF53" s="28" t="s">
        <v>82</v>
      </c>
      <c r="EG53" s="28" t="s">
        <v>82</v>
      </c>
      <c r="EH53" s="28" t="s">
        <v>82</v>
      </c>
      <c r="EI53" s="28"/>
      <c r="EJ53" s="28"/>
      <c r="EK53" s="28" t="s">
        <v>1720</v>
      </c>
      <c r="EL53" s="28"/>
      <c r="EM53" s="11">
        <v>620.54999999999995</v>
      </c>
      <c r="EN53" s="11">
        <v>34.450000000000003</v>
      </c>
      <c r="EQ53" s="11">
        <v>64.849999999999994</v>
      </c>
      <c r="EW53" s="11">
        <v>30.71</v>
      </c>
      <c r="FF53" s="11">
        <v>29.67</v>
      </c>
      <c r="FJ53" s="11">
        <v>12.38</v>
      </c>
      <c r="FP53" s="11">
        <v>44.42</v>
      </c>
      <c r="FV53" s="11">
        <v>81.05</v>
      </c>
      <c r="GC53" s="11">
        <v>161.65</v>
      </c>
      <c r="GT53" s="11">
        <v>21.35</v>
      </c>
      <c r="GX53" s="11">
        <v>36.83</v>
      </c>
      <c r="HB53" s="11">
        <v>103.19</v>
      </c>
      <c r="HQ53" s="62">
        <f t="shared" si="4"/>
        <v>620.54999999999995</v>
      </c>
      <c r="HR53" s="62">
        <f t="shared" si="3"/>
        <v>10.342499999999999</v>
      </c>
    </row>
    <row r="54" spans="1:226" s="33" customFormat="1" ht="12.95" customHeight="1" x14ac:dyDescent="0.2">
      <c r="A54" s="33">
        <v>113</v>
      </c>
      <c r="B54" s="33">
        <v>81</v>
      </c>
      <c r="D54" s="33">
        <v>7</v>
      </c>
      <c r="E54" s="33" t="s">
        <v>79</v>
      </c>
      <c r="F54" s="33">
        <v>1998450224</v>
      </c>
      <c r="G54" s="33" t="s">
        <v>81</v>
      </c>
      <c r="H54" s="33" t="s">
        <v>84</v>
      </c>
      <c r="I54" s="33" t="s">
        <v>105</v>
      </c>
      <c r="K54" s="24"/>
      <c r="L54" s="24"/>
      <c r="M54" s="33" t="s">
        <v>1319</v>
      </c>
      <c r="N54" s="33" t="s">
        <v>618</v>
      </c>
      <c r="P54" s="33" t="s">
        <v>87</v>
      </c>
      <c r="Q54" s="33" t="s">
        <v>1310</v>
      </c>
      <c r="R54" s="24"/>
      <c r="S54" s="33" t="s">
        <v>84</v>
      </c>
      <c r="T54" s="33" t="s">
        <v>84</v>
      </c>
      <c r="U54" s="33" t="s">
        <v>84</v>
      </c>
      <c r="V54" s="33" t="s">
        <v>82</v>
      </c>
      <c r="W54" s="33" t="s">
        <v>82</v>
      </c>
      <c r="X54" s="33" t="s">
        <v>84</v>
      </c>
      <c r="Y54" s="33" t="s">
        <v>82</v>
      </c>
      <c r="Z54" s="33" t="s">
        <v>82</v>
      </c>
      <c r="AB54" s="33" t="s">
        <v>82</v>
      </c>
      <c r="AD54" s="33" t="s">
        <v>84</v>
      </c>
      <c r="AE54" s="33" t="s">
        <v>240</v>
      </c>
      <c r="AF54" s="33" t="s">
        <v>1721</v>
      </c>
      <c r="AG54" s="33" t="s">
        <v>80</v>
      </c>
      <c r="AI54" s="33" t="s">
        <v>84</v>
      </c>
      <c r="AK54" s="33" t="s">
        <v>1722</v>
      </c>
      <c r="AL54" s="33" t="s">
        <v>126</v>
      </c>
      <c r="AM54" s="33" t="s">
        <v>111</v>
      </c>
      <c r="AO54" s="33" t="s">
        <v>80</v>
      </c>
      <c r="AP54" s="24"/>
      <c r="AQ54" s="33" t="s">
        <v>84</v>
      </c>
      <c r="AR54" s="33" t="s">
        <v>84</v>
      </c>
      <c r="AS54" s="33" t="s">
        <v>82</v>
      </c>
      <c r="AT54" s="33" t="s">
        <v>84</v>
      </c>
      <c r="AV54" s="24"/>
      <c r="AW54" s="33" t="s">
        <v>80</v>
      </c>
      <c r="AX54" s="33" t="s">
        <v>80</v>
      </c>
      <c r="AY54" s="33" t="s">
        <v>80</v>
      </c>
      <c r="AZ54" s="33" t="s">
        <v>80</v>
      </c>
      <c r="BB54" s="33" t="s">
        <v>84</v>
      </c>
      <c r="BC54" s="33" t="s">
        <v>80</v>
      </c>
      <c r="BD54" s="33" t="s">
        <v>113</v>
      </c>
      <c r="BE54" s="33" t="s">
        <v>113</v>
      </c>
      <c r="BF54" s="33" t="s">
        <v>112</v>
      </c>
      <c r="BG54" s="33" t="s">
        <v>84</v>
      </c>
      <c r="BH54" s="33" t="s">
        <v>84</v>
      </c>
      <c r="BI54" s="33" t="s">
        <v>1723</v>
      </c>
      <c r="BJ54" s="33" t="s">
        <v>84</v>
      </c>
      <c r="BK54" s="33" t="s">
        <v>80</v>
      </c>
      <c r="BL54" s="33">
        <v>3</v>
      </c>
      <c r="BM54" s="33">
        <v>2</v>
      </c>
      <c r="BN54" s="33">
        <v>2</v>
      </c>
      <c r="BO54" s="33">
        <v>1</v>
      </c>
      <c r="BP54" s="33">
        <v>3</v>
      </c>
      <c r="BQ54" s="33">
        <v>2</v>
      </c>
      <c r="BR54" s="24"/>
      <c r="BW54" s="24"/>
      <c r="BX54" s="33" t="s">
        <v>80</v>
      </c>
      <c r="BZ54" s="33" t="s">
        <v>80</v>
      </c>
      <c r="CB54" s="33" t="s">
        <v>80</v>
      </c>
      <c r="CD54" s="33" t="s">
        <v>80</v>
      </c>
      <c r="CH54" s="24"/>
      <c r="CI54" s="33" t="s">
        <v>80</v>
      </c>
      <c r="CK54" s="33" t="s">
        <v>80</v>
      </c>
      <c r="CM54" s="33" t="s">
        <v>80</v>
      </c>
      <c r="CR54" s="33" t="s">
        <v>80</v>
      </c>
      <c r="CW54" s="33" t="s">
        <v>80</v>
      </c>
      <c r="DA54" s="33" t="s">
        <v>80</v>
      </c>
      <c r="DC54" s="33" t="s">
        <v>80</v>
      </c>
      <c r="DD54" s="33" t="s">
        <v>80</v>
      </c>
      <c r="DE54" s="24"/>
      <c r="DF54" s="24"/>
      <c r="DV54" s="33" t="s">
        <v>80</v>
      </c>
      <c r="EB54" s="33" t="s">
        <v>80</v>
      </c>
      <c r="EF54" s="33" t="s">
        <v>80</v>
      </c>
      <c r="EG54" s="33" t="s">
        <v>80</v>
      </c>
      <c r="EH54" s="33" t="s">
        <v>80</v>
      </c>
      <c r="EM54" s="33">
        <v>644.83000000000004</v>
      </c>
      <c r="EN54" s="33">
        <v>21.65</v>
      </c>
      <c r="EQ54" s="33">
        <v>47.88</v>
      </c>
      <c r="EW54" s="33">
        <v>164.08</v>
      </c>
      <c r="FF54" s="33">
        <v>111.25</v>
      </c>
      <c r="FJ54" s="33">
        <v>19.47</v>
      </c>
      <c r="FP54" s="33">
        <v>44.15</v>
      </c>
      <c r="FV54" s="33">
        <v>236.35</v>
      </c>
      <c r="HQ54" s="63">
        <f t="shared" si="4"/>
        <v>644.83000000000004</v>
      </c>
      <c r="HR54" s="63"/>
    </row>
    <row r="55" spans="1:226" ht="12.95" customHeight="1" x14ac:dyDescent="0.2">
      <c r="A55" s="11">
        <v>114</v>
      </c>
      <c r="B55" s="11">
        <v>82</v>
      </c>
      <c r="C55" s="11" t="s">
        <v>83</v>
      </c>
      <c r="D55" s="11">
        <v>11</v>
      </c>
      <c r="E55" s="11" t="s">
        <v>79</v>
      </c>
      <c r="F55" s="11">
        <v>1262819341</v>
      </c>
      <c r="G55" s="11" t="s">
        <v>81</v>
      </c>
      <c r="H55" s="11" t="s">
        <v>84</v>
      </c>
      <c r="I55" s="28" t="s">
        <v>105</v>
      </c>
      <c r="J55" s="28"/>
      <c r="M55" s="28" t="s">
        <v>1319</v>
      </c>
      <c r="N55" s="28" t="s">
        <v>106</v>
      </c>
      <c r="O55" s="28"/>
      <c r="P55" s="28" t="s">
        <v>253</v>
      </c>
      <c r="Q55" s="28" t="s">
        <v>1375</v>
      </c>
      <c r="S55" s="28" t="s">
        <v>84</v>
      </c>
      <c r="T55" s="28" t="s">
        <v>84</v>
      </c>
      <c r="U55" s="28" t="s">
        <v>82</v>
      </c>
      <c r="V55" s="28" t="s">
        <v>84</v>
      </c>
      <c r="W55" s="28" t="s">
        <v>82</v>
      </c>
      <c r="X55" s="28" t="s">
        <v>84</v>
      </c>
      <c r="Y55" s="28" t="s">
        <v>84</v>
      </c>
      <c r="Z55" s="28" t="s">
        <v>82</v>
      </c>
      <c r="AA55" s="28"/>
      <c r="AB55" s="28" t="s">
        <v>82</v>
      </c>
      <c r="AC55" s="28"/>
      <c r="AD55" s="28" t="s">
        <v>84</v>
      </c>
      <c r="AE55" s="28" t="s">
        <v>1724</v>
      </c>
      <c r="AF55" s="28" t="s">
        <v>1725</v>
      </c>
      <c r="AG55" s="28" t="s">
        <v>80</v>
      </c>
      <c r="AH55" s="28"/>
      <c r="AI55" s="28" t="s">
        <v>84</v>
      </c>
      <c r="AJ55" s="28"/>
      <c r="AK55" s="28" t="s">
        <v>1726</v>
      </c>
      <c r="AL55" s="28" t="s">
        <v>126</v>
      </c>
      <c r="AM55" s="28" t="s">
        <v>111</v>
      </c>
      <c r="AN55" s="28"/>
      <c r="AO55" s="28" t="s">
        <v>80</v>
      </c>
      <c r="AQ55" s="28" t="s">
        <v>84</v>
      </c>
      <c r="AR55" s="28" t="s">
        <v>82</v>
      </c>
      <c r="AS55" s="28" t="s">
        <v>82</v>
      </c>
      <c r="AT55" s="28" t="s">
        <v>84</v>
      </c>
      <c r="AU55" s="28"/>
      <c r="AW55" s="28" t="s">
        <v>80</v>
      </c>
      <c r="AX55" s="28" t="s">
        <v>80</v>
      </c>
      <c r="AY55" s="28" t="s">
        <v>80</v>
      </c>
      <c r="AZ55" s="28" t="s">
        <v>80</v>
      </c>
      <c r="BA55" s="28"/>
      <c r="BB55" s="28" t="s">
        <v>84</v>
      </c>
      <c r="BC55" s="28" t="s">
        <v>80</v>
      </c>
      <c r="BD55" s="28" t="s">
        <v>100</v>
      </c>
      <c r="BE55" s="28" t="s">
        <v>100</v>
      </c>
      <c r="BF55" s="28" t="s">
        <v>112</v>
      </c>
      <c r="BG55" s="28" t="s">
        <v>84</v>
      </c>
      <c r="BH55" s="28" t="s">
        <v>84</v>
      </c>
      <c r="BI55" s="28"/>
      <c r="BJ55" s="28" t="s">
        <v>84</v>
      </c>
      <c r="BK55" s="28" t="s">
        <v>80</v>
      </c>
      <c r="BL55" s="28">
        <v>5</v>
      </c>
      <c r="BM55" s="28">
        <v>3</v>
      </c>
      <c r="BN55" s="28">
        <v>2</v>
      </c>
      <c r="BO55" s="28">
        <v>1</v>
      </c>
      <c r="BP55" s="28">
        <v>5</v>
      </c>
      <c r="BQ55" s="28">
        <v>4</v>
      </c>
      <c r="BS55" s="28" t="s">
        <v>118</v>
      </c>
      <c r="BT55" s="28"/>
      <c r="BU55" s="28"/>
      <c r="BV55" s="28"/>
      <c r="BX55" s="28" t="s">
        <v>82</v>
      </c>
      <c r="BY55" s="28"/>
      <c r="BZ55" s="28" t="s">
        <v>84</v>
      </c>
      <c r="CA55" s="28"/>
      <c r="CB55" s="28" t="s">
        <v>82</v>
      </c>
      <c r="CC55" s="28"/>
      <c r="CD55" s="28" t="s">
        <v>82</v>
      </c>
      <c r="CE55" s="28"/>
      <c r="CF55" s="28"/>
      <c r="CG55" s="28"/>
      <c r="CI55" s="28" t="s">
        <v>84</v>
      </c>
      <c r="CJ55" s="28"/>
      <c r="CK55" s="28" t="s">
        <v>82</v>
      </c>
      <c r="CL55" s="28"/>
      <c r="CM55" s="28" t="s">
        <v>82</v>
      </c>
      <c r="CN55" s="28"/>
      <c r="CO55" s="28"/>
      <c r="CP55" s="28"/>
      <c r="CQ55" s="28" t="s">
        <v>97</v>
      </c>
      <c r="CR55" s="28" t="s">
        <v>84</v>
      </c>
      <c r="CS55" s="28"/>
      <c r="CT55" s="28"/>
      <c r="CU55" s="28"/>
      <c r="CV55" s="28"/>
      <c r="CW55" s="28" t="s">
        <v>82</v>
      </c>
      <c r="CX55" s="28"/>
      <c r="CY55" s="28" t="s">
        <v>81</v>
      </c>
      <c r="CZ55" s="28"/>
      <c r="DA55" s="28" t="s">
        <v>82</v>
      </c>
      <c r="DB55" s="28"/>
      <c r="DC55" s="28" t="s">
        <v>84</v>
      </c>
      <c r="DD55" s="28" t="s">
        <v>84</v>
      </c>
      <c r="DG55" s="28">
        <v>1</v>
      </c>
      <c r="DH55" s="28">
        <v>3</v>
      </c>
      <c r="DI55" s="28">
        <v>1</v>
      </c>
      <c r="DJ55" s="28">
        <v>3</v>
      </c>
      <c r="DK55" s="28">
        <v>1</v>
      </c>
      <c r="DL55" s="28">
        <v>3</v>
      </c>
      <c r="DM55" s="28">
        <v>1</v>
      </c>
      <c r="DN55" s="28">
        <v>3</v>
      </c>
      <c r="DO55" s="28">
        <v>3</v>
      </c>
      <c r="DP55" s="28">
        <v>2</v>
      </c>
      <c r="DQ55" s="28">
        <v>3</v>
      </c>
      <c r="DR55" s="28">
        <v>3</v>
      </c>
      <c r="DS55" s="28" t="s">
        <v>97</v>
      </c>
      <c r="DT55" s="28" t="s">
        <v>106</v>
      </c>
      <c r="DU55" s="28"/>
      <c r="DV55" s="28" t="s">
        <v>84</v>
      </c>
      <c r="DW55" s="28" t="s">
        <v>100</v>
      </c>
      <c r="DX55" s="28" t="s">
        <v>81</v>
      </c>
      <c r="DY55" s="28"/>
      <c r="DZ55" s="28" t="s">
        <v>100</v>
      </c>
      <c r="EA55" s="28"/>
      <c r="EB55" s="28" t="s">
        <v>82</v>
      </c>
      <c r="EC55" s="28"/>
      <c r="ED55" s="28" t="s">
        <v>81</v>
      </c>
      <c r="EE55" s="28"/>
      <c r="EF55" s="28" t="s">
        <v>82</v>
      </c>
      <c r="EG55" s="28" t="s">
        <v>82</v>
      </c>
      <c r="EH55" s="28" t="s">
        <v>82</v>
      </c>
      <c r="EI55" s="28"/>
      <c r="EJ55" s="28" t="s">
        <v>1727</v>
      </c>
      <c r="EK55" s="28" t="s">
        <v>1728</v>
      </c>
      <c r="EL55" s="28" t="s">
        <v>1729</v>
      </c>
      <c r="EM55" s="11">
        <v>570.19000000000005</v>
      </c>
      <c r="EN55" s="11">
        <v>15.42</v>
      </c>
      <c r="EQ55" s="11">
        <v>33.409999999999997</v>
      </c>
      <c r="EW55" s="11">
        <v>64.680000000000007</v>
      </c>
      <c r="FF55" s="11">
        <v>54.07</v>
      </c>
      <c r="FJ55" s="11">
        <v>17.760000000000002</v>
      </c>
      <c r="FP55" s="11">
        <v>31.27</v>
      </c>
      <c r="FV55" s="11">
        <v>70.430000000000007</v>
      </c>
      <c r="GC55" s="11">
        <v>147</v>
      </c>
      <c r="GT55" s="11">
        <v>20.02</v>
      </c>
      <c r="GX55" s="11">
        <v>21.96</v>
      </c>
      <c r="HB55" s="11">
        <v>94.17</v>
      </c>
      <c r="HQ55" s="62">
        <f t="shared" si="4"/>
        <v>570.19000000000005</v>
      </c>
      <c r="HR55" s="62">
        <f t="shared" ref="HR55:HR78" si="5">HQ55/60</f>
        <v>9.503166666666667</v>
      </c>
    </row>
    <row r="56" spans="1:226" ht="12.95" customHeight="1" x14ac:dyDescent="0.2">
      <c r="A56" s="11">
        <v>115</v>
      </c>
      <c r="B56" s="11">
        <v>83</v>
      </c>
      <c r="C56" s="11" t="s">
        <v>83</v>
      </c>
      <c r="D56" s="11">
        <v>11</v>
      </c>
      <c r="E56" s="11" t="s">
        <v>79</v>
      </c>
      <c r="F56" s="11">
        <v>1246950830</v>
      </c>
      <c r="G56" s="11" t="s">
        <v>81</v>
      </c>
      <c r="H56" s="11" t="s">
        <v>84</v>
      </c>
      <c r="I56" s="28" t="s">
        <v>107</v>
      </c>
      <c r="J56" s="28"/>
      <c r="M56" s="28" t="s">
        <v>1319</v>
      </c>
      <c r="N56" s="28" t="s">
        <v>618</v>
      </c>
      <c r="O56" s="28"/>
      <c r="P56" s="28" t="s">
        <v>87</v>
      </c>
      <c r="Q56" s="28" t="s">
        <v>1296</v>
      </c>
      <c r="S56" s="28" t="s">
        <v>84</v>
      </c>
      <c r="T56" s="28" t="s">
        <v>84</v>
      </c>
      <c r="U56" s="28" t="s">
        <v>84</v>
      </c>
      <c r="V56" s="28" t="s">
        <v>82</v>
      </c>
      <c r="W56" s="28" t="s">
        <v>82</v>
      </c>
      <c r="X56" s="28" t="s">
        <v>82</v>
      </c>
      <c r="Y56" s="28" t="s">
        <v>82</v>
      </c>
      <c r="Z56" s="28" t="s">
        <v>84</v>
      </c>
      <c r="AA56" s="28"/>
      <c r="AB56" s="28" t="s">
        <v>82</v>
      </c>
      <c r="AC56" s="28"/>
      <c r="AD56" s="28" t="s">
        <v>82</v>
      </c>
      <c r="AE56" s="28"/>
      <c r="AF56" s="28"/>
      <c r="AG56" s="28" t="s">
        <v>82</v>
      </c>
      <c r="AH56" s="28"/>
      <c r="AI56" s="28" t="s">
        <v>84</v>
      </c>
      <c r="AJ56" s="28"/>
      <c r="AK56" s="28" t="s">
        <v>1730</v>
      </c>
      <c r="AL56" s="28" t="s">
        <v>126</v>
      </c>
      <c r="AM56" s="28" t="s">
        <v>111</v>
      </c>
      <c r="AN56" s="28"/>
      <c r="AO56" s="28" t="s">
        <v>80</v>
      </c>
      <c r="AQ56" s="28" t="s">
        <v>84</v>
      </c>
      <c r="AR56" s="28" t="s">
        <v>82</v>
      </c>
      <c r="AS56" s="28" t="s">
        <v>82</v>
      </c>
      <c r="AT56" s="28" t="s">
        <v>82</v>
      </c>
      <c r="AU56" s="28"/>
      <c r="AW56" s="28" t="s">
        <v>80</v>
      </c>
      <c r="AX56" s="28" t="s">
        <v>80</v>
      </c>
      <c r="AY56" s="28" t="s">
        <v>80</v>
      </c>
      <c r="AZ56" s="28" t="s">
        <v>80</v>
      </c>
      <c r="BA56" s="28"/>
      <c r="BB56" s="28" t="s">
        <v>84</v>
      </c>
      <c r="BC56" s="28" t="s">
        <v>80</v>
      </c>
      <c r="BD56" s="28" t="s">
        <v>113</v>
      </c>
      <c r="BE56" s="28" t="s">
        <v>113</v>
      </c>
      <c r="BF56" s="28" t="s">
        <v>100</v>
      </c>
      <c r="BG56" s="28" t="s">
        <v>82</v>
      </c>
      <c r="BH56" s="28" t="s">
        <v>84</v>
      </c>
      <c r="BI56" s="28" t="s">
        <v>1731</v>
      </c>
      <c r="BJ56" s="28" t="s">
        <v>84</v>
      </c>
      <c r="BK56" s="28" t="s">
        <v>80</v>
      </c>
      <c r="BL56" s="28">
        <v>4</v>
      </c>
      <c r="BM56" s="28">
        <v>2</v>
      </c>
      <c r="BN56" s="28">
        <v>1</v>
      </c>
      <c r="BO56" s="28">
        <v>1</v>
      </c>
      <c r="BP56" s="28">
        <v>4</v>
      </c>
      <c r="BQ56" s="28">
        <v>2</v>
      </c>
      <c r="BS56" s="28" t="s">
        <v>118</v>
      </c>
      <c r="BT56" s="28"/>
      <c r="BU56" s="28"/>
      <c r="BV56" s="28"/>
      <c r="BX56" s="28" t="s">
        <v>82</v>
      </c>
      <c r="BY56" s="28"/>
      <c r="BZ56" s="28" t="s">
        <v>82</v>
      </c>
      <c r="CA56" s="28"/>
      <c r="CB56" s="28" t="s">
        <v>82</v>
      </c>
      <c r="CC56" s="28"/>
      <c r="CD56" s="28" t="s">
        <v>82</v>
      </c>
      <c r="CE56" s="28"/>
      <c r="CF56" s="28" t="s">
        <v>1732</v>
      </c>
      <c r="CG56" s="28" t="s">
        <v>1733</v>
      </c>
      <c r="CI56" s="28" t="s">
        <v>84</v>
      </c>
      <c r="CJ56" s="28"/>
      <c r="CK56" s="28" t="s">
        <v>82</v>
      </c>
      <c r="CL56" s="28"/>
      <c r="CM56" s="28" t="s">
        <v>82</v>
      </c>
      <c r="CN56" s="28"/>
      <c r="CO56" s="28"/>
      <c r="CP56" s="28"/>
      <c r="CQ56" s="28" t="s">
        <v>97</v>
      </c>
      <c r="CR56" s="28" t="s">
        <v>84</v>
      </c>
      <c r="CS56" s="28" t="s">
        <v>97</v>
      </c>
      <c r="CT56" s="28" t="s">
        <v>1734</v>
      </c>
      <c r="CU56" s="28" t="s">
        <v>81</v>
      </c>
      <c r="CV56" s="28"/>
      <c r="CW56" s="28" t="s">
        <v>82</v>
      </c>
      <c r="CX56" s="28"/>
      <c r="CY56" s="28" t="s">
        <v>81</v>
      </c>
      <c r="CZ56" s="28"/>
      <c r="DA56" s="28" t="s">
        <v>82</v>
      </c>
      <c r="DB56" s="28"/>
      <c r="DC56" s="28" t="s">
        <v>84</v>
      </c>
      <c r="DD56" s="28" t="s">
        <v>82</v>
      </c>
      <c r="DG56" s="28">
        <v>2</v>
      </c>
      <c r="DH56" s="28">
        <v>1</v>
      </c>
      <c r="DI56" s="28">
        <v>3</v>
      </c>
      <c r="DJ56" s="28">
        <v>2</v>
      </c>
      <c r="DK56" s="28">
        <v>1</v>
      </c>
      <c r="DL56" s="28">
        <v>3</v>
      </c>
      <c r="DM56" s="28">
        <v>1</v>
      </c>
      <c r="DN56" s="28">
        <v>3</v>
      </c>
      <c r="DO56" s="28">
        <v>3</v>
      </c>
      <c r="DP56" s="28">
        <v>2</v>
      </c>
      <c r="DQ56" s="28">
        <v>3</v>
      </c>
      <c r="DR56" s="28">
        <v>2</v>
      </c>
      <c r="DS56" s="28" t="s">
        <v>97</v>
      </c>
      <c r="DT56" s="28" t="s">
        <v>106</v>
      </c>
      <c r="DU56" s="28"/>
      <c r="DV56" s="28" t="s">
        <v>84</v>
      </c>
      <c r="DW56" s="28" t="s">
        <v>113</v>
      </c>
      <c r="DX56" s="28" t="s">
        <v>81</v>
      </c>
      <c r="DY56" s="28" t="s">
        <v>1735</v>
      </c>
      <c r="DZ56" s="28" t="s">
        <v>113</v>
      </c>
      <c r="EA56" s="28" t="s">
        <v>1736</v>
      </c>
      <c r="EB56" s="28" t="s">
        <v>82</v>
      </c>
      <c r="EC56" s="28"/>
      <c r="ED56" s="28" t="s">
        <v>81</v>
      </c>
      <c r="EE56" s="28" t="s">
        <v>1737</v>
      </c>
      <c r="EF56" s="28" t="s">
        <v>84</v>
      </c>
      <c r="EG56" s="28" t="s">
        <v>84</v>
      </c>
      <c r="EH56" s="28" t="s">
        <v>84</v>
      </c>
      <c r="EI56" s="28" t="s">
        <v>1738</v>
      </c>
      <c r="EJ56" s="28" t="s">
        <v>1739</v>
      </c>
      <c r="EK56" s="28" t="s">
        <v>1740</v>
      </c>
      <c r="EL56" s="28" t="s">
        <v>1741</v>
      </c>
      <c r="EM56" s="11">
        <v>2938.37</v>
      </c>
      <c r="EN56" s="11">
        <v>31.93</v>
      </c>
      <c r="EQ56" s="11">
        <v>37.97</v>
      </c>
      <c r="EW56" s="11">
        <v>94.69</v>
      </c>
      <c r="FF56" s="11">
        <v>187.47</v>
      </c>
      <c r="FJ56" s="11">
        <v>38.950000000000003</v>
      </c>
      <c r="FP56" s="11">
        <v>42.19</v>
      </c>
      <c r="FV56" s="11">
        <v>146.01</v>
      </c>
      <c r="GC56" s="11">
        <v>789.41</v>
      </c>
      <c r="GT56" s="11">
        <v>14.03</v>
      </c>
      <c r="GX56" s="11">
        <v>292.81</v>
      </c>
      <c r="HB56" s="11">
        <v>1262.9100000000001</v>
      </c>
      <c r="HQ56" s="62">
        <f t="shared" si="4"/>
        <v>2938.37</v>
      </c>
      <c r="HR56" s="62">
        <f t="shared" si="5"/>
        <v>48.972833333333334</v>
      </c>
    </row>
    <row r="57" spans="1:226" ht="12.95" customHeight="1" x14ac:dyDescent="0.2">
      <c r="A57" s="11">
        <v>116</v>
      </c>
      <c r="B57" s="11">
        <v>84</v>
      </c>
      <c r="C57" s="11" t="s">
        <v>83</v>
      </c>
      <c r="D57" s="11">
        <v>11</v>
      </c>
      <c r="E57" s="11" t="s">
        <v>79</v>
      </c>
      <c r="F57" s="11">
        <v>178484601</v>
      </c>
      <c r="G57" s="11" t="s">
        <v>81</v>
      </c>
      <c r="H57" s="11" t="s">
        <v>84</v>
      </c>
      <c r="I57" s="28" t="s">
        <v>443</v>
      </c>
      <c r="J57" s="28"/>
      <c r="M57" s="28" t="s">
        <v>1319</v>
      </c>
      <c r="N57" s="28" t="s">
        <v>618</v>
      </c>
      <c r="O57" s="28"/>
      <c r="P57" s="28" t="s">
        <v>87</v>
      </c>
      <c r="Q57" s="28" t="s">
        <v>1296</v>
      </c>
      <c r="S57" s="28" t="s">
        <v>84</v>
      </c>
      <c r="T57" s="28" t="s">
        <v>84</v>
      </c>
      <c r="U57" s="28" t="s">
        <v>82</v>
      </c>
      <c r="V57" s="28" t="s">
        <v>82</v>
      </c>
      <c r="W57" s="28" t="s">
        <v>82</v>
      </c>
      <c r="X57" s="28" t="s">
        <v>82</v>
      </c>
      <c r="Y57" s="28" t="s">
        <v>84</v>
      </c>
      <c r="Z57" s="28" t="s">
        <v>84</v>
      </c>
      <c r="AA57" s="28"/>
      <c r="AB57" s="28" t="s">
        <v>82</v>
      </c>
      <c r="AC57" s="28"/>
      <c r="AD57" s="28" t="s">
        <v>82</v>
      </c>
      <c r="AE57" s="28"/>
      <c r="AF57" s="28"/>
      <c r="AG57" s="28" t="s">
        <v>82</v>
      </c>
      <c r="AH57" s="28"/>
      <c r="AI57" s="28" t="s">
        <v>84</v>
      </c>
      <c r="AJ57" s="28"/>
      <c r="AK57" s="28" t="s">
        <v>1742</v>
      </c>
      <c r="AL57" s="28" t="s">
        <v>126</v>
      </c>
      <c r="AM57" s="28" t="s">
        <v>91</v>
      </c>
      <c r="AN57" s="28"/>
      <c r="AO57" s="28" t="s">
        <v>80</v>
      </c>
      <c r="AQ57" s="28" t="s">
        <v>80</v>
      </c>
      <c r="AR57" s="28" t="s">
        <v>80</v>
      </c>
      <c r="AS57" s="28" t="s">
        <v>80</v>
      </c>
      <c r="AT57" s="28" t="s">
        <v>80</v>
      </c>
      <c r="AU57" s="28"/>
      <c r="AW57" s="28" t="s">
        <v>84</v>
      </c>
      <c r="AX57" s="28" t="s">
        <v>84</v>
      </c>
      <c r="AY57" s="28" t="s">
        <v>82</v>
      </c>
      <c r="AZ57" s="28" t="s">
        <v>84</v>
      </c>
      <c r="BA57" s="28"/>
      <c r="BB57" s="28" t="s">
        <v>84</v>
      </c>
      <c r="BC57" s="28" t="s">
        <v>80</v>
      </c>
      <c r="BD57" s="28" t="s">
        <v>93</v>
      </c>
      <c r="BE57" s="28" t="s">
        <v>93</v>
      </c>
      <c r="BF57" s="28" t="s">
        <v>112</v>
      </c>
      <c r="BG57" s="28" t="s">
        <v>84</v>
      </c>
      <c r="BH57" s="28" t="s">
        <v>84</v>
      </c>
      <c r="BI57" s="28" t="s">
        <v>1743</v>
      </c>
      <c r="BJ57" s="28" t="s">
        <v>84</v>
      </c>
      <c r="BK57" s="28" t="s">
        <v>80</v>
      </c>
      <c r="BL57" s="28">
        <v>3</v>
      </c>
      <c r="BM57" s="28">
        <v>2</v>
      </c>
      <c r="BN57" s="28">
        <v>1</v>
      </c>
      <c r="BO57" s="28">
        <v>1</v>
      </c>
      <c r="BP57" s="28">
        <v>3</v>
      </c>
      <c r="BQ57" s="28">
        <v>1</v>
      </c>
      <c r="BS57" s="28" t="s">
        <v>118</v>
      </c>
      <c r="BT57" s="28"/>
      <c r="BU57" s="28"/>
      <c r="BV57" s="28"/>
      <c r="BX57" s="28" t="s">
        <v>82</v>
      </c>
      <c r="BY57" s="28"/>
      <c r="BZ57" s="28" t="s">
        <v>84</v>
      </c>
      <c r="CA57" s="28"/>
      <c r="CB57" s="28" t="s">
        <v>82</v>
      </c>
      <c r="CC57" s="28"/>
      <c r="CD57" s="28" t="s">
        <v>82</v>
      </c>
      <c r="CE57" s="28"/>
      <c r="CF57" s="28"/>
      <c r="CG57" s="28"/>
      <c r="CI57" s="28" t="s">
        <v>84</v>
      </c>
      <c r="CJ57" s="28"/>
      <c r="CK57" s="28" t="s">
        <v>84</v>
      </c>
      <c r="CL57" s="28"/>
      <c r="CM57" s="28" t="s">
        <v>82</v>
      </c>
      <c r="CN57" s="28"/>
      <c r="CO57" s="28"/>
      <c r="CP57" s="28"/>
      <c r="CQ57" s="28" t="s">
        <v>118</v>
      </c>
      <c r="CR57" s="28" t="s">
        <v>84</v>
      </c>
      <c r="CS57" s="28" t="s">
        <v>1312</v>
      </c>
      <c r="CT57" s="28"/>
      <c r="CU57" s="28" t="s">
        <v>81</v>
      </c>
      <c r="CV57" s="28"/>
      <c r="CW57" s="28" t="s">
        <v>84</v>
      </c>
      <c r="CX57" s="28" t="s">
        <v>1744</v>
      </c>
      <c r="CY57" s="28"/>
      <c r="CZ57" s="28"/>
      <c r="DA57" s="28" t="s">
        <v>82</v>
      </c>
      <c r="DB57" s="28"/>
      <c r="DC57" s="28" t="s">
        <v>84</v>
      </c>
      <c r="DD57" s="28" t="s">
        <v>84</v>
      </c>
      <c r="DG57" s="28">
        <v>3</v>
      </c>
      <c r="DH57" s="28">
        <v>1</v>
      </c>
      <c r="DI57" s="28">
        <v>2</v>
      </c>
      <c r="DJ57" s="28">
        <v>1</v>
      </c>
      <c r="DK57" s="28">
        <v>5</v>
      </c>
      <c r="DL57" s="28">
        <v>5</v>
      </c>
      <c r="DM57" s="28">
        <v>3</v>
      </c>
      <c r="DN57" s="28">
        <v>2</v>
      </c>
      <c r="DO57" s="28">
        <v>2</v>
      </c>
      <c r="DP57" s="28">
        <v>2</v>
      </c>
      <c r="DQ57" s="28">
        <v>2</v>
      </c>
      <c r="DR57" s="28">
        <v>2</v>
      </c>
      <c r="DS57" s="28" t="s">
        <v>118</v>
      </c>
      <c r="DT57" s="28" t="s">
        <v>106</v>
      </c>
      <c r="DU57" s="28"/>
      <c r="DV57" s="28" t="s">
        <v>84</v>
      </c>
      <c r="DW57" s="28" t="s">
        <v>93</v>
      </c>
      <c r="DX57" s="28" t="s">
        <v>81</v>
      </c>
      <c r="DY57" s="28"/>
      <c r="DZ57" s="28" t="s">
        <v>113</v>
      </c>
      <c r="EA57" s="28" t="s">
        <v>1745</v>
      </c>
      <c r="EB57" s="28" t="s">
        <v>84</v>
      </c>
      <c r="EC57" s="28"/>
      <c r="ED57" s="28"/>
      <c r="EE57" s="28"/>
      <c r="EF57" s="28" t="s">
        <v>82</v>
      </c>
      <c r="EG57" s="28" t="s">
        <v>84</v>
      </c>
      <c r="EH57" s="28" t="s">
        <v>82</v>
      </c>
      <c r="EI57" s="28"/>
      <c r="EJ57" s="28" t="s">
        <v>1746</v>
      </c>
      <c r="EK57" s="28" t="s">
        <v>1746</v>
      </c>
      <c r="EL57" s="28" t="s">
        <v>1747</v>
      </c>
      <c r="EM57" s="11">
        <v>1165.32</v>
      </c>
      <c r="EN57" s="11">
        <v>11.67</v>
      </c>
      <c r="EQ57" s="11">
        <v>42.63</v>
      </c>
      <c r="EW57" s="11">
        <v>29.4</v>
      </c>
      <c r="FF57" s="11">
        <v>41.63</v>
      </c>
      <c r="FJ57" s="11">
        <v>14.34</v>
      </c>
      <c r="FP57" s="11">
        <v>23.39</v>
      </c>
      <c r="FV57" s="11">
        <v>125.36</v>
      </c>
      <c r="GC57" s="11">
        <v>396.24</v>
      </c>
      <c r="GT57" s="11">
        <v>21.34</v>
      </c>
      <c r="GX57" s="11">
        <v>25.39</v>
      </c>
      <c r="HB57" s="11">
        <v>433.93</v>
      </c>
      <c r="HQ57" s="62">
        <f t="shared" si="4"/>
        <v>1165.32</v>
      </c>
      <c r="HR57" s="62">
        <f t="shared" si="5"/>
        <v>19.422000000000001</v>
      </c>
    </row>
    <row r="58" spans="1:226" ht="12.95" customHeight="1" x14ac:dyDescent="0.2">
      <c r="A58" s="11">
        <v>117</v>
      </c>
      <c r="B58" s="11">
        <v>85</v>
      </c>
      <c r="C58" s="11" t="s">
        <v>83</v>
      </c>
      <c r="D58" s="11">
        <v>11</v>
      </c>
      <c r="E58" s="11" t="s">
        <v>79</v>
      </c>
      <c r="F58" s="11">
        <v>590538117</v>
      </c>
      <c r="G58" s="11" t="s">
        <v>81</v>
      </c>
      <c r="H58" s="11" t="s">
        <v>84</v>
      </c>
      <c r="I58" s="28" t="s">
        <v>105</v>
      </c>
      <c r="J58" s="28"/>
      <c r="M58" s="28" t="s">
        <v>1319</v>
      </c>
      <c r="N58" s="28" t="s">
        <v>618</v>
      </c>
      <c r="O58" s="28" t="s">
        <v>1748</v>
      </c>
      <c r="P58" s="28" t="s">
        <v>253</v>
      </c>
      <c r="Q58" s="28" t="s">
        <v>1310</v>
      </c>
      <c r="S58" s="28" t="s">
        <v>84</v>
      </c>
      <c r="T58" s="28" t="s">
        <v>84</v>
      </c>
      <c r="U58" s="28" t="s">
        <v>82</v>
      </c>
      <c r="V58" s="28" t="s">
        <v>82</v>
      </c>
      <c r="W58" s="28" t="s">
        <v>84</v>
      </c>
      <c r="X58" s="28" t="s">
        <v>82</v>
      </c>
      <c r="Y58" s="28" t="s">
        <v>82</v>
      </c>
      <c r="Z58" s="28" t="s">
        <v>82</v>
      </c>
      <c r="AA58" s="28"/>
      <c r="AB58" s="28" t="s">
        <v>82</v>
      </c>
      <c r="AC58" s="28"/>
      <c r="AD58" s="28" t="s">
        <v>82</v>
      </c>
      <c r="AE58" s="28"/>
      <c r="AF58" s="28"/>
      <c r="AG58" s="28" t="s">
        <v>82</v>
      </c>
      <c r="AH58" s="28" t="s">
        <v>1749</v>
      </c>
      <c r="AI58" s="28" t="s">
        <v>84</v>
      </c>
      <c r="AJ58" s="28"/>
      <c r="AK58" s="28" t="s">
        <v>1750</v>
      </c>
      <c r="AL58" s="28" t="s">
        <v>126</v>
      </c>
      <c r="AM58" s="28" t="s">
        <v>111</v>
      </c>
      <c r="AN58" s="28"/>
      <c r="AO58" s="28" t="s">
        <v>80</v>
      </c>
      <c r="AQ58" s="28" t="s">
        <v>84</v>
      </c>
      <c r="AR58" s="28" t="s">
        <v>82</v>
      </c>
      <c r="AS58" s="28" t="s">
        <v>82</v>
      </c>
      <c r="AT58" s="28" t="s">
        <v>82</v>
      </c>
      <c r="AU58" s="28"/>
      <c r="AW58" s="28" t="s">
        <v>80</v>
      </c>
      <c r="AX58" s="28" t="s">
        <v>80</v>
      </c>
      <c r="AY58" s="28" t="s">
        <v>80</v>
      </c>
      <c r="AZ58" s="28" t="s">
        <v>80</v>
      </c>
      <c r="BA58" s="28"/>
      <c r="BB58" s="28" t="s">
        <v>84</v>
      </c>
      <c r="BC58" s="28" t="s">
        <v>80</v>
      </c>
      <c r="BD58" s="28" t="s">
        <v>113</v>
      </c>
      <c r="BE58" s="28" t="s">
        <v>100</v>
      </c>
      <c r="BF58" s="28" t="s">
        <v>113</v>
      </c>
      <c r="BG58" s="28" t="s">
        <v>84</v>
      </c>
      <c r="BH58" s="28" t="s">
        <v>84</v>
      </c>
      <c r="BI58" s="28" t="s">
        <v>1751</v>
      </c>
      <c r="BJ58" s="28" t="s">
        <v>84</v>
      </c>
      <c r="BK58" s="28" t="s">
        <v>80</v>
      </c>
      <c r="BL58" s="28">
        <v>4</v>
      </c>
      <c r="BM58" s="28">
        <v>4</v>
      </c>
      <c r="BN58" s="28">
        <v>2</v>
      </c>
      <c r="BO58" s="28">
        <v>2</v>
      </c>
      <c r="BP58" s="28">
        <v>3</v>
      </c>
      <c r="BQ58" s="28">
        <v>3</v>
      </c>
      <c r="BS58" s="28" t="s">
        <v>97</v>
      </c>
      <c r="BT58" s="28"/>
      <c r="BU58" s="28" t="s">
        <v>81</v>
      </c>
      <c r="BV58" s="28"/>
      <c r="BX58" s="28" t="s">
        <v>80</v>
      </c>
      <c r="BY58" s="28"/>
      <c r="BZ58" s="28" t="s">
        <v>80</v>
      </c>
      <c r="CA58" s="28"/>
      <c r="CB58" s="28" t="s">
        <v>80</v>
      </c>
      <c r="CC58" s="28"/>
      <c r="CD58" s="28" t="s">
        <v>80</v>
      </c>
      <c r="CE58" s="28"/>
      <c r="CF58" s="28"/>
      <c r="CG58" s="28"/>
      <c r="CI58" s="28" t="s">
        <v>84</v>
      </c>
      <c r="CJ58" s="28" t="s">
        <v>1752</v>
      </c>
      <c r="CK58" s="28" t="s">
        <v>82</v>
      </c>
      <c r="CL58" s="28"/>
      <c r="CM58" s="28" t="s">
        <v>82</v>
      </c>
      <c r="CN58" s="28"/>
      <c r="CO58" s="28"/>
      <c r="CP58" s="28"/>
      <c r="CQ58" s="28" t="s">
        <v>97</v>
      </c>
      <c r="CR58" s="28" t="s">
        <v>84</v>
      </c>
      <c r="CS58" s="28" t="s">
        <v>97</v>
      </c>
      <c r="CT58" s="28"/>
      <c r="CU58" s="28" t="s">
        <v>246</v>
      </c>
      <c r="CV58" s="28"/>
      <c r="CW58" s="28" t="s">
        <v>82</v>
      </c>
      <c r="CX58" s="28"/>
      <c r="CY58" s="28" t="s">
        <v>81</v>
      </c>
      <c r="CZ58" s="28" t="s">
        <v>1753</v>
      </c>
      <c r="DA58" s="28" t="s">
        <v>82</v>
      </c>
      <c r="DB58" s="28"/>
      <c r="DC58" s="28" t="s">
        <v>84</v>
      </c>
      <c r="DD58" s="28" t="s">
        <v>82</v>
      </c>
      <c r="DG58" s="28">
        <v>2</v>
      </c>
      <c r="DH58" s="28">
        <v>1</v>
      </c>
      <c r="DI58" s="28">
        <v>1</v>
      </c>
      <c r="DJ58" s="28">
        <v>1</v>
      </c>
      <c r="DK58" s="28">
        <v>2</v>
      </c>
      <c r="DL58" s="28">
        <v>1</v>
      </c>
      <c r="DM58" s="28">
        <v>2</v>
      </c>
      <c r="DN58" s="28">
        <v>2</v>
      </c>
      <c r="DO58" s="28">
        <v>1</v>
      </c>
      <c r="DP58" s="28">
        <v>1</v>
      </c>
      <c r="DQ58" s="28">
        <v>2</v>
      </c>
      <c r="DR58" s="28">
        <v>2</v>
      </c>
      <c r="DS58" s="28" t="s">
        <v>118</v>
      </c>
      <c r="DT58" s="28" t="s">
        <v>82</v>
      </c>
      <c r="DU58" s="28" t="s">
        <v>1754</v>
      </c>
      <c r="DV58" s="28" t="s">
        <v>84</v>
      </c>
      <c r="DW58" s="28" t="s">
        <v>112</v>
      </c>
      <c r="DX58" s="28" t="s">
        <v>81</v>
      </c>
      <c r="DY58" s="28" t="s">
        <v>1755</v>
      </c>
      <c r="DZ58" s="28" t="s">
        <v>113</v>
      </c>
      <c r="EA58" s="28" t="s">
        <v>1756</v>
      </c>
      <c r="EB58" s="28" t="s">
        <v>84</v>
      </c>
      <c r="EC58" s="28"/>
      <c r="ED58" s="28"/>
      <c r="EE58" s="28"/>
      <c r="EF58" s="28" t="s">
        <v>84</v>
      </c>
      <c r="EG58" s="28" t="s">
        <v>84</v>
      </c>
      <c r="EH58" s="28" t="s">
        <v>82</v>
      </c>
      <c r="EI58" s="28"/>
      <c r="EJ58" s="28" t="s">
        <v>1757</v>
      </c>
      <c r="EK58" s="28" t="s">
        <v>1758</v>
      </c>
      <c r="EL58" s="28" t="s">
        <v>1759</v>
      </c>
      <c r="EM58" s="11">
        <v>823.32</v>
      </c>
      <c r="EN58" s="11">
        <v>16.350000000000001</v>
      </c>
      <c r="EQ58" s="11">
        <v>52.67</v>
      </c>
      <c r="EW58" s="11">
        <v>180.39</v>
      </c>
      <c r="FF58" s="11">
        <v>41.71</v>
      </c>
      <c r="FJ58" s="11">
        <v>14.59</v>
      </c>
      <c r="FP58" s="11">
        <v>28.72</v>
      </c>
      <c r="FV58" s="11">
        <v>87.91</v>
      </c>
      <c r="GC58" s="11">
        <v>163.54</v>
      </c>
      <c r="GT58" s="11">
        <v>64.709999999999994</v>
      </c>
      <c r="GX58" s="11">
        <v>59.74</v>
      </c>
      <c r="HB58" s="11">
        <v>112.99</v>
      </c>
      <c r="HQ58" s="62">
        <f t="shared" si="4"/>
        <v>823.32</v>
      </c>
      <c r="HR58" s="62">
        <f t="shared" si="5"/>
        <v>13.722000000000001</v>
      </c>
    </row>
    <row r="59" spans="1:226" ht="12.95" customHeight="1" x14ac:dyDescent="0.2">
      <c r="A59" s="11">
        <v>118</v>
      </c>
      <c r="B59" s="11">
        <v>89</v>
      </c>
      <c r="C59" s="11" t="s">
        <v>83</v>
      </c>
      <c r="D59" s="11">
        <v>11</v>
      </c>
      <c r="E59" s="11" t="s">
        <v>79</v>
      </c>
      <c r="F59" s="11">
        <v>1676746827</v>
      </c>
      <c r="G59" s="11" t="s">
        <v>81</v>
      </c>
      <c r="H59" s="11" t="s">
        <v>84</v>
      </c>
      <c r="I59" s="28" t="s">
        <v>324</v>
      </c>
      <c r="J59" s="28"/>
      <c r="M59" s="28" t="s">
        <v>1294</v>
      </c>
      <c r="N59" s="28" t="s">
        <v>108</v>
      </c>
      <c r="O59" s="28"/>
      <c r="P59" s="28" t="s">
        <v>195</v>
      </c>
      <c r="Q59" s="28" t="s">
        <v>1320</v>
      </c>
      <c r="S59" s="28" t="s">
        <v>84</v>
      </c>
      <c r="T59" s="28" t="s">
        <v>84</v>
      </c>
      <c r="U59" s="28" t="s">
        <v>84</v>
      </c>
      <c r="V59" s="28" t="s">
        <v>84</v>
      </c>
      <c r="W59" s="28" t="s">
        <v>82</v>
      </c>
      <c r="X59" s="28" t="s">
        <v>82</v>
      </c>
      <c r="Y59" s="28" t="s">
        <v>84</v>
      </c>
      <c r="Z59" s="28" t="s">
        <v>82</v>
      </c>
      <c r="AA59" s="28"/>
      <c r="AB59" s="28" t="s">
        <v>82</v>
      </c>
      <c r="AC59" s="28"/>
      <c r="AD59" s="28" t="s">
        <v>82</v>
      </c>
      <c r="AE59" s="28"/>
      <c r="AF59" s="28"/>
      <c r="AG59" s="28" t="s">
        <v>84</v>
      </c>
      <c r="AH59" s="28" t="s">
        <v>1760</v>
      </c>
      <c r="AI59" s="28" t="s">
        <v>84</v>
      </c>
      <c r="AJ59" s="28"/>
      <c r="AK59" s="28" t="s">
        <v>1761</v>
      </c>
      <c r="AL59" s="28" t="s">
        <v>140</v>
      </c>
      <c r="AM59" s="28" t="s">
        <v>91</v>
      </c>
      <c r="AN59" s="28"/>
      <c r="AO59" s="28" t="s">
        <v>80</v>
      </c>
      <c r="AQ59" s="28" t="s">
        <v>80</v>
      </c>
      <c r="AR59" s="28" t="s">
        <v>80</v>
      </c>
      <c r="AS59" s="28" t="s">
        <v>80</v>
      </c>
      <c r="AT59" s="28" t="s">
        <v>80</v>
      </c>
      <c r="AU59" s="28"/>
      <c r="AW59" s="28" t="s">
        <v>84</v>
      </c>
      <c r="AX59" s="28" t="s">
        <v>82</v>
      </c>
      <c r="AY59" s="28" t="s">
        <v>82</v>
      </c>
      <c r="AZ59" s="28" t="s">
        <v>84</v>
      </c>
      <c r="BA59" s="28"/>
      <c r="BB59" s="28" t="s">
        <v>84</v>
      </c>
      <c r="BC59" s="28" t="s">
        <v>80</v>
      </c>
      <c r="BD59" s="28" t="s">
        <v>93</v>
      </c>
      <c r="BE59" s="28" t="s">
        <v>100</v>
      </c>
      <c r="BF59" s="28" t="s">
        <v>112</v>
      </c>
      <c r="BG59" s="28" t="s">
        <v>84</v>
      </c>
      <c r="BH59" s="28" t="s">
        <v>84</v>
      </c>
      <c r="BI59" s="28" t="s">
        <v>1762</v>
      </c>
      <c r="BJ59" s="28" t="s">
        <v>84</v>
      </c>
      <c r="BK59" s="28" t="s">
        <v>80</v>
      </c>
      <c r="BL59" s="28">
        <v>5</v>
      </c>
      <c r="BM59" s="28">
        <v>5</v>
      </c>
      <c r="BN59" s="28">
        <v>5</v>
      </c>
      <c r="BO59" s="28">
        <v>5</v>
      </c>
      <c r="BP59" s="28">
        <v>5</v>
      </c>
      <c r="BQ59" s="28">
        <v>5</v>
      </c>
      <c r="BS59" s="28" t="s">
        <v>118</v>
      </c>
      <c r="BT59" s="28"/>
      <c r="BU59" s="28"/>
      <c r="BV59" s="28"/>
      <c r="BX59" s="28" t="s">
        <v>84</v>
      </c>
      <c r="BY59" s="28"/>
      <c r="BZ59" s="28" t="s">
        <v>82</v>
      </c>
      <c r="CA59" s="28"/>
      <c r="CB59" s="28" t="s">
        <v>82</v>
      </c>
      <c r="CC59" s="28"/>
      <c r="CD59" s="28" t="s">
        <v>84</v>
      </c>
      <c r="CE59" s="28"/>
      <c r="CF59" s="28"/>
      <c r="CG59" s="28"/>
      <c r="CI59" s="28" t="s">
        <v>84</v>
      </c>
      <c r="CJ59" s="28"/>
      <c r="CK59" s="28" t="s">
        <v>82</v>
      </c>
      <c r="CL59" s="28"/>
      <c r="CM59" s="28" t="s">
        <v>82</v>
      </c>
      <c r="CN59" s="28"/>
      <c r="CO59" s="28"/>
      <c r="CP59" s="28"/>
      <c r="CQ59" s="28" t="s">
        <v>99</v>
      </c>
      <c r="CR59" s="28" t="s">
        <v>80</v>
      </c>
      <c r="CS59" s="28" t="s">
        <v>1312</v>
      </c>
      <c r="CT59" s="28"/>
      <c r="CU59" s="28" t="s">
        <v>246</v>
      </c>
      <c r="CV59" s="28"/>
      <c r="CW59" s="28" t="s">
        <v>82</v>
      </c>
      <c r="CX59" s="28"/>
      <c r="CY59" s="28" t="s">
        <v>246</v>
      </c>
      <c r="CZ59" s="28"/>
      <c r="DA59" s="28" t="s">
        <v>82</v>
      </c>
      <c r="DB59" s="28"/>
      <c r="DC59" s="28" t="s">
        <v>84</v>
      </c>
      <c r="DD59" s="28" t="s">
        <v>84</v>
      </c>
      <c r="DG59" s="28">
        <v>1</v>
      </c>
      <c r="DH59" s="28">
        <v>1</v>
      </c>
      <c r="DI59" s="28">
        <v>2</v>
      </c>
      <c r="DJ59" s="28">
        <v>1</v>
      </c>
      <c r="DK59" s="28">
        <v>2</v>
      </c>
      <c r="DL59" s="28">
        <v>1</v>
      </c>
      <c r="DM59" s="28">
        <v>2</v>
      </c>
      <c r="DN59" s="28">
        <v>1</v>
      </c>
      <c r="DO59" s="28">
        <v>3</v>
      </c>
      <c r="DP59" s="28">
        <v>1</v>
      </c>
      <c r="DQ59" s="28">
        <v>3</v>
      </c>
      <c r="DR59" s="28">
        <v>1</v>
      </c>
      <c r="DS59" s="28" t="s">
        <v>118</v>
      </c>
      <c r="DT59" s="28" t="s">
        <v>84</v>
      </c>
      <c r="DU59" s="28"/>
      <c r="DV59" s="28" t="s">
        <v>84</v>
      </c>
      <c r="DW59" s="28" t="s">
        <v>113</v>
      </c>
      <c r="DX59" s="28" t="s">
        <v>81</v>
      </c>
      <c r="DY59" s="28"/>
      <c r="DZ59" s="28" t="s">
        <v>113</v>
      </c>
      <c r="EA59" s="28"/>
      <c r="EB59" s="28" t="s">
        <v>84</v>
      </c>
      <c r="EC59" s="28"/>
      <c r="ED59" s="28"/>
      <c r="EE59" s="28"/>
      <c r="EF59" s="28" t="s">
        <v>84</v>
      </c>
      <c r="EG59" s="28" t="s">
        <v>84</v>
      </c>
      <c r="EH59" s="28" t="s">
        <v>84</v>
      </c>
      <c r="EI59" s="28" t="s">
        <v>1114</v>
      </c>
      <c r="EJ59" s="28" t="s">
        <v>1763</v>
      </c>
      <c r="EK59" s="28" t="s">
        <v>1764</v>
      </c>
      <c r="EL59" s="28" t="s">
        <v>1765</v>
      </c>
      <c r="EM59" s="11">
        <v>1491.49</v>
      </c>
      <c r="EN59" s="11">
        <v>38.619999999999997</v>
      </c>
      <c r="EQ59" s="11">
        <v>68.61</v>
      </c>
      <c r="EW59" s="11">
        <v>90.42</v>
      </c>
      <c r="FF59" s="11">
        <v>331.02</v>
      </c>
      <c r="FJ59" s="11">
        <v>21.04</v>
      </c>
      <c r="FP59" s="11">
        <v>65.040000000000006</v>
      </c>
      <c r="FV59" s="11">
        <v>99.64</v>
      </c>
      <c r="GC59" s="11">
        <v>201.32</v>
      </c>
      <c r="GT59" s="11">
        <v>16</v>
      </c>
      <c r="GX59" s="11">
        <v>28.79</v>
      </c>
      <c r="HB59" s="11">
        <v>530.99</v>
      </c>
      <c r="HQ59" s="62">
        <f t="shared" si="4"/>
        <v>1491.49</v>
      </c>
      <c r="HR59" s="62">
        <f t="shared" si="5"/>
        <v>24.858166666666666</v>
      </c>
    </row>
    <row r="60" spans="1:226" ht="12.95" customHeight="1" x14ac:dyDescent="0.2">
      <c r="A60" s="11">
        <v>119</v>
      </c>
      <c r="B60" s="11">
        <v>90</v>
      </c>
      <c r="C60" s="11" t="s">
        <v>83</v>
      </c>
      <c r="D60" s="11">
        <v>11</v>
      </c>
      <c r="E60" s="11" t="s">
        <v>79</v>
      </c>
      <c r="F60" s="11">
        <v>621973099</v>
      </c>
      <c r="G60" s="11" t="s">
        <v>81</v>
      </c>
      <c r="H60" s="11" t="s">
        <v>84</v>
      </c>
      <c r="I60" s="28" t="s">
        <v>107</v>
      </c>
      <c r="J60" s="28"/>
      <c r="M60" s="28" t="s">
        <v>1319</v>
      </c>
      <c r="N60" s="28" t="s">
        <v>618</v>
      </c>
      <c r="O60" s="28"/>
      <c r="P60" s="28" t="s">
        <v>87</v>
      </c>
      <c r="Q60" s="28" t="s">
        <v>1766</v>
      </c>
      <c r="S60" s="28" t="s">
        <v>84</v>
      </c>
      <c r="T60" s="28" t="s">
        <v>84</v>
      </c>
      <c r="U60" s="28" t="s">
        <v>84</v>
      </c>
      <c r="V60" s="28" t="s">
        <v>84</v>
      </c>
      <c r="W60" s="28" t="s">
        <v>84</v>
      </c>
      <c r="X60" s="28" t="s">
        <v>82</v>
      </c>
      <c r="Y60" s="28" t="s">
        <v>84</v>
      </c>
      <c r="Z60" s="28" t="s">
        <v>82</v>
      </c>
      <c r="AA60" s="28"/>
      <c r="AB60" s="28" t="s">
        <v>84</v>
      </c>
      <c r="AC60" s="28" t="s">
        <v>1767</v>
      </c>
      <c r="AD60" s="28" t="s">
        <v>82</v>
      </c>
      <c r="AE60" s="28"/>
      <c r="AF60" s="28"/>
      <c r="AG60" s="28" t="s">
        <v>82</v>
      </c>
      <c r="AH60" s="28" t="s">
        <v>1768</v>
      </c>
      <c r="AI60" s="28" t="s">
        <v>84</v>
      </c>
      <c r="AJ60" s="28"/>
      <c r="AK60" s="28" t="s">
        <v>1769</v>
      </c>
      <c r="AL60" s="28" t="s">
        <v>126</v>
      </c>
      <c r="AM60" s="28" t="s">
        <v>111</v>
      </c>
      <c r="AN60" s="28"/>
      <c r="AO60" s="28" t="s">
        <v>80</v>
      </c>
      <c r="AQ60" s="28" t="s">
        <v>84</v>
      </c>
      <c r="AR60" s="28" t="s">
        <v>84</v>
      </c>
      <c r="AS60" s="28" t="s">
        <v>82</v>
      </c>
      <c r="AT60" s="28" t="s">
        <v>84</v>
      </c>
      <c r="AU60" s="28"/>
      <c r="AW60" s="28" t="s">
        <v>80</v>
      </c>
      <c r="AX60" s="28" t="s">
        <v>80</v>
      </c>
      <c r="AY60" s="28" t="s">
        <v>80</v>
      </c>
      <c r="AZ60" s="28" t="s">
        <v>80</v>
      </c>
      <c r="BA60" s="28"/>
      <c r="BB60" s="28" t="s">
        <v>84</v>
      </c>
      <c r="BC60" s="28" t="s">
        <v>80</v>
      </c>
      <c r="BD60" s="28" t="s">
        <v>100</v>
      </c>
      <c r="BE60" s="28" t="s">
        <v>100</v>
      </c>
      <c r="BF60" s="28" t="s">
        <v>100</v>
      </c>
      <c r="BG60" s="28" t="s">
        <v>82</v>
      </c>
      <c r="BH60" s="28" t="s">
        <v>84</v>
      </c>
      <c r="BI60" s="28" t="s">
        <v>1770</v>
      </c>
      <c r="BJ60" s="28" t="s">
        <v>84</v>
      </c>
      <c r="BK60" s="28" t="s">
        <v>80</v>
      </c>
      <c r="BL60" s="28">
        <v>4</v>
      </c>
      <c r="BM60" s="28">
        <v>1</v>
      </c>
      <c r="BN60" s="28">
        <v>3</v>
      </c>
      <c r="BO60" s="28">
        <v>1</v>
      </c>
      <c r="BP60" s="28">
        <v>5</v>
      </c>
      <c r="BQ60" s="28">
        <v>1</v>
      </c>
      <c r="BS60" s="28" t="s">
        <v>99</v>
      </c>
      <c r="BT60" s="28"/>
      <c r="BU60" s="28"/>
      <c r="BV60" s="28"/>
      <c r="BX60" s="28" t="s">
        <v>82</v>
      </c>
      <c r="BY60" s="28"/>
      <c r="BZ60" s="28" t="s">
        <v>84</v>
      </c>
      <c r="CA60" s="28" t="s">
        <v>1771</v>
      </c>
      <c r="CB60" s="28" t="s">
        <v>82</v>
      </c>
      <c r="CC60" s="28"/>
      <c r="CD60" s="28" t="s">
        <v>82</v>
      </c>
      <c r="CE60" s="28"/>
      <c r="CF60" s="28"/>
      <c r="CG60" s="28"/>
      <c r="CI60" s="28" t="s">
        <v>84</v>
      </c>
      <c r="CJ60" s="28"/>
      <c r="CK60" s="28" t="s">
        <v>82</v>
      </c>
      <c r="CL60" s="28"/>
      <c r="CM60" s="28" t="s">
        <v>82</v>
      </c>
      <c r="CN60" s="28"/>
      <c r="CO60" s="28"/>
      <c r="CP60" s="28"/>
      <c r="CQ60" s="28" t="s">
        <v>118</v>
      </c>
      <c r="CR60" s="28" t="s">
        <v>84</v>
      </c>
      <c r="CS60" s="28" t="s">
        <v>1312</v>
      </c>
      <c r="CT60" s="28"/>
      <c r="CU60" s="28" t="s">
        <v>246</v>
      </c>
      <c r="CV60" s="28"/>
      <c r="CW60" s="28" t="s">
        <v>82</v>
      </c>
      <c r="CX60" s="28"/>
      <c r="CY60" s="28" t="s">
        <v>81</v>
      </c>
      <c r="CZ60" s="28"/>
      <c r="DA60" s="28" t="s">
        <v>84</v>
      </c>
      <c r="DB60" s="28" t="s">
        <v>1772</v>
      </c>
      <c r="DC60" s="28" t="s">
        <v>84</v>
      </c>
      <c r="DD60" s="28" t="s">
        <v>84</v>
      </c>
      <c r="DG60" s="28">
        <v>1</v>
      </c>
      <c r="DH60" s="28">
        <v>1</v>
      </c>
      <c r="DI60" s="28">
        <v>1</v>
      </c>
      <c r="DJ60" s="28">
        <v>1</v>
      </c>
      <c r="DK60" s="28">
        <v>1</v>
      </c>
      <c r="DL60" s="28">
        <v>1</v>
      </c>
      <c r="DM60" s="28">
        <v>1</v>
      </c>
      <c r="DN60" s="28">
        <v>1</v>
      </c>
      <c r="DO60" s="28">
        <v>1</v>
      </c>
      <c r="DP60" s="28">
        <v>1</v>
      </c>
      <c r="DQ60" s="28">
        <v>3</v>
      </c>
      <c r="DR60" s="28">
        <v>1</v>
      </c>
      <c r="DS60" s="28" t="s">
        <v>118</v>
      </c>
      <c r="DT60" s="28" t="s">
        <v>82</v>
      </c>
      <c r="DU60" s="28" t="s">
        <v>1773</v>
      </c>
      <c r="DV60" s="28" t="s">
        <v>84</v>
      </c>
      <c r="DW60" s="28" t="s">
        <v>100</v>
      </c>
      <c r="DX60" s="28" t="s">
        <v>81</v>
      </c>
      <c r="DY60" s="28"/>
      <c r="DZ60" s="28" t="s">
        <v>113</v>
      </c>
      <c r="EA60" s="28" t="s">
        <v>1774</v>
      </c>
      <c r="EB60" s="28" t="s">
        <v>82</v>
      </c>
      <c r="EC60" s="28"/>
      <c r="ED60" s="28" t="s">
        <v>81</v>
      </c>
      <c r="EE60" s="28"/>
      <c r="EF60" s="28" t="s">
        <v>82</v>
      </c>
      <c r="EG60" s="28" t="s">
        <v>84</v>
      </c>
      <c r="EH60" s="28" t="s">
        <v>84</v>
      </c>
      <c r="EI60" s="28" t="s">
        <v>1775</v>
      </c>
      <c r="EJ60" s="28" t="s">
        <v>1776</v>
      </c>
      <c r="EK60" s="28" t="s">
        <v>1777</v>
      </c>
      <c r="EL60" s="28"/>
      <c r="EM60" s="11">
        <v>1412.24</v>
      </c>
      <c r="EN60" s="11">
        <v>11.61</v>
      </c>
      <c r="EQ60" s="11">
        <v>66.45</v>
      </c>
      <c r="EW60" s="11">
        <v>262.45</v>
      </c>
      <c r="FF60" s="11">
        <v>320.95</v>
      </c>
      <c r="FJ60" s="11">
        <v>16.64</v>
      </c>
      <c r="FP60" s="11">
        <v>111.02</v>
      </c>
      <c r="FV60" s="11">
        <v>96.78</v>
      </c>
      <c r="GC60" s="11">
        <v>239.45</v>
      </c>
      <c r="GT60" s="11">
        <v>28.34</v>
      </c>
      <c r="GX60" s="11">
        <v>20.25</v>
      </c>
      <c r="HB60" s="11">
        <v>238.3</v>
      </c>
      <c r="HQ60" s="62">
        <f t="shared" si="4"/>
        <v>1412.24</v>
      </c>
      <c r="HR60" s="62">
        <f t="shared" si="5"/>
        <v>23.537333333333333</v>
      </c>
    </row>
    <row r="61" spans="1:226" ht="12.95" customHeight="1" x14ac:dyDescent="0.2">
      <c r="A61" s="11">
        <v>120</v>
      </c>
      <c r="B61" s="11">
        <v>91</v>
      </c>
      <c r="C61" s="11" t="s">
        <v>83</v>
      </c>
      <c r="D61" s="11">
        <v>11</v>
      </c>
      <c r="E61" s="11" t="s">
        <v>79</v>
      </c>
      <c r="F61" s="11">
        <v>1181564303</v>
      </c>
      <c r="G61" s="11" t="s">
        <v>81</v>
      </c>
      <c r="H61" s="11" t="s">
        <v>84</v>
      </c>
      <c r="I61" s="28" t="s">
        <v>161</v>
      </c>
      <c r="J61" s="28"/>
      <c r="M61" s="28" t="s">
        <v>1294</v>
      </c>
      <c r="N61" s="28" t="s">
        <v>618</v>
      </c>
      <c r="O61" s="28"/>
      <c r="P61" s="28" t="s">
        <v>253</v>
      </c>
      <c r="Q61" s="28" t="s">
        <v>1296</v>
      </c>
      <c r="S61" s="28" t="s">
        <v>84</v>
      </c>
      <c r="T61" s="28" t="s">
        <v>84</v>
      </c>
      <c r="U61" s="28" t="s">
        <v>84</v>
      </c>
      <c r="V61" s="28" t="s">
        <v>82</v>
      </c>
      <c r="W61" s="28" t="s">
        <v>82</v>
      </c>
      <c r="X61" s="28" t="s">
        <v>82</v>
      </c>
      <c r="Y61" s="28" t="s">
        <v>82</v>
      </c>
      <c r="Z61" s="28" t="s">
        <v>82</v>
      </c>
      <c r="AA61" s="28"/>
      <c r="AB61" s="28" t="s">
        <v>82</v>
      </c>
      <c r="AC61" s="28"/>
      <c r="AD61" s="28" t="s">
        <v>82</v>
      </c>
      <c r="AE61" s="28"/>
      <c r="AF61" s="28"/>
      <c r="AG61" s="28" t="s">
        <v>82</v>
      </c>
      <c r="AH61" s="28" t="s">
        <v>1778</v>
      </c>
      <c r="AI61" s="28" t="s">
        <v>82</v>
      </c>
      <c r="AJ61" s="28" t="s">
        <v>1779</v>
      </c>
      <c r="AK61" s="28"/>
      <c r="AL61" s="28" t="s">
        <v>140</v>
      </c>
      <c r="AM61" s="28" t="s">
        <v>91</v>
      </c>
      <c r="AN61" s="28"/>
      <c r="AO61" s="28" t="s">
        <v>80</v>
      </c>
      <c r="AQ61" s="28" t="s">
        <v>80</v>
      </c>
      <c r="AR61" s="28" t="s">
        <v>80</v>
      </c>
      <c r="AS61" s="28" t="s">
        <v>80</v>
      </c>
      <c r="AT61" s="28" t="s">
        <v>80</v>
      </c>
      <c r="AU61" s="28"/>
      <c r="AW61" s="28" t="s">
        <v>84</v>
      </c>
      <c r="AX61" s="28" t="s">
        <v>82</v>
      </c>
      <c r="AY61" s="28" t="s">
        <v>82</v>
      </c>
      <c r="AZ61" s="28" t="s">
        <v>84</v>
      </c>
      <c r="BA61" s="28"/>
      <c r="BB61" s="28" t="s">
        <v>84</v>
      </c>
      <c r="BC61" s="28" t="s">
        <v>80</v>
      </c>
      <c r="BD61" s="28" t="s">
        <v>93</v>
      </c>
      <c r="BE61" s="28" t="s">
        <v>113</v>
      </c>
      <c r="BF61" s="28" t="s">
        <v>112</v>
      </c>
      <c r="BG61" s="28" t="s">
        <v>84</v>
      </c>
      <c r="BH61" s="28" t="s">
        <v>84</v>
      </c>
      <c r="BI61" s="28" t="s">
        <v>1780</v>
      </c>
      <c r="BJ61" s="28" t="s">
        <v>84</v>
      </c>
      <c r="BK61" s="28" t="s">
        <v>80</v>
      </c>
      <c r="BL61" s="28">
        <v>3</v>
      </c>
      <c r="BM61" s="28">
        <v>3</v>
      </c>
      <c r="BN61" s="28">
        <v>1</v>
      </c>
      <c r="BO61" s="28">
        <v>1</v>
      </c>
      <c r="BP61" s="28">
        <v>3</v>
      </c>
      <c r="BQ61" s="28">
        <v>3</v>
      </c>
      <c r="BS61" s="28" t="s">
        <v>99</v>
      </c>
      <c r="BT61" s="28"/>
      <c r="BU61" s="28"/>
      <c r="BV61" s="28"/>
      <c r="BX61" s="28" t="s">
        <v>82</v>
      </c>
      <c r="BY61" s="28"/>
      <c r="BZ61" s="28" t="s">
        <v>84</v>
      </c>
      <c r="CA61" s="28"/>
      <c r="CB61" s="28" t="s">
        <v>82</v>
      </c>
      <c r="CC61" s="28"/>
      <c r="CD61" s="28" t="s">
        <v>82</v>
      </c>
      <c r="CE61" s="28"/>
      <c r="CF61" s="28"/>
      <c r="CG61" s="28"/>
      <c r="CI61" s="28" t="s">
        <v>84</v>
      </c>
      <c r="CJ61" s="28"/>
      <c r="CK61" s="28" t="s">
        <v>82</v>
      </c>
      <c r="CL61" s="28"/>
      <c r="CM61" s="28" t="s">
        <v>82</v>
      </c>
      <c r="CN61" s="28"/>
      <c r="CO61" s="28"/>
      <c r="CP61" s="28"/>
      <c r="CQ61" s="28" t="s">
        <v>99</v>
      </c>
      <c r="CR61" s="28" t="s">
        <v>80</v>
      </c>
      <c r="CS61" s="28" t="s">
        <v>1312</v>
      </c>
      <c r="CT61" s="28"/>
      <c r="CU61" s="28" t="s">
        <v>81</v>
      </c>
      <c r="CV61" s="28"/>
      <c r="CW61" s="28" t="s">
        <v>82</v>
      </c>
      <c r="CX61" s="28"/>
      <c r="CY61" s="28" t="s">
        <v>81</v>
      </c>
      <c r="CZ61" s="28" t="s">
        <v>1781</v>
      </c>
      <c r="DA61" s="28" t="s">
        <v>82</v>
      </c>
      <c r="DB61" s="28"/>
      <c r="DC61" s="28" t="s">
        <v>84</v>
      </c>
      <c r="DD61" s="28" t="s">
        <v>84</v>
      </c>
      <c r="DG61" s="28">
        <v>2</v>
      </c>
      <c r="DH61" s="28">
        <v>1</v>
      </c>
      <c r="DI61" s="28">
        <v>2</v>
      </c>
      <c r="DJ61" s="28">
        <v>2</v>
      </c>
      <c r="DK61" s="28">
        <v>3</v>
      </c>
      <c r="DL61" s="28">
        <v>3</v>
      </c>
      <c r="DM61" s="28">
        <v>2</v>
      </c>
      <c r="DN61" s="28">
        <v>2</v>
      </c>
      <c r="DO61" s="28">
        <v>1</v>
      </c>
      <c r="DP61" s="28">
        <v>1</v>
      </c>
      <c r="DQ61" s="28">
        <v>2</v>
      </c>
      <c r="DR61" s="28">
        <v>2</v>
      </c>
      <c r="DS61" s="28" t="s">
        <v>99</v>
      </c>
      <c r="DT61" s="28" t="s">
        <v>82</v>
      </c>
      <c r="DU61" s="28" t="s">
        <v>1782</v>
      </c>
      <c r="DV61" s="28" t="s">
        <v>84</v>
      </c>
      <c r="DW61" s="28" t="s">
        <v>113</v>
      </c>
      <c r="DX61" s="28" t="s">
        <v>81</v>
      </c>
      <c r="DY61" s="28" t="s">
        <v>1783</v>
      </c>
      <c r="DZ61" s="28" t="s">
        <v>100</v>
      </c>
      <c r="EA61" s="28" t="s">
        <v>1784</v>
      </c>
      <c r="EB61" s="28" t="s">
        <v>84</v>
      </c>
      <c r="EC61" s="28"/>
      <c r="ED61" s="28"/>
      <c r="EE61" s="28"/>
      <c r="EF61" s="28" t="s">
        <v>84</v>
      </c>
      <c r="EG61" s="28" t="s">
        <v>84</v>
      </c>
      <c r="EH61" s="28" t="s">
        <v>82</v>
      </c>
      <c r="EI61" s="28"/>
      <c r="EJ61" s="28" t="s">
        <v>1785</v>
      </c>
      <c r="EK61" s="28"/>
      <c r="EL61" s="28"/>
      <c r="EM61" s="11">
        <v>923.4</v>
      </c>
      <c r="EN61" s="11">
        <v>12.83</v>
      </c>
      <c r="EQ61" s="11">
        <v>29.13</v>
      </c>
      <c r="EW61" s="11">
        <v>192.95</v>
      </c>
      <c r="FF61" s="11">
        <v>98.99</v>
      </c>
      <c r="FJ61" s="11">
        <v>11.35</v>
      </c>
      <c r="FP61" s="11">
        <v>16.72</v>
      </c>
      <c r="FV61" s="11">
        <v>101.44</v>
      </c>
      <c r="GC61" s="11">
        <v>137.68</v>
      </c>
      <c r="GT61" s="11">
        <v>181.34</v>
      </c>
      <c r="GX61" s="11">
        <v>24.59</v>
      </c>
      <c r="HB61" s="11">
        <v>116.38</v>
      </c>
      <c r="HQ61" s="62">
        <f t="shared" si="4"/>
        <v>923.4</v>
      </c>
      <c r="HR61" s="62">
        <f t="shared" si="5"/>
        <v>15.389999999999999</v>
      </c>
    </row>
    <row r="62" spans="1:226" ht="12.95" customHeight="1" x14ac:dyDescent="0.2">
      <c r="A62" s="11">
        <v>121</v>
      </c>
      <c r="B62" s="11">
        <v>92</v>
      </c>
      <c r="C62" s="11" t="s">
        <v>83</v>
      </c>
      <c r="D62" s="11">
        <v>11</v>
      </c>
      <c r="E62" s="11" t="s">
        <v>79</v>
      </c>
      <c r="F62" s="11">
        <v>1070378058</v>
      </c>
      <c r="G62" s="11" t="s">
        <v>81</v>
      </c>
      <c r="H62" s="11" t="s">
        <v>84</v>
      </c>
      <c r="I62" s="28" t="s">
        <v>107</v>
      </c>
      <c r="J62" s="28"/>
      <c r="M62" s="28" t="s">
        <v>1319</v>
      </c>
      <c r="N62" s="28" t="s">
        <v>618</v>
      </c>
      <c r="O62" s="28"/>
      <c r="P62" s="28" t="s">
        <v>87</v>
      </c>
      <c r="Q62" s="28" t="s">
        <v>1296</v>
      </c>
      <c r="S62" s="28" t="s">
        <v>84</v>
      </c>
      <c r="T62" s="28" t="s">
        <v>84</v>
      </c>
      <c r="U62" s="28" t="s">
        <v>84</v>
      </c>
      <c r="V62" s="28" t="s">
        <v>84</v>
      </c>
      <c r="W62" s="28" t="s">
        <v>82</v>
      </c>
      <c r="X62" s="28" t="s">
        <v>84</v>
      </c>
      <c r="Y62" s="28" t="s">
        <v>82</v>
      </c>
      <c r="Z62" s="28" t="s">
        <v>82</v>
      </c>
      <c r="AA62" s="28"/>
      <c r="AB62" s="28" t="s">
        <v>82</v>
      </c>
      <c r="AC62" s="28"/>
      <c r="AD62" s="28" t="s">
        <v>84</v>
      </c>
      <c r="AE62" s="28" t="s">
        <v>1786</v>
      </c>
      <c r="AF62" s="28" t="s">
        <v>1787</v>
      </c>
      <c r="AG62" s="28" t="s">
        <v>80</v>
      </c>
      <c r="AH62" s="28"/>
      <c r="AI62" s="28" t="s">
        <v>84</v>
      </c>
      <c r="AJ62" s="28"/>
      <c r="AK62" s="28" t="s">
        <v>1788</v>
      </c>
      <c r="AL62" s="28" t="s">
        <v>126</v>
      </c>
      <c r="AM62" s="28" t="s">
        <v>91</v>
      </c>
      <c r="AN62" s="28"/>
      <c r="AO62" s="28" t="s">
        <v>80</v>
      </c>
      <c r="AQ62" s="28" t="s">
        <v>80</v>
      </c>
      <c r="AR62" s="28" t="s">
        <v>80</v>
      </c>
      <c r="AS62" s="28" t="s">
        <v>80</v>
      </c>
      <c r="AT62" s="28" t="s">
        <v>80</v>
      </c>
      <c r="AU62" s="28"/>
      <c r="AW62" s="28" t="s">
        <v>84</v>
      </c>
      <c r="AX62" s="28" t="s">
        <v>84</v>
      </c>
      <c r="AY62" s="28" t="s">
        <v>82</v>
      </c>
      <c r="AZ62" s="28" t="s">
        <v>84</v>
      </c>
      <c r="BA62" s="28"/>
      <c r="BB62" s="28" t="s">
        <v>84</v>
      </c>
      <c r="BC62" s="28" t="s">
        <v>80</v>
      </c>
      <c r="BD62" s="28" t="s">
        <v>100</v>
      </c>
      <c r="BE62" s="28" t="s">
        <v>113</v>
      </c>
      <c r="BF62" s="28" t="s">
        <v>112</v>
      </c>
      <c r="BG62" s="28" t="s">
        <v>84</v>
      </c>
      <c r="BH62" s="28" t="s">
        <v>84</v>
      </c>
      <c r="BI62" s="28" t="s">
        <v>1789</v>
      </c>
      <c r="BJ62" s="28" t="s">
        <v>84</v>
      </c>
      <c r="BK62" s="28" t="s">
        <v>80</v>
      </c>
      <c r="BL62" s="28">
        <v>1</v>
      </c>
      <c r="BM62" s="28">
        <v>1</v>
      </c>
      <c r="BN62" s="28">
        <v>2</v>
      </c>
      <c r="BO62" s="28">
        <v>1</v>
      </c>
      <c r="BP62" s="28">
        <v>4</v>
      </c>
      <c r="BQ62" s="28">
        <v>3</v>
      </c>
      <c r="BS62" s="28" t="s">
        <v>118</v>
      </c>
      <c r="BT62" s="28"/>
      <c r="BU62" s="28"/>
      <c r="BV62" s="28"/>
      <c r="BX62" s="28" t="s">
        <v>84</v>
      </c>
      <c r="BY62" s="28" t="s">
        <v>1790</v>
      </c>
      <c r="BZ62" s="28" t="s">
        <v>84</v>
      </c>
      <c r="CA62" s="28" t="s">
        <v>1791</v>
      </c>
      <c r="CB62" s="28" t="s">
        <v>84</v>
      </c>
      <c r="CC62" s="28" t="s">
        <v>1792</v>
      </c>
      <c r="CD62" s="28" t="s">
        <v>82</v>
      </c>
      <c r="CE62" s="28"/>
      <c r="CF62" s="28"/>
      <c r="CG62" s="28"/>
      <c r="CI62" s="28" t="s">
        <v>84</v>
      </c>
      <c r="CJ62" s="28" t="s">
        <v>1793</v>
      </c>
      <c r="CK62" s="28" t="s">
        <v>84</v>
      </c>
      <c r="CL62" s="28"/>
      <c r="CM62" s="28" t="s">
        <v>84</v>
      </c>
      <c r="CN62" s="28"/>
      <c r="CO62" s="28"/>
      <c r="CP62" s="28"/>
      <c r="CQ62" s="28" t="s">
        <v>118</v>
      </c>
      <c r="CR62" s="28" t="s">
        <v>84</v>
      </c>
      <c r="CS62" s="28" t="s">
        <v>97</v>
      </c>
      <c r="CT62" s="28"/>
      <c r="CU62" s="28" t="s">
        <v>246</v>
      </c>
      <c r="CV62" s="28"/>
      <c r="CW62" s="28" t="s">
        <v>84</v>
      </c>
      <c r="CX62" s="28" t="s">
        <v>1794</v>
      </c>
      <c r="CY62" s="28"/>
      <c r="CZ62" s="28"/>
      <c r="DA62" s="28" t="s">
        <v>82</v>
      </c>
      <c r="DB62" s="28"/>
      <c r="DC62" s="28" t="s">
        <v>84</v>
      </c>
      <c r="DD62" s="28" t="s">
        <v>84</v>
      </c>
      <c r="DG62" s="28">
        <v>2</v>
      </c>
      <c r="DH62" s="28">
        <v>2</v>
      </c>
      <c r="DI62" s="28">
        <v>2</v>
      </c>
      <c r="DJ62" s="28">
        <v>1</v>
      </c>
      <c r="DK62" s="28">
        <v>2</v>
      </c>
      <c r="DL62" s="28">
        <v>2</v>
      </c>
      <c r="DM62" s="28">
        <v>1</v>
      </c>
      <c r="DN62" s="28">
        <v>1</v>
      </c>
      <c r="DO62" s="28">
        <v>1</v>
      </c>
      <c r="DP62" s="28">
        <v>1</v>
      </c>
      <c r="DQ62" s="28">
        <v>1</v>
      </c>
      <c r="DR62" s="28">
        <v>1</v>
      </c>
      <c r="DS62" s="28" t="s">
        <v>97</v>
      </c>
      <c r="DT62" s="28" t="s">
        <v>84</v>
      </c>
      <c r="DU62" s="28"/>
      <c r="DV62" s="28" t="s">
        <v>84</v>
      </c>
      <c r="DW62" s="28" t="s">
        <v>113</v>
      </c>
      <c r="DX62" s="28" t="s">
        <v>81</v>
      </c>
      <c r="DY62" s="28" t="s">
        <v>1795</v>
      </c>
      <c r="DZ62" s="28" t="s">
        <v>113</v>
      </c>
      <c r="EA62" s="28" t="s">
        <v>1796</v>
      </c>
      <c r="EB62" s="28" t="s">
        <v>82</v>
      </c>
      <c r="EC62" s="28"/>
      <c r="ED62" s="28" t="s">
        <v>246</v>
      </c>
      <c r="EE62" s="28" t="s">
        <v>1797</v>
      </c>
      <c r="EF62" s="28" t="s">
        <v>84</v>
      </c>
      <c r="EG62" s="28" t="s">
        <v>84</v>
      </c>
      <c r="EH62" s="28" t="s">
        <v>82</v>
      </c>
      <c r="EI62" s="28"/>
      <c r="EJ62" s="28" t="s">
        <v>1798</v>
      </c>
      <c r="EK62" s="28" t="s">
        <v>1799</v>
      </c>
      <c r="EL62" s="28" t="s">
        <v>1800</v>
      </c>
      <c r="EM62" s="11">
        <v>3676.56</v>
      </c>
      <c r="EN62" s="11">
        <v>23.43</v>
      </c>
      <c r="EQ62" s="11">
        <v>666.74</v>
      </c>
      <c r="EW62" s="11">
        <v>257.79000000000002</v>
      </c>
      <c r="FF62" s="11">
        <v>103.79</v>
      </c>
      <c r="FJ62" s="11">
        <v>21.83</v>
      </c>
      <c r="FP62" s="11">
        <v>75.17</v>
      </c>
      <c r="FV62" s="11">
        <v>378.35</v>
      </c>
      <c r="GC62" s="11">
        <v>1478.18</v>
      </c>
      <c r="GT62" s="11">
        <v>28.81</v>
      </c>
      <c r="GX62" s="11">
        <v>127.09</v>
      </c>
      <c r="HB62" s="11">
        <v>515.38</v>
      </c>
      <c r="HQ62" s="62">
        <f t="shared" si="4"/>
        <v>3676.56</v>
      </c>
      <c r="HR62" s="62">
        <f t="shared" si="5"/>
        <v>61.275999999999996</v>
      </c>
    </row>
    <row r="63" spans="1:226" ht="12.95" customHeight="1" x14ac:dyDescent="0.2">
      <c r="A63" s="11">
        <v>122</v>
      </c>
      <c r="B63" s="11">
        <v>93</v>
      </c>
      <c r="C63" s="11" t="s">
        <v>83</v>
      </c>
      <c r="D63" s="11">
        <v>11</v>
      </c>
      <c r="E63" s="11" t="s">
        <v>79</v>
      </c>
      <c r="F63" s="11">
        <v>1103371484</v>
      </c>
      <c r="G63" s="11" t="s">
        <v>81</v>
      </c>
      <c r="H63" s="11" t="s">
        <v>84</v>
      </c>
      <c r="I63" s="28" t="s">
        <v>119</v>
      </c>
      <c r="J63" s="28" t="s">
        <v>1801</v>
      </c>
      <c r="M63" s="28" t="s">
        <v>1319</v>
      </c>
      <c r="N63" s="28" t="s">
        <v>618</v>
      </c>
      <c r="O63" s="28"/>
      <c r="P63" s="28" t="s">
        <v>87</v>
      </c>
      <c r="Q63" s="28" t="s">
        <v>1296</v>
      </c>
      <c r="S63" s="28" t="s">
        <v>84</v>
      </c>
      <c r="T63" s="28" t="s">
        <v>84</v>
      </c>
      <c r="U63" s="28" t="s">
        <v>82</v>
      </c>
      <c r="V63" s="28" t="s">
        <v>84</v>
      </c>
      <c r="W63" s="28" t="s">
        <v>84</v>
      </c>
      <c r="X63" s="28" t="s">
        <v>82</v>
      </c>
      <c r="Y63" s="28" t="s">
        <v>82</v>
      </c>
      <c r="Z63" s="28" t="s">
        <v>84</v>
      </c>
      <c r="AA63" s="28"/>
      <c r="AB63" s="28" t="s">
        <v>82</v>
      </c>
      <c r="AC63" s="28"/>
      <c r="AD63" s="28" t="s">
        <v>82</v>
      </c>
      <c r="AE63" s="28"/>
      <c r="AF63" s="28"/>
      <c r="AG63" s="28" t="s">
        <v>84</v>
      </c>
      <c r="AH63" s="28"/>
      <c r="AI63" s="28" t="s">
        <v>84</v>
      </c>
      <c r="AJ63" s="28" t="s">
        <v>1802</v>
      </c>
      <c r="AK63" s="28"/>
      <c r="AL63" s="28" t="s">
        <v>126</v>
      </c>
      <c r="AM63" s="28" t="s">
        <v>91</v>
      </c>
      <c r="AN63" s="28"/>
      <c r="AO63" s="28" t="s">
        <v>80</v>
      </c>
      <c r="AQ63" s="28" t="s">
        <v>80</v>
      </c>
      <c r="AR63" s="28" t="s">
        <v>80</v>
      </c>
      <c r="AS63" s="28" t="s">
        <v>80</v>
      </c>
      <c r="AT63" s="28" t="s">
        <v>80</v>
      </c>
      <c r="AU63" s="28"/>
      <c r="AW63" s="28" t="s">
        <v>84</v>
      </c>
      <c r="AX63" s="28" t="s">
        <v>82</v>
      </c>
      <c r="AY63" s="28" t="s">
        <v>84</v>
      </c>
      <c r="AZ63" s="28" t="s">
        <v>82</v>
      </c>
      <c r="BA63" s="28"/>
      <c r="BB63" s="28" t="s">
        <v>84</v>
      </c>
      <c r="BC63" s="28" t="s">
        <v>80</v>
      </c>
      <c r="BD63" s="28" t="s">
        <v>113</v>
      </c>
      <c r="BE63" s="28" t="s">
        <v>113</v>
      </c>
      <c r="BF63" s="28" t="s">
        <v>112</v>
      </c>
      <c r="BG63" s="28" t="s">
        <v>84</v>
      </c>
      <c r="BH63" s="28" t="s">
        <v>82</v>
      </c>
      <c r="BI63" s="28"/>
      <c r="BJ63" s="28" t="s">
        <v>84</v>
      </c>
      <c r="BK63" s="28" t="s">
        <v>80</v>
      </c>
      <c r="BL63" s="28">
        <v>5</v>
      </c>
      <c r="BM63" s="28">
        <v>4</v>
      </c>
      <c r="BN63" s="28">
        <v>2</v>
      </c>
      <c r="BO63" s="28">
        <v>1</v>
      </c>
      <c r="BP63" s="28">
        <v>4</v>
      </c>
      <c r="BQ63" s="28">
        <v>4</v>
      </c>
      <c r="BS63" s="28" t="s">
        <v>99</v>
      </c>
      <c r="BT63" s="28"/>
      <c r="BU63" s="28"/>
      <c r="BV63" s="28"/>
      <c r="BX63" s="28" t="s">
        <v>82</v>
      </c>
      <c r="BY63" s="28"/>
      <c r="BZ63" s="28" t="s">
        <v>84</v>
      </c>
      <c r="CA63" s="28"/>
      <c r="CB63" s="28" t="s">
        <v>82</v>
      </c>
      <c r="CC63" s="28"/>
      <c r="CD63" s="28" t="s">
        <v>82</v>
      </c>
      <c r="CE63" s="28"/>
      <c r="CF63" s="28"/>
      <c r="CG63" s="28"/>
      <c r="CI63" s="28" t="s">
        <v>84</v>
      </c>
      <c r="CJ63" s="28"/>
      <c r="CK63" s="28" t="s">
        <v>82</v>
      </c>
      <c r="CL63" s="28"/>
      <c r="CM63" s="28" t="s">
        <v>82</v>
      </c>
      <c r="CN63" s="28"/>
      <c r="CO63" s="28"/>
      <c r="CP63" s="28"/>
      <c r="CQ63" s="28" t="s">
        <v>99</v>
      </c>
      <c r="CR63" s="28" t="s">
        <v>80</v>
      </c>
      <c r="CS63" s="28" t="s">
        <v>99</v>
      </c>
      <c r="CT63" s="28"/>
      <c r="CU63" s="28"/>
      <c r="CV63" s="28"/>
      <c r="CW63" s="28" t="s">
        <v>82</v>
      </c>
      <c r="CX63" s="28"/>
      <c r="CY63" s="28" t="s">
        <v>81</v>
      </c>
      <c r="CZ63" s="28"/>
      <c r="DA63" s="28" t="s">
        <v>82</v>
      </c>
      <c r="DB63" s="28"/>
      <c r="DC63" s="28" t="s">
        <v>84</v>
      </c>
      <c r="DD63" s="28" t="s">
        <v>84</v>
      </c>
      <c r="DG63" s="28">
        <v>2</v>
      </c>
      <c r="DH63" s="28">
        <v>1</v>
      </c>
      <c r="DI63" s="28">
        <v>2</v>
      </c>
      <c r="DJ63" s="28">
        <v>1</v>
      </c>
      <c r="DK63" s="28">
        <v>4</v>
      </c>
      <c r="DL63" s="28">
        <v>1</v>
      </c>
      <c r="DM63" s="28">
        <v>1</v>
      </c>
      <c r="DN63" s="28">
        <v>3</v>
      </c>
      <c r="DO63" s="28">
        <v>1</v>
      </c>
      <c r="DP63" s="28">
        <v>3</v>
      </c>
      <c r="DQ63" s="28">
        <v>2</v>
      </c>
      <c r="DR63" s="28">
        <v>1</v>
      </c>
      <c r="DS63" s="28" t="s">
        <v>99</v>
      </c>
      <c r="DT63" s="28" t="s">
        <v>106</v>
      </c>
      <c r="DU63" s="28"/>
      <c r="DV63" s="28" t="s">
        <v>84</v>
      </c>
      <c r="DW63" s="28" t="s">
        <v>113</v>
      </c>
      <c r="DX63" s="28" t="s">
        <v>81</v>
      </c>
      <c r="DY63" s="28"/>
      <c r="DZ63" s="28" t="s">
        <v>113</v>
      </c>
      <c r="EA63" s="28"/>
      <c r="EB63" s="28" t="s">
        <v>82</v>
      </c>
      <c r="EC63" s="28"/>
      <c r="ED63" s="28" t="s">
        <v>81</v>
      </c>
      <c r="EE63" s="28"/>
      <c r="EF63" s="28" t="s">
        <v>82</v>
      </c>
      <c r="EG63" s="28" t="s">
        <v>82</v>
      </c>
      <c r="EH63" s="28" t="s">
        <v>82</v>
      </c>
      <c r="EI63" s="28"/>
      <c r="EJ63" s="28"/>
      <c r="EK63" s="28"/>
      <c r="EL63" s="28"/>
      <c r="EM63" s="11">
        <v>899.86</v>
      </c>
      <c r="EN63" s="11">
        <v>34.020000000000003</v>
      </c>
      <c r="EQ63" s="11">
        <v>176.11</v>
      </c>
      <c r="EW63" s="11">
        <v>48.19</v>
      </c>
      <c r="FF63" s="11">
        <v>152.32</v>
      </c>
      <c r="FJ63" s="11">
        <v>16.239999999999998</v>
      </c>
      <c r="FP63" s="11">
        <v>41.43</v>
      </c>
      <c r="FV63" s="11">
        <v>153.19999999999999</v>
      </c>
      <c r="GC63" s="11">
        <v>174.28</v>
      </c>
      <c r="GT63" s="11">
        <v>17.39</v>
      </c>
      <c r="GX63" s="11">
        <v>23.17</v>
      </c>
      <c r="HB63" s="11">
        <v>63.51</v>
      </c>
      <c r="HQ63" s="62">
        <f t="shared" si="4"/>
        <v>899.86</v>
      </c>
      <c r="HR63" s="62">
        <f t="shared" si="5"/>
        <v>14.997666666666667</v>
      </c>
    </row>
    <row r="64" spans="1:226" ht="12.95" customHeight="1" x14ac:dyDescent="0.2">
      <c r="A64" s="11">
        <v>123</v>
      </c>
      <c r="B64" s="11">
        <v>94</v>
      </c>
      <c r="C64" s="11" t="s">
        <v>83</v>
      </c>
      <c r="D64" s="11">
        <v>11</v>
      </c>
      <c r="E64" s="11" t="s">
        <v>79</v>
      </c>
      <c r="F64" s="11">
        <v>582532729</v>
      </c>
      <c r="G64" s="11" t="s">
        <v>81</v>
      </c>
      <c r="H64" s="11" t="s">
        <v>84</v>
      </c>
      <c r="I64" s="28" t="s">
        <v>119</v>
      </c>
      <c r="J64" s="28" t="s">
        <v>1803</v>
      </c>
      <c r="M64" s="28" t="s">
        <v>1319</v>
      </c>
      <c r="N64" s="28" t="s">
        <v>618</v>
      </c>
      <c r="O64" s="28"/>
      <c r="P64" s="28" t="s">
        <v>253</v>
      </c>
      <c r="Q64" s="28" t="s">
        <v>1358</v>
      </c>
      <c r="S64" s="28" t="s">
        <v>84</v>
      </c>
      <c r="T64" s="28" t="s">
        <v>84</v>
      </c>
      <c r="U64" s="28" t="s">
        <v>84</v>
      </c>
      <c r="V64" s="28" t="s">
        <v>84</v>
      </c>
      <c r="W64" s="28" t="s">
        <v>82</v>
      </c>
      <c r="X64" s="28" t="s">
        <v>84</v>
      </c>
      <c r="Y64" s="28" t="s">
        <v>84</v>
      </c>
      <c r="Z64" s="28" t="s">
        <v>84</v>
      </c>
      <c r="AA64" s="28"/>
      <c r="AB64" s="28" t="s">
        <v>84</v>
      </c>
      <c r="AC64" s="28" t="s">
        <v>1804</v>
      </c>
      <c r="AD64" s="28" t="s">
        <v>84</v>
      </c>
      <c r="AE64" s="28" t="s">
        <v>1805</v>
      </c>
      <c r="AF64" s="28" t="s">
        <v>1806</v>
      </c>
      <c r="AG64" s="28" t="s">
        <v>80</v>
      </c>
      <c r="AH64" s="28"/>
      <c r="AI64" s="28" t="s">
        <v>84</v>
      </c>
      <c r="AJ64" s="28"/>
      <c r="AK64" s="28" t="s">
        <v>1807</v>
      </c>
      <c r="AL64" s="28" t="s">
        <v>126</v>
      </c>
      <c r="AM64" s="28" t="s">
        <v>91</v>
      </c>
      <c r="AN64" s="28"/>
      <c r="AO64" s="28" t="s">
        <v>80</v>
      </c>
      <c r="AQ64" s="28" t="s">
        <v>80</v>
      </c>
      <c r="AR64" s="28" t="s">
        <v>80</v>
      </c>
      <c r="AS64" s="28" t="s">
        <v>80</v>
      </c>
      <c r="AT64" s="28" t="s">
        <v>80</v>
      </c>
      <c r="AU64" s="28"/>
      <c r="AW64" s="28" t="s">
        <v>84</v>
      </c>
      <c r="AX64" s="28" t="s">
        <v>82</v>
      </c>
      <c r="AY64" s="28" t="s">
        <v>84</v>
      </c>
      <c r="AZ64" s="28" t="s">
        <v>84</v>
      </c>
      <c r="BA64" s="28"/>
      <c r="BB64" s="28" t="s">
        <v>84</v>
      </c>
      <c r="BC64" s="28" t="s">
        <v>80</v>
      </c>
      <c r="BD64" s="28" t="s">
        <v>113</v>
      </c>
      <c r="BE64" s="28" t="s">
        <v>113</v>
      </c>
      <c r="BF64" s="28" t="s">
        <v>112</v>
      </c>
      <c r="BG64" s="28" t="s">
        <v>82</v>
      </c>
      <c r="BH64" s="28" t="s">
        <v>84</v>
      </c>
      <c r="BI64" s="28" t="s">
        <v>1808</v>
      </c>
      <c r="BJ64" s="28" t="s">
        <v>84</v>
      </c>
      <c r="BK64" s="28" t="s">
        <v>80</v>
      </c>
      <c r="BL64" s="28">
        <v>3</v>
      </c>
      <c r="BM64" s="28">
        <v>2</v>
      </c>
      <c r="BN64" s="28">
        <v>2</v>
      </c>
      <c r="BO64" s="28">
        <v>1</v>
      </c>
      <c r="BP64" s="28">
        <v>4</v>
      </c>
      <c r="BQ64" s="28">
        <v>3</v>
      </c>
      <c r="BS64" s="28" t="s">
        <v>99</v>
      </c>
      <c r="BT64" s="28"/>
      <c r="BU64" s="28"/>
      <c r="BV64" s="28"/>
      <c r="BX64" s="28" t="s">
        <v>84</v>
      </c>
      <c r="BY64" s="28"/>
      <c r="BZ64" s="28" t="s">
        <v>84</v>
      </c>
      <c r="CA64" s="28"/>
      <c r="CB64" s="28" t="s">
        <v>82</v>
      </c>
      <c r="CC64" s="28"/>
      <c r="CD64" s="28" t="s">
        <v>82</v>
      </c>
      <c r="CE64" s="28"/>
      <c r="CF64" s="28"/>
      <c r="CG64" s="28"/>
      <c r="CI64" s="28" t="s">
        <v>84</v>
      </c>
      <c r="CJ64" s="28"/>
      <c r="CK64" s="28" t="s">
        <v>84</v>
      </c>
      <c r="CL64" s="28"/>
      <c r="CM64" s="28" t="s">
        <v>84</v>
      </c>
      <c r="CN64" s="28"/>
      <c r="CO64" s="28"/>
      <c r="CP64" s="28"/>
      <c r="CQ64" s="28" t="s">
        <v>118</v>
      </c>
      <c r="CR64" s="28" t="s">
        <v>84</v>
      </c>
      <c r="CS64" s="28" t="s">
        <v>1312</v>
      </c>
      <c r="CT64" s="28" t="s">
        <v>1809</v>
      </c>
      <c r="CU64" s="28" t="s">
        <v>246</v>
      </c>
      <c r="CV64" s="28" t="s">
        <v>1810</v>
      </c>
      <c r="CW64" s="28" t="s">
        <v>82</v>
      </c>
      <c r="CX64" s="28"/>
      <c r="CY64" s="28" t="s">
        <v>81</v>
      </c>
      <c r="CZ64" s="28"/>
      <c r="DA64" s="28" t="s">
        <v>82</v>
      </c>
      <c r="DB64" s="28"/>
      <c r="DC64" s="28" t="s">
        <v>84</v>
      </c>
      <c r="DD64" s="28" t="s">
        <v>84</v>
      </c>
      <c r="DG64" s="28">
        <v>3</v>
      </c>
      <c r="DH64" s="28">
        <v>1</v>
      </c>
      <c r="DI64" s="28">
        <v>3</v>
      </c>
      <c r="DJ64" s="28">
        <v>1</v>
      </c>
      <c r="DK64" s="28">
        <v>3</v>
      </c>
      <c r="DL64" s="28">
        <v>2</v>
      </c>
      <c r="DM64" s="28">
        <v>3</v>
      </c>
      <c r="DN64" s="28">
        <v>1</v>
      </c>
      <c r="DO64" s="28">
        <v>2</v>
      </c>
      <c r="DP64" s="28">
        <v>1</v>
      </c>
      <c r="DQ64" s="28">
        <v>2</v>
      </c>
      <c r="DR64" s="28">
        <v>1</v>
      </c>
      <c r="DS64" s="28" t="s">
        <v>118</v>
      </c>
      <c r="DT64" s="28" t="s">
        <v>82</v>
      </c>
      <c r="DU64" s="28" t="s">
        <v>1811</v>
      </c>
      <c r="DV64" s="28" t="s">
        <v>84</v>
      </c>
      <c r="DW64" s="28" t="s">
        <v>113</v>
      </c>
      <c r="DX64" s="28" t="s">
        <v>81</v>
      </c>
      <c r="DY64" s="28" t="s">
        <v>1812</v>
      </c>
      <c r="DZ64" s="28" t="s">
        <v>113</v>
      </c>
      <c r="EA64" s="28" t="s">
        <v>1813</v>
      </c>
      <c r="EB64" s="28" t="s">
        <v>82</v>
      </c>
      <c r="EC64" s="28"/>
      <c r="ED64" s="28" t="s">
        <v>81</v>
      </c>
      <c r="EE64" s="28" t="s">
        <v>1814</v>
      </c>
      <c r="EF64" s="28" t="s">
        <v>82</v>
      </c>
      <c r="EG64" s="28" t="s">
        <v>82</v>
      </c>
      <c r="EH64" s="28" t="s">
        <v>82</v>
      </c>
      <c r="EI64" s="28"/>
      <c r="EJ64" s="28" t="s">
        <v>1815</v>
      </c>
      <c r="EK64" s="28" t="s">
        <v>1816</v>
      </c>
      <c r="EL64" s="28"/>
      <c r="EM64" s="11">
        <v>1042.8</v>
      </c>
      <c r="EN64" s="11">
        <v>29.18</v>
      </c>
      <c r="EQ64" s="11">
        <v>92.34</v>
      </c>
      <c r="EW64" s="11">
        <v>109.55</v>
      </c>
      <c r="FF64" s="11">
        <v>91.83</v>
      </c>
      <c r="FJ64" s="11">
        <v>29.18</v>
      </c>
      <c r="FP64" s="11">
        <v>41.84</v>
      </c>
      <c r="FV64" s="11">
        <v>119.43</v>
      </c>
      <c r="GC64" s="11">
        <v>236.77</v>
      </c>
      <c r="GT64" s="11">
        <v>44.57</v>
      </c>
      <c r="GX64" s="11">
        <v>39.020000000000003</v>
      </c>
      <c r="HB64" s="11">
        <v>209.09</v>
      </c>
      <c r="HQ64" s="62">
        <f t="shared" si="4"/>
        <v>1042.8</v>
      </c>
      <c r="HR64" s="62">
        <f t="shared" si="5"/>
        <v>17.38</v>
      </c>
    </row>
    <row r="65" spans="1:226" ht="12.95" customHeight="1" x14ac:dyDescent="0.2">
      <c r="A65" s="11">
        <v>124</v>
      </c>
      <c r="B65" s="11">
        <v>95</v>
      </c>
      <c r="C65" s="11" t="s">
        <v>83</v>
      </c>
      <c r="D65" s="11">
        <v>11</v>
      </c>
      <c r="E65" s="11" t="s">
        <v>79</v>
      </c>
      <c r="F65" s="11">
        <v>1736028523</v>
      </c>
      <c r="G65" s="11" t="s">
        <v>81</v>
      </c>
      <c r="H65" s="11" t="s">
        <v>84</v>
      </c>
      <c r="I65" s="28" t="s">
        <v>309</v>
      </c>
      <c r="J65" s="28"/>
      <c r="M65" s="28" t="s">
        <v>1294</v>
      </c>
      <c r="N65" s="28" t="s">
        <v>106</v>
      </c>
      <c r="O65" s="28"/>
      <c r="P65" s="28" t="s">
        <v>87</v>
      </c>
      <c r="Q65" s="28" t="s">
        <v>1296</v>
      </c>
      <c r="S65" s="28" t="s">
        <v>84</v>
      </c>
      <c r="T65" s="28" t="s">
        <v>84</v>
      </c>
      <c r="U65" s="28" t="s">
        <v>84</v>
      </c>
      <c r="V65" s="28" t="s">
        <v>84</v>
      </c>
      <c r="W65" s="28" t="s">
        <v>82</v>
      </c>
      <c r="X65" s="28" t="s">
        <v>84</v>
      </c>
      <c r="Y65" s="28" t="s">
        <v>84</v>
      </c>
      <c r="Z65" s="28" t="s">
        <v>82</v>
      </c>
      <c r="AA65" s="28"/>
      <c r="AB65" s="28" t="s">
        <v>82</v>
      </c>
      <c r="AC65" s="28"/>
      <c r="AD65" s="28" t="s">
        <v>84</v>
      </c>
      <c r="AE65" s="28" t="s">
        <v>1817</v>
      </c>
      <c r="AF65" s="28"/>
      <c r="AG65" s="28" t="s">
        <v>80</v>
      </c>
      <c r="AH65" s="28"/>
      <c r="AI65" s="28" t="s">
        <v>84</v>
      </c>
      <c r="AJ65" s="28" t="s">
        <v>1818</v>
      </c>
      <c r="AK65" s="28" t="s">
        <v>1819</v>
      </c>
      <c r="AL65" s="28" t="s">
        <v>126</v>
      </c>
      <c r="AM65" s="28" t="s">
        <v>111</v>
      </c>
      <c r="AN65" s="28"/>
      <c r="AO65" s="28" t="s">
        <v>80</v>
      </c>
      <c r="AQ65" s="28" t="s">
        <v>84</v>
      </c>
      <c r="AR65" s="28" t="s">
        <v>84</v>
      </c>
      <c r="AS65" s="28" t="s">
        <v>84</v>
      </c>
      <c r="AT65" s="28" t="s">
        <v>84</v>
      </c>
      <c r="AU65" s="28"/>
      <c r="AW65" s="28" t="s">
        <v>80</v>
      </c>
      <c r="AX65" s="28" t="s">
        <v>80</v>
      </c>
      <c r="AY65" s="28" t="s">
        <v>80</v>
      </c>
      <c r="AZ65" s="28" t="s">
        <v>80</v>
      </c>
      <c r="BA65" s="28"/>
      <c r="BB65" s="28" t="s">
        <v>84</v>
      </c>
      <c r="BC65" s="28" t="s">
        <v>80</v>
      </c>
      <c r="BD65" s="28" t="s">
        <v>100</v>
      </c>
      <c r="BE65" s="28" t="s">
        <v>100</v>
      </c>
      <c r="BF65" s="28" t="s">
        <v>112</v>
      </c>
      <c r="BG65" s="28" t="s">
        <v>82</v>
      </c>
      <c r="BH65" s="28" t="s">
        <v>84</v>
      </c>
      <c r="BI65" s="28"/>
      <c r="BJ65" s="28" t="s">
        <v>84</v>
      </c>
      <c r="BK65" s="28" t="s">
        <v>80</v>
      </c>
      <c r="BL65" s="28">
        <v>3</v>
      </c>
      <c r="BM65" s="28">
        <v>1</v>
      </c>
      <c r="BN65" s="28">
        <v>4</v>
      </c>
      <c r="BO65" s="28">
        <v>1</v>
      </c>
      <c r="BP65" s="28">
        <v>4</v>
      </c>
      <c r="BQ65" s="28">
        <v>1</v>
      </c>
      <c r="BS65" s="28" t="s">
        <v>118</v>
      </c>
      <c r="BT65" s="28"/>
      <c r="BU65" s="28"/>
      <c r="BV65" s="28"/>
      <c r="BX65" s="28" t="s">
        <v>82</v>
      </c>
      <c r="BY65" s="28"/>
      <c r="BZ65" s="28" t="s">
        <v>84</v>
      </c>
      <c r="CA65" s="28" t="s">
        <v>423</v>
      </c>
      <c r="CB65" s="28" t="s">
        <v>82</v>
      </c>
      <c r="CC65" s="28"/>
      <c r="CD65" s="28" t="s">
        <v>82</v>
      </c>
      <c r="CE65" s="28"/>
      <c r="CF65" s="28"/>
      <c r="CG65" s="28"/>
      <c r="CI65" s="28" t="s">
        <v>84</v>
      </c>
      <c r="CJ65" s="28" t="s">
        <v>1820</v>
      </c>
      <c r="CK65" s="28" t="s">
        <v>82</v>
      </c>
      <c r="CL65" s="28"/>
      <c r="CM65" s="28" t="s">
        <v>82</v>
      </c>
      <c r="CN65" s="28"/>
      <c r="CO65" s="28"/>
      <c r="CP65" s="28"/>
      <c r="CQ65" s="28" t="s">
        <v>99</v>
      </c>
      <c r="CR65" s="28" t="s">
        <v>80</v>
      </c>
      <c r="CS65" s="28" t="s">
        <v>97</v>
      </c>
      <c r="CT65" s="28"/>
      <c r="CU65" s="28" t="s">
        <v>246</v>
      </c>
      <c r="CV65" s="28" t="s">
        <v>1821</v>
      </c>
      <c r="CW65" s="28" t="s">
        <v>84</v>
      </c>
      <c r="CX65" s="28" t="s">
        <v>1822</v>
      </c>
      <c r="CY65" s="28"/>
      <c r="CZ65" s="28"/>
      <c r="DA65" s="28" t="s">
        <v>84</v>
      </c>
      <c r="DB65" s="28" t="s">
        <v>1823</v>
      </c>
      <c r="DC65" s="28" t="s">
        <v>84</v>
      </c>
      <c r="DD65" s="28" t="s">
        <v>84</v>
      </c>
      <c r="DG65" s="28">
        <v>1</v>
      </c>
      <c r="DH65" s="28">
        <v>1</v>
      </c>
      <c r="DI65" s="28">
        <v>2</v>
      </c>
      <c r="DJ65" s="28">
        <v>1</v>
      </c>
      <c r="DK65" s="28">
        <v>4</v>
      </c>
      <c r="DL65" s="28">
        <v>2</v>
      </c>
      <c r="DM65" s="28">
        <v>1</v>
      </c>
      <c r="DN65" s="28">
        <v>1</v>
      </c>
      <c r="DO65" s="28">
        <v>4</v>
      </c>
      <c r="DP65" s="28">
        <v>2</v>
      </c>
      <c r="DQ65" s="28">
        <v>2</v>
      </c>
      <c r="DR65" s="28">
        <v>1</v>
      </c>
      <c r="DS65" s="28" t="s">
        <v>99</v>
      </c>
      <c r="DT65" s="28" t="s">
        <v>84</v>
      </c>
      <c r="DU65" s="28"/>
      <c r="DV65" s="28" t="s">
        <v>84</v>
      </c>
      <c r="DW65" s="28" t="s">
        <v>113</v>
      </c>
      <c r="DX65" s="28" t="s">
        <v>81</v>
      </c>
      <c r="DY65" s="28" t="s">
        <v>1824</v>
      </c>
      <c r="DZ65" s="28" t="s">
        <v>113</v>
      </c>
      <c r="EA65" s="28" t="s">
        <v>1825</v>
      </c>
      <c r="EB65" s="28" t="s">
        <v>82</v>
      </c>
      <c r="EC65" s="28"/>
      <c r="ED65" s="28" t="s">
        <v>81</v>
      </c>
      <c r="EE65" s="28"/>
      <c r="EF65" s="28" t="s">
        <v>82</v>
      </c>
      <c r="EG65" s="28" t="s">
        <v>82</v>
      </c>
      <c r="EH65" s="28" t="s">
        <v>84</v>
      </c>
      <c r="EI65" s="28" t="s">
        <v>1826</v>
      </c>
      <c r="EJ65" s="28" t="s">
        <v>1827</v>
      </c>
      <c r="EK65" s="28" t="s">
        <v>1828</v>
      </c>
      <c r="EL65" s="28" t="s">
        <v>1829</v>
      </c>
      <c r="EM65" s="11">
        <v>1027.82</v>
      </c>
      <c r="EN65" s="11">
        <v>23.33</v>
      </c>
      <c r="EQ65" s="11">
        <v>154.72999999999999</v>
      </c>
      <c r="EW65" s="11">
        <v>40.04</v>
      </c>
      <c r="FF65" s="11">
        <v>93.31</v>
      </c>
      <c r="FJ65" s="11">
        <v>15.01</v>
      </c>
      <c r="FP65" s="11">
        <v>33.57</v>
      </c>
      <c r="FV65" s="11">
        <v>100.82</v>
      </c>
      <c r="GC65" s="11">
        <v>246.18</v>
      </c>
      <c r="GT65" s="11">
        <v>12.02</v>
      </c>
      <c r="GX65" s="11">
        <v>56.86</v>
      </c>
      <c r="HB65" s="11">
        <v>251.95</v>
      </c>
      <c r="HQ65" s="62">
        <f t="shared" si="4"/>
        <v>1027.82</v>
      </c>
      <c r="HR65" s="62">
        <f t="shared" si="5"/>
        <v>17.130333333333333</v>
      </c>
    </row>
    <row r="66" spans="1:226" ht="12.95" customHeight="1" x14ac:dyDescent="0.2">
      <c r="A66" s="11">
        <v>125</v>
      </c>
      <c r="B66" s="11">
        <v>96</v>
      </c>
      <c r="C66" s="11" t="s">
        <v>83</v>
      </c>
      <c r="D66" s="11">
        <v>11</v>
      </c>
      <c r="E66" s="11" t="s">
        <v>79</v>
      </c>
      <c r="F66" s="11">
        <v>1240598113</v>
      </c>
      <c r="G66" s="11" t="s">
        <v>81</v>
      </c>
      <c r="H66" s="11" t="s">
        <v>84</v>
      </c>
      <c r="I66" s="28" t="s">
        <v>161</v>
      </c>
      <c r="J66" s="28"/>
      <c r="M66" s="28" t="s">
        <v>1319</v>
      </c>
      <c r="N66" s="28" t="s">
        <v>108</v>
      </c>
      <c r="O66" s="28"/>
      <c r="P66" s="28" t="s">
        <v>632</v>
      </c>
      <c r="Q66" s="28" t="s">
        <v>1375</v>
      </c>
      <c r="S66" s="28" t="s">
        <v>84</v>
      </c>
      <c r="T66" s="28" t="s">
        <v>84</v>
      </c>
      <c r="U66" s="28" t="s">
        <v>84</v>
      </c>
      <c r="V66" s="28" t="s">
        <v>82</v>
      </c>
      <c r="W66" s="28" t="s">
        <v>82</v>
      </c>
      <c r="X66" s="28" t="s">
        <v>84</v>
      </c>
      <c r="Y66" s="28" t="s">
        <v>82</v>
      </c>
      <c r="Z66" s="28" t="s">
        <v>82</v>
      </c>
      <c r="AA66" s="28"/>
      <c r="AB66" s="28" t="s">
        <v>84</v>
      </c>
      <c r="AC66" s="28"/>
      <c r="AD66" s="28" t="s">
        <v>84</v>
      </c>
      <c r="AE66" s="28" t="s">
        <v>1830</v>
      </c>
      <c r="AF66" s="28"/>
      <c r="AG66" s="28" t="s">
        <v>80</v>
      </c>
      <c r="AH66" s="28"/>
      <c r="AI66" s="28" t="s">
        <v>84</v>
      </c>
      <c r="AJ66" s="28"/>
      <c r="AK66" s="28"/>
      <c r="AL66" s="28" t="s">
        <v>140</v>
      </c>
      <c r="AM66" s="28" t="s">
        <v>91</v>
      </c>
      <c r="AN66" s="28"/>
      <c r="AO66" s="28" t="s">
        <v>80</v>
      </c>
      <c r="AQ66" s="28" t="s">
        <v>80</v>
      </c>
      <c r="AR66" s="28" t="s">
        <v>80</v>
      </c>
      <c r="AS66" s="28" t="s">
        <v>80</v>
      </c>
      <c r="AT66" s="28" t="s">
        <v>80</v>
      </c>
      <c r="AU66" s="28"/>
      <c r="AW66" s="28" t="s">
        <v>84</v>
      </c>
      <c r="AX66" s="28" t="s">
        <v>84</v>
      </c>
      <c r="AY66" s="28" t="s">
        <v>84</v>
      </c>
      <c r="AZ66" s="28" t="s">
        <v>82</v>
      </c>
      <c r="BA66" s="28"/>
      <c r="BB66" s="28" t="s">
        <v>84</v>
      </c>
      <c r="BC66" s="28" t="s">
        <v>80</v>
      </c>
      <c r="BD66" s="28" t="s">
        <v>113</v>
      </c>
      <c r="BE66" s="28" t="s">
        <v>100</v>
      </c>
      <c r="BF66" s="28" t="s">
        <v>112</v>
      </c>
      <c r="BG66" s="28" t="s">
        <v>84</v>
      </c>
      <c r="BH66" s="28" t="s">
        <v>84</v>
      </c>
      <c r="BI66" s="28"/>
      <c r="BJ66" s="28" t="s">
        <v>84</v>
      </c>
      <c r="BK66" s="28" t="s">
        <v>80</v>
      </c>
      <c r="BL66" s="28">
        <v>1</v>
      </c>
      <c r="BM66" s="28">
        <v>1</v>
      </c>
      <c r="BN66" s="28">
        <v>1</v>
      </c>
      <c r="BO66" s="28">
        <v>1</v>
      </c>
      <c r="BP66" s="28">
        <v>3</v>
      </c>
      <c r="BQ66" s="28">
        <v>3</v>
      </c>
      <c r="BS66" s="28" t="s">
        <v>99</v>
      </c>
      <c r="BT66" s="28"/>
      <c r="BU66" s="28"/>
      <c r="BV66" s="28"/>
      <c r="BX66" s="28" t="s">
        <v>82</v>
      </c>
      <c r="BY66" s="28"/>
      <c r="BZ66" s="28" t="s">
        <v>84</v>
      </c>
      <c r="CA66" s="28"/>
      <c r="CB66" s="28" t="s">
        <v>82</v>
      </c>
      <c r="CC66" s="28"/>
      <c r="CD66" s="28" t="s">
        <v>84</v>
      </c>
      <c r="CE66" s="28"/>
      <c r="CF66" s="28"/>
      <c r="CG66" s="28"/>
      <c r="CI66" s="28" t="s">
        <v>84</v>
      </c>
      <c r="CJ66" s="28"/>
      <c r="CK66" s="28" t="s">
        <v>82</v>
      </c>
      <c r="CL66" s="28"/>
      <c r="CM66" s="28" t="s">
        <v>82</v>
      </c>
      <c r="CN66" s="28"/>
      <c r="CO66" s="28"/>
      <c r="CP66" s="28"/>
      <c r="CQ66" s="28" t="s">
        <v>118</v>
      </c>
      <c r="CR66" s="28" t="s">
        <v>84</v>
      </c>
      <c r="CS66" s="28" t="s">
        <v>1312</v>
      </c>
      <c r="CT66" s="28"/>
      <c r="CU66" s="28" t="s">
        <v>246</v>
      </c>
      <c r="CV66" s="28"/>
      <c r="CW66" s="28" t="s">
        <v>84</v>
      </c>
      <c r="CX66" s="28"/>
      <c r="CY66" s="28"/>
      <c r="CZ66" s="28"/>
      <c r="DA66" s="28" t="s">
        <v>82</v>
      </c>
      <c r="DB66" s="28"/>
      <c r="DC66" s="28" t="s">
        <v>84</v>
      </c>
      <c r="DD66" s="28" t="s">
        <v>84</v>
      </c>
      <c r="DG66" s="28">
        <v>1</v>
      </c>
      <c r="DH66" s="28">
        <v>1</v>
      </c>
      <c r="DI66" s="28">
        <v>2</v>
      </c>
      <c r="DJ66" s="28">
        <v>1</v>
      </c>
      <c r="DK66" s="28">
        <v>3</v>
      </c>
      <c r="DL66" s="28">
        <v>3</v>
      </c>
      <c r="DM66" s="28">
        <v>2</v>
      </c>
      <c r="DN66" s="28">
        <v>2</v>
      </c>
      <c r="DO66" s="28">
        <v>1</v>
      </c>
      <c r="DP66" s="28">
        <v>1</v>
      </c>
      <c r="DQ66" s="28">
        <v>2</v>
      </c>
      <c r="DR66" s="28">
        <v>2</v>
      </c>
      <c r="DS66" s="28" t="s">
        <v>118</v>
      </c>
      <c r="DT66" s="28" t="s">
        <v>82</v>
      </c>
      <c r="DU66" s="28"/>
      <c r="DV66" s="28" t="s">
        <v>84</v>
      </c>
      <c r="DW66" s="28" t="s">
        <v>113</v>
      </c>
      <c r="DX66" s="28" t="s">
        <v>81</v>
      </c>
      <c r="DY66" s="28"/>
      <c r="DZ66" s="28" t="s">
        <v>93</v>
      </c>
      <c r="EA66" s="28"/>
      <c r="EB66" s="28" t="s">
        <v>84</v>
      </c>
      <c r="EC66" s="28"/>
      <c r="ED66" s="28"/>
      <c r="EE66" s="28"/>
      <c r="EF66" s="28" t="s">
        <v>84</v>
      </c>
      <c r="EG66" s="28" t="s">
        <v>84</v>
      </c>
      <c r="EH66" s="28" t="s">
        <v>84</v>
      </c>
      <c r="EI66" s="28"/>
      <c r="EJ66" s="28"/>
      <c r="EK66" s="28"/>
      <c r="EL66" s="28" t="s">
        <v>1831</v>
      </c>
      <c r="EM66" s="11">
        <v>718.14</v>
      </c>
      <c r="EN66" s="11">
        <v>156.52000000000001</v>
      </c>
      <c r="EQ66" s="11">
        <v>93.9</v>
      </c>
      <c r="EW66" s="11">
        <v>43.14</v>
      </c>
      <c r="FF66" s="11">
        <v>34.869999999999997</v>
      </c>
      <c r="FJ66" s="11">
        <v>16.899999999999999</v>
      </c>
      <c r="FP66" s="11">
        <v>60.31</v>
      </c>
      <c r="FV66" s="11">
        <v>63.59</v>
      </c>
      <c r="GC66" s="11">
        <v>148.01</v>
      </c>
      <c r="GT66" s="11">
        <v>21.19</v>
      </c>
      <c r="GX66" s="11">
        <v>20.91</v>
      </c>
      <c r="HB66" s="11">
        <v>58.8</v>
      </c>
      <c r="HQ66" s="62">
        <f t="shared" ref="HQ66:HQ97" si="6">EM66</f>
        <v>718.14</v>
      </c>
      <c r="HR66" s="62">
        <f t="shared" si="5"/>
        <v>11.968999999999999</v>
      </c>
    </row>
    <row r="67" spans="1:226" ht="12.95" customHeight="1" x14ac:dyDescent="0.2">
      <c r="A67" s="11">
        <v>126</v>
      </c>
      <c r="B67" s="11">
        <v>98</v>
      </c>
      <c r="C67" s="11" t="s">
        <v>83</v>
      </c>
      <c r="D67" s="11">
        <v>11</v>
      </c>
      <c r="E67" s="11" t="s">
        <v>79</v>
      </c>
      <c r="F67" s="11">
        <v>831597969</v>
      </c>
      <c r="G67" s="11" t="s">
        <v>81</v>
      </c>
      <c r="H67" s="11" t="s">
        <v>84</v>
      </c>
      <c r="I67" s="28" t="s">
        <v>105</v>
      </c>
      <c r="J67" s="28"/>
      <c r="M67" s="28" t="s">
        <v>1309</v>
      </c>
      <c r="N67" s="28" t="s">
        <v>106</v>
      </c>
      <c r="O67" s="28" t="s">
        <v>1832</v>
      </c>
      <c r="P67" s="28" t="s">
        <v>253</v>
      </c>
      <c r="Q67" s="28" t="s">
        <v>1310</v>
      </c>
      <c r="S67" s="28" t="s">
        <v>84</v>
      </c>
      <c r="T67" s="28" t="s">
        <v>84</v>
      </c>
      <c r="U67" s="28" t="s">
        <v>84</v>
      </c>
      <c r="V67" s="28" t="s">
        <v>84</v>
      </c>
      <c r="W67" s="28" t="s">
        <v>84</v>
      </c>
      <c r="X67" s="28" t="s">
        <v>82</v>
      </c>
      <c r="Y67" s="28" t="s">
        <v>84</v>
      </c>
      <c r="Z67" s="28" t="s">
        <v>82</v>
      </c>
      <c r="AA67" s="28"/>
      <c r="AB67" s="28" t="s">
        <v>82</v>
      </c>
      <c r="AC67" s="28"/>
      <c r="AD67" s="28" t="s">
        <v>82</v>
      </c>
      <c r="AE67" s="28"/>
      <c r="AF67" s="28"/>
      <c r="AG67" s="28" t="s">
        <v>82</v>
      </c>
      <c r="AH67" s="28" t="s">
        <v>1833</v>
      </c>
      <c r="AI67" s="28" t="s">
        <v>84</v>
      </c>
      <c r="AJ67" s="28" t="s">
        <v>1834</v>
      </c>
      <c r="AK67" s="28" t="s">
        <v>1835</v>
      </c>
      <c r="AL67" s="28" t="s">
        <v>126</v>
      </c>
      <c r="AM67" s="28" t="s">
        <v>111</v>
      </c>
      <c r="AN67" s="28"/>
      <c r="AO67" s="28" t="s">
        <v>80</v>
      </c>
      <c r="AQ67" s="28" t="s">
        <v>84</v>
      </c>
      <c r="AR67" s="28" t="s">
        <v>82</v>
      </c>
      <c r="AS67" s="28" t="s">
        <v>84</v>
      </c>
      <c r="AT67" s="28" t="s">
        <v>84</v>
      </c>
      <c r="AU67" s="28"/>
      <c r="AW67" s="28" t="s">
        <v>80</v>
      </c>
      <c r="AX67" s="28" t="s">
        <v>80</v>
      </c>
      <c r="AY67" s="28" t="s">
        <v>80</v>
      </c>
      <c r="AZ67" s="28" t="s">
        <v>80</v>
      </c>
      <c r="BA67" s="28"/>
      <c r="BB67" s="28" t="s">
        <v>84</v>
      </c>
      <c r="BC67" s="28" t="s">
        <v>80</v>
      </c>
      <c r="BD67" s="28" t="s">
        <v>112</v>
      </c>
      <c r="BE67" s="28" t="s">
        <v>112</v>
      </c>
      <c r="BF67" s="28" t="s">
        <v>93</v>
      </c>
      <c r="BG67" s="28" t="s">
        <v>84</v>
      </c>
      <c r="BH67" s="28" t="s">
        <v>84</v>
      </c>
      <c r="BI67" s="28" t="s">
        <v>1836</v>
      </c>
      <c r="BJ67" s="28" t="s">
        <v>84</v>
      </c>
      <c r="BK67" s="28" t="s">
        <v>80</v>
      </c>
      <c r="BL67" s="28">
        <v>3</v>
      </c>
      <c r="BM67" s="28">
        <v>3</v>
      </c>
      <c r="BN67" s="28">
        <v>1</v>
      </c>
      <c r="BO67" s="28">
        <v>1</v>
      </c>
      <c r="BP67" s="28">
        <v>1</v>
      </c>
      <c r="BQ67" s="28">
        <v>1</v>
      </c>
      <c r="BS67" s="28" t="s">
        <v>118</v>
      </c>
      <c r="BT67" s="28"/>
      <c r="BU67" s="28"/>
      <c r="BV67" s="28"/>
      <c r="BX67" s="28" t="s">
        <v>82</v>
      </c>
      <c r="BY67" s="28"/>
      <c r="BZ67" s="28" t="s">
        <v>84</v>
      </c>
      <c r="CA67" s="28" t="s">
        <v>1837</v>
      </c>
      <c r="CB67" s="28" t="s">
        <v>82</v>
      </c>
      <c r="CC67" s="28"/>
      <c r="CD67" s="28" t="s">
        <v>82</v>
      </c>
      <c r="CE67" s="28"/>
      <c r="CF67" s="28"/>
      <c r="CG67" s="28"/>
      <c r="CI67" s="28" t="s">
        <v>84</v>
      </c>
      <c r="CJ67" s="28" t="s">
        <v>1838</v>
      </c>
      <c r="CK67" s="28" t="s">
        <v>82</v>
      </c>
      <c r="CL67" s="28"/>
      <c r="CM67" s="28" t="s">
        <v>82</v>
      </c>
      <c r="CN67" s="28"/>
      <c r="CO67" s="28"/>
      <c r="CP67" s="28"/>
      <c r="CQ67" s="28" t="s">
        <v>97</v>
      </c>
      <c r="CR67" s="28" t="s">
        <v>84</v>
      </c>
      <c r="CS67" s="28" t="s">
        <v>1312</v>
      </c>
      <c r="CT67" s="28" t="s">
        <v>1839</v>
      </c>
      <c r="CU67" s="28" t="s">
        <v>81</v>
      </c>
      <c r="CV67" s="28"/>
      <c r="CW67" s="28" t="s">
        <v>82</v>
      </c>
      <c r="CX67" s="28"/>
      <c r="CY67" s="28" t="s">
        <v>246</v>
      </c>
      <c r="CZ67" s="28" t="s">
        <v>1840</v>
      </c>
      <c r="DA67" s="28" t="s">
        <v>82</v>
      </c>
      <c r="DB67" s="28"/>
      <c r="DC67" s="28" t="s">
        <v>84</v>
      </c>
      <c r="DD67" s="28" t="s">
        <v>84</v>
      </c>
      <c r="DG67" s="28">
        <v>1</v>
      </c>
      <c r="DH67" s="28">
        <v>1</v>
      </c>
      <c r="DI67" s="28">
        <v>1</v>
      </c>
      <c r="DJ67" s="28">
        <v>1</v>
      </c>
      <c r="DK67" s="28">
        <v>1</v>
      </c>
      <c r="DL67" s="28">
        <v>1</v>
      </c>
      <c r="DM67" s="28">
        <v>1</v>
      </c>
      <c r="DN67" s="28">
        <v>1</v>
      </c>
      <c r="DO67" s="28">
        <v>1</v>
      </c>
      <c r="DP67" s="28">
        <v>1</v>
      </c>
      <c r="DQ67" s="28">
        <v>3</v>
      </c>
      <c r="DR67" s="28">
        <v>3</v>
      </c>
      <c r="DS67" s="28" t="s">
        <v>97</v>
      </c>
      <c r="DT67" s="28" t="s">
        <v>106</v>
      </c>
      <c r="DU67" s="28"/>
      <c r="DV67" s="28" t="s">
        <v>84</v>
      </c>
      <c r="DW67" s="28" t="s">
        <v>340</v>
      </c>
      <c r="DX67" s="28" t="s">
        <v>81</v>
      </c>
      <c r="DY67" s="28" t="s">
        <v>1841</v>
      </c>
      <c r="DZ67" s="28" t="s">
        <v>100</v>
      </c>
      <c r="EA67" s="28" t="s">
        <v>1842</v>
      </c>
      <c r="EB67" s="28" t="s">
        <v>82</v>
      </c>
      <c r="EC67" s="28"/>
      <c r="ED67" s="28" t="s">
        <v>246</v>
      </c>
      <c r="EE67" s="28"/>
      <c r="EF67" s="28" t="s">
        <v>84</v>
      </c>
      <c r="EG67" s="28" t="s">
        <v>84</v>
      </c>
      <c r="EH67" s="28" t="s">
        <v>82</v>
      </c>
      <c r="EI67" s="28"/>
      <c r="EJ67" s="28"/>
      <c r="EK67" s="28" t="s">
        <v>1843</v>
      </c>
      <c r="EL67" s="28" t="s">
        <v>1844</v>
      </c>
      <c r="EM67" s="11">
        <v>1700.11</v>
      </c>
      <c r="EN67" s="11">
        <v>25.6</v>
      </c>
      <c r="EQ67" s="11">
        <v>189.38</v>
      </c>
      <c r="EW67" s="11">
        <v>92.03</v>
      </c>
      <c r="FF67" s="11">
        <v>329.68</v>
      </c>
      <c r="FJ67" s="11">
        <v>39.76</v>
      </c>
      <c r="FP67" s="11">
        <v>39.700000000000003</v>
      </c>
      <c r="FV67" s="11">
        <v>180.71</v>
      </c>
      <c r="GC67" s="11">
        <v>334.12</v>
      </c>
      <c r="GT67" s="11">
        <v>11.46</v>
      </c>
      <c r="GX67" s="11">
        <v>48.98</v>
      </c>
      <c r="HB67" s="11">
        <v>408.69</v>
      </c>
      <c r="HQ67" s="62">
        <f t="shared" si="6"/>
        <v>1700.11</v>
      </c>
      <c r="HR67" s="62">
        <f t="shared" si="5"/>
        <v>28.335166666666666</v>
      </c>
    </row>
    <row r="68" spans="1:226" ht="12.95" customHeight="1" x14ac:dyDescent="0.2">
      <c r="A68" s="11">
        <v>127</v>
      </c>
      <c r="B68" s="11">
        <v>99</v>
      </c>
      <c r="C68" s="11" t="s">
        <v>83</v>
      </c>
      <c r="D68" s="11">
        <v>11</v>
      </c>
      <c r="E68" s="11" t="s">
        <v>79</v>
      </c>
      <c r="F68" s="11">
        <v>1302704308</v>
      </c>
      <c r="G68" s="11" t="s">
        <v>81</v>
      </c>
      <c r="H68" s="11" t="s">
        <v>84</v>
      </c>
      <c r="I68" s="28" t="s">
        <v>107</v>
      </c>
      <c r="J68" s="28"/>
      <c r="M68" s="28" t="s">
        <v>1319</v>
      </c>
      <c r="N68" s="28" t="s">
        <v>108</v>
      </c>
      <c r="O68" s="28"/>
      <c r="P68" s="28" t="s">
        <v>87</v>
      </c>
      <c r="Q68" s="28" t="s">
        <v>1310</v>
      </c>
      <c r="S68" s="28" t="s">
        <v>84</v>
      </c>
      <c r="T68" s="28" t="s">
        <v>84</v>
      </c>
      <c r="U68" s="28" t="s">
        <v>84</v>
      </c>
      <c r="V68" s="28" t="s">
        <v>82</v>
      </c>
      <c r="W68" s="28" t="s">
        <v>82</v>
      </c>
      <c r="X68" s="28" t="s">
        <v>82</v>
      </c>
      <c r="Y68" s="28" t="s">
        <v>82</v>
      </c>
      <c r="Z68" s="28" t="s">
        <v>82</v>
      </c>
      <c r="AA68" s="28"/>
      <c r="AB68" s="28" t="s">
        <v>82</v>
      </c>
      <c r="AC68" s="28"/>
      <c r="AD68" s="28" t="s">
        <v>82</v>
      </c>
      <c r="AE68" s="28"/>
      <c r="AF68" s="28"/>
      <c r="AG68" s="28" t="s">
        <v>82</v>
      </c>
      <c r="AH68" s="28"/>
      <c r="AI68" s="28" t="s">
        <v>84</v>
      </c>
      <c r="AJ68" s="28"/>
      <c r="AK68" s="28" t="s">
        <v>1845</v>
      </c>
      <c r="AL68" s="28" t="s">
        <v>126</v>
      </c>
      <c r="AM68" s="28" t="s">
        <v>111</v>
      </c>
      <c r="AN68" s="28"/>
      <c r="AO68" s="28" t="s">
        <v>80</v>
      </c>
      <c r="AQ68" s="28" t="s">
        <v>84</v>
      </c>
      <c r="AR68" s="28" t="s">
        <v>84</v>
      </c>
      <c r="AS68" s="28" t="s">
        <v>84</v>
      </c>
      <c r="AT68" s="28" t="s">
        <v>84</v>
      </c>
      <c r="AU68" s="28"/>
      <c r="AW68" s="28" t="s">
        <v>80</v>
      </c>
      <c r="AX68" s="28" t="s">
        <v>80</v>
      </c>
      <c r="AY68" s="28" t="s">
        <v>80</v>
      </c>
      <c r="AZ68" s="28" t="s">
        <v>80</v>
      </c>
      <c r="BA68" s="28"/>
      <c r="BB68" s="28" t="s">
        <v>84</v>
      </c>
      <c r="BC68" s="28" t="s">
        <v>80</v>
      </c>
      <c r="BD68" s="28" t="s">
        <v>100</v>
      </c>
      <c r="BE68" s="28" t="s">
        <v>113</v>
      </c>
      <c r="BF68" s="28" t="s">
        <v>112</v>
      </c>
      <c r="BG68" s="28" t="s">
        <v>84</v>
      </c>
      <c r="BH68" s="28" t="s">
        <v>84</v>
      </c>
      <c r="BI68" s="28" t="s">
        <v>1846</v>
      </c>
      <c r="BJ68" s="28" t="s">
        <v>84</v>
      </c>
      <c r="BK68" s="28" t="s">
        <v>80</v>
      </c>
      <c r="BL68" s="28">
        <v>4</v>
      </c>
      <c r="BM68" s="28">
        <v>2</v>
      </c>
      <c r="BN68" s="28">
        <v>1</v>
      </c>
      <c r="BO68" s="28">
        <v>1</v>
      </c>
      <c r="BP68" s="28">
        <v>5</v>
      </c>
      <c r="BQ68" s="28">
        <v>2</v>
      </c>
      <c r="BS68" s="28" t="s">
        <v>118</v>
      </c>
      <c r="BT68" s="28"/>
      <c r="BU68" s="28"/>
      <c r="BV68" s="28"/>
      <c r="BX68" s="28" t="s">
        <v>82</v>
      </c>
      <c r="BY68" s="28"/>
      <c r="BZ68" s="28" t="s">
        <v>84</v>
      </c>
      <c r="CA68" s="28"/>
      <c r="CB68" s="28" t="s">
        <v>82</v>
      </c>
      <c r="CC68" s="28"/>
      <c r="CD68" s="28" t="s">
        <v>82</v>
      </c>
      <c r="CE68" s="28"/>
      <c r="CF68" s="28"/>
      <c r="CG68" s="28"/>
      <c r="CI68" s="28" t="s">
        <v>84</v>
      </c>
      <c r="CJ68" s="28"/>
      <c r="CK68" s="28" t="s">
        <v>82</v>
      </c>
      <c r="CL68" s="28"/>
      <c r="CM68" s="28" t="s">
        <v>82</v>
      </c>
      <c r="CN68" s="28"/>
      <c r="CO68" s="28"/>
      <c r="CP68" s="28"/>
      <c r="CQ68" s="28" t="s">
        <v>97</v>
      </c>
      <c r="CR68" s="28" t="s">
        <v>84</v>
      </c>
      <c r="CS68" s="28" t="s">
        <v>97</v>
      </c>
      <c r="CT68" s="28"/>
      <c r="CU68" s="28" t="s">
        <v>246</v>
      </c>
      <c r="CV68" s="28"/>
      <c r="CW68" s="28" t="s">
        <v>82</v>
      </c>
      <c r="CX68" s="28"/>
      <c r="CY68" s="28" t="s">
        <v>81</v>
      </c>
      <c r="CZ68" s="28"/>
      <c r="DA68" s="28" t="s">
        <v>82</v>
      </c>
      <c r="DB68" s="28"/>
      <c r="DC68" s="28" t="s">
        <v>84</v>
      </c>
      <c r="DD68" s="28" t="s">
        <v>84</v>
      </c>
      <c r="DG68" s="28">
        <v>2</v>
      </c>
      <c r="DH68" s="28">
        <v>1</v>
      </c>
      <c r="DI68" s="28">
        <v>3</v>
      </c>
      <c r="DJ68" s="28">
        <v>2</v>
      </c>
      <c r="DK68" s="28">
        <v>2</v>
      </c>
      <c r="DL68" s="28">
        <v>2</v>
      </c>
      <c r="DM68" s="28">
        <v>2</v>
      </c>
      <c r="DN68" s="28">
        <v>2</v>
      </c>
      <c r="DO68" s="28">
        <v>4</v>
      </c>
      <c r="DP68" s="28">
        <v>2</v>
      </c>
      <c r="DQ68" s="28">
        <v>4</v>
      </c>
      <c r="DR68" s="28">
        <v>2</v>
      </c>
      <c r="DS68" s="28" t="s">
        <v>97</v>
      </c>
      <c r="DT68" s="28" t="s">
        <v>106</v>
      </c>
      <c r="DU68" s="28"/>
      <c r="DV68" s="28" t="s">
        <v>84</v>
      </c>
      <c r="DW68" s="28" t="s">
        <v>100</v>
      </c>
      <c r="DX68" s="28" t="s">
        <v>81</v>
      </c>
      <c r="DY68" s="28" t="s">
        <v>1847</v>
      </c>
      <c r="DZ68" s="28" t="s">
        <v>113</v>
      </c>
      <c r="EA68" s="28" t="s">
        <v>1848</v>
      </c>
      <c r="EB68" s="28" t="s">
        <v>82</v>
      </c>
      <c r="EC68" s="28"/>
      <c r="ED68" s="28" t="s">
        <v>81</v>
      </c>
      <c r="EE68" s="28"/>
      <c r="EF68" s="28" t="s">
        <v>82</v>
      </c>
      <c r="EG68" s="28" t="s">
        <v>82</v>
      </c>
      <c r="EH68" s="28" t="s">
        <v>82</v>
      </c>
      <c r="EI68" s="28"/>
      <c r="EJ68" s="28" t="s">
        <v>1849</v>
      </c>
      <c r="EK68" s="28" t="s">
        <v>1850</v>
      </c>
      <c r="EL68" s="28" t="s">
        <v>1059</v>
      </c>
      <c r="EM68" s="11">
        <v>972.63</v>
      </c>
      <c r="EN68" s="11">
        <v>13.53</v>
      </c>
      <c r="EQ68" s="11">
        <v>200.59</v>
      </c>
      <c r="EW68" s="11">
        <v>32.9</v>
      </c>
      <c r="FF68" s="11">
        <v>71.02</v>
      </c>
      <c r="FJ68" s="11">
        <v>18.43</v>
      </c>
      <c r="FP68" s="11">
        <v>32.71</v>
      </c>
      <c r="FV68" s="11">
        <v>135.61000000000001</v>
      </c>
      <c r="GC68" s="11">
        <v>173.9</v>
      </c>
      <c r="GT68" s="11">
        <v>12.74</v>
      </c>
      <c r="GX68" s="11">
        <v>90.97</v>
      </c>
      <c r="HB68" s="11">
        <v>190.23</v>
      </c>
      <c r="HQ68" s="62">
        <f t="shared" si="6"/>
        <v>972.63</v>
      </c>
      <c r="HR68" s="62">
        <f t="shared" si="5"/>
        <v>16.2105</v>
      </c>
    </row>
    <row r="69" spans="1:226" ht="12.95" customHeight="1" x14ac:dyDescent="0.2">
      <c r="A69" s="11">
        <v>128</v>
      </c>
      <c r="B69" s="11">
        <v>101</v>
      </c>
      <c r="C69" s="11" t="s">
        <v>83</v>
      </c>
      <c r="D69" s="11">
        <v>11</v>
      </c>
      <c r="E69" s="11" t="s">
        <v>79</v>
      </c>
      <c r="F69" s="11">
        <v>1162623608</v>
      </c>
      <c r="G69" s="11" t="s">
        <v>81</v>
      </c>
      <c r="H69" s="11" t="s">
        <v>84</v>
      </c>
      <c r="I69" s="28" t="s">
        <v>107</v>
      </c>
      <c r="J69" s="28"/>
      <c r="M69" s="28" t="s">
        <v>1319</v>
      </c>
      <c r="N69" s="28" t="s">
        <v>618</v>
      </c>
      <c r="O69" s="28"/>
      <c r="P69" s="28" t="s">
        <v>87</v>
      </c>
      <c r="Q69" s="28" t="s">
        <v>1320</v>
      </c>
      <c r="S69" s="28" t="s">
        <v>84</v>
      </c>
      <c r="T69" s="28" t="s">
        <v>84</v>
      </c>
      <c r="U69" s="28" t="s">
        <v>82</v>
      </c>
      <c r="V69" s="28" t="s">
        <v>84</v>
      </c>
      <c r="W69" s="28" t="s">
        <v>82</v>
      </c>
      <c r="X69" s="28" t="s">
        <v>84</v>
      </c>
      <c r="Y69" s="28" t="s">
        <v>84</v>
      </c>
      <c r="Z69" s="28" t="s">
        <v>84</v>
      </c>
      <c r="AA69" s="28"/>
      <c r="AB69" s="28" t="s">
        <v>82</v>
      </c>
      <c r="AC69" s="28"/>
      <c r="AD69" s="28" t="s">
        <v>84</v>
      </c>
      <c r="AE69" s="28" t="s">
        <v>1851</v>
      </c>
      <c r="AF69" s="28" t="s">
        <v>1852</v>
      </c>
      <c r="AG69" s="28" t="s">
        <v>80</v>
      </c>
      <c r="AH69" s="28"/>
      <c r="AI69" s="28" t="s">
        <v>84</v>
      </c>
      <c r="AJ69" s="28"/>
      <c r="AK69" s="28" t="s">
        <v>1853</v>
      </c>
      <c r="AL69" s="28" t="s">
        <v>126</v>
      </c>
      <c r="AM69" s="28" t="s">
        <v>91</v>
      </c>
      <c r="AN69" s="28"/>
      <c r="AO69" s="28" t="s">
        <v>80</v>
      </c>
      <c r="AQ69" s="28" t="s">
        <v>80</v>
      </c>
      <c r="AR69" s="28" t="s">
        <v>80</v>
      </c>
      <c r="AS69" s="28" t="s">
        <v>80</v>
      </c>
      <c r="AT69" s="28" t="s">
        <v>80</v>
      </c>
      <c r="AU69" s="28"/>
      <c r="AW69" s="28" t="s">
        <v>84</v>
      </c>
      <c r="AX69" s="28" t="s">
        <v>82</v>
      </c>
      <c r="AY69" s="28" t="s">
        <v>84</v>
      </c>
      <c r="AZ69" s="28" t="s">
        <v>84</v>
      </c>
      <c r="BA69" s="28"/>
      <c r="BB69" s="28" t="s">
        <v>84</v>
      </c>
      <c r="BC69" s="28" t="s">
        <v>80</v>
      </c>
      <c r="BD69" s="28" t="s">
        <v>113</v>
      </c>
      <c r="BE69" s="28" t="s">
        <v>113</v>
      </c>
      <c r="BF69" s="28" t="s">
        <v>100</v>
      </c>
      <c r="BG69" s="28" t="s">
        <v>84</v>
      </c>
      <c r="BH69" s="28" t="s">
        <v>84</v>
      </c>
      <c r="BI69" s="28" t="s">
        <v>1854</v>
      </c>
      <c r="BJ69" s="28" t="s">
        <v>84</v>
      </c>
      <c r="BK69" s="28" t="s">
        <v>80</v>
      </c>
      <c r="BL69" s="28">
        <v>3</v>
      </c>
      <c r="BM69" s="28">
        <v>3</v>
      </c>
      <c r="BN69" s="28">
        <v>5</v>
      </c>
      <c r="BO69" s="28">
        <v>5</v>
      </c>
      <c r="BP69" s="28">
        <v>3</v>
      </c>
      <c r="BQ69" s="28">
        <v>3</v>
      </c>
      <c r="BS69" s="28" t="s">
        <v>118</v>
      </c>
      <c r="BT69" s="28"/>
      <c r="BU69" s="28"/>
      <c r="BV69" s="28"/>
      <c r="BX69" s="28" t="s">
        <v>82</v>
      </c>
      <c r="BY69" s="28"/>
      <c r="BZ69" s="28" t="s">
        <v>84</v>
      </c>
      <c r="CA69" s="28" t="s">
        <v>1855</v>
      </c>
      <c r="CB69" s="28" t="s">
        <v>82</v>
      </c>
      <c r="CC69" s="28"/>
      <c r="CD69" s="28" t="s">
        <v>82</v>
      </c>
      <c r="CE69" s="28"/>
      <c r="CF69" s="28"/>
      <c r="CG69" s="28"/>
      <c r="CI69" s="28" t="s">
        <v>84</v>
      </c>
      <c r="CJ69" s="28" t="s">
        <v>1855</v>
      </c>
      <c r="CK69" s="28" t="s">
        <v>82</v>
      </c>
      <c r="CL69" s="28"/>
      <c r="CM69" s="28" t="s">
        <v>82</v>
      </c>
      <c r="CN69" s="28"/>
      <c r="CO69" s="28"/>
      <c r="CP69" s="28"/>
      <c r="CQ69" s="28" t="s">
        <v>97</v>
      </c>
      <c r="CR69" s="28" t="s">
        <v>84</v>
      </c>
      <c r="CS69" s="28" t="s">
        <v>97</v>
      </c>
      <c r="CT69" s="28"/>
      <c r="CU69" s="28" t="s">
        <v>246</v>
      </c>
      <c r="CV69" s="28" t="s">
        <v>1856</v>
      </c>
      <c r="CW69" s="28" t="s">
        <v>82</v>
      </c>
      <c r="CX69" s="28"/>
      <c r="CY69" s="28" t="s">
        <v>246</v>
      </c>
      <c r="CZ69" s="28" t="s">
        <v>1857</v>
      </c>
      <c r="DA69" s="28" t="s">
        <v>82</v>
      </c>
      <c r="DB69" s="28"/>
      <c r="DC69" s="28" t="s">
        <v>84</v>
      </c>
      <c r="DD69" s="28" t="s">
        <v>84</v>
      </c>
      <c r="DG69" s="28">
        <v>5</v>
      </c>
      <c r="DH69" s="28">
        <v>5</v>
      </c>
      <c r="DI69" s="28">
        <v>5</v>
      </c>
      <c r="DJ69" s="28">
        <v>5</v>
      </c>
      <c r="DK69" s="28">
        <v>5</v>
      </c>
      <c r="DL69" s="28">
        <v>5</v>
      </c>
      <c r="DM69" s="28">
        <v>5</v>
      </c>
      <c r="DN69" s="28">
        <v>5</v>
      </c>
      <c r="DO69" s="28">
        <v>5</v>
      </c>
      <c r="DP69" s="28">
        <v>5</v>
      </c>
      <c r="DQ69" s="28">
        <v>5</v>
      </c>
      <c r="DR69" s="28">
        <v>5</v>
      </c>
      <c r="DS69" s="28" t="s">
        <v>97</v>
      </c>
      <c r="DT69" s="28" t="s">
        <v>84</v>
      </c>
      <c r="DU69" s="28"/>
      <c r="DV69" s="28" t="s">
        <v>84</v>
      </c>
      <c r="DW69" s="28" t="s">
        <v>100</v>
      </c>
      <c r="DX69" s="28" t="s">
        <v>81</v>
      </c>
      <c r="DY69" s="28" t="s">
        <v>1858</v>
      </c>
      <c r="DZ69" s="28" t="s">
        <v>113</v>
      </c>
      <c r="EA69" s="28" t="s">
        <v>1859</v>
      </c>
      <c r="EB69" s="28" t="s">
        <v>82</v>
      </c>
      <c r="EC69" s="28"/>
      <c r="ED69" s="28" t="s">
        <v>81</v>
      </c>
      <c r="EE69" s="28" t="s">
        <v>1860</v>
      </c>
      <c r="EF69" s="28" t="s">
        <v>84</v>
      </c>
      <c r="EG69" s="28" t="s">
        <v>82</v>
      </c>
      <c r="EH69" s="28" t="s">
        <v>84</v>
      </c>
      <c r="EI69" s="28" t="s">
        <v>1861</v>
      </c>
      <c r="EJ69" s="28" t="s">
        <v>1862</v>
      </c>
      <c r="EK69" s="28" t="s">
        <v>1863</v>
      </c>
      <c r="EL69" s="28" t="s">
        <v>1864</v>
      </c>
      <c r="EM69" s="11">
        <v>1162.43</v>
      </c>
      <c r="EN69" s="11">
        <v>15.19</v>
      </c>
      <c r="EQ69" s="11">
        <v>110.51</v>
      </c>
      <c r="EW69" s="11">
        <v>109.21</v>
      </c>
      <c r="FF69" s="11">
        <v>46.26</v>
      </c>
      <c r="FJ69" s="11">
        <v>14.49</v>
      </c>
      <c r="FP69" s="11">
        <v>23</v>
      </c>
      <c r="FV69" s="11">
        <v>100.5</v>
      </c>
      <c r="GC69" s="11">
        <v>224.19</v>
      </c>
      <c r="GT69" s="11">
        <v>9.64</v>
      </c>
      <c r="GX69" s="11">
        <v>137.83000000000001</v>
      </c>
      <c r="HB69" s="11">
        <v>371.61</v>
      </c>
      <c r="HQ69" s="62">
        <f t="shared" si="6"/>
        <v>1162.43</v>
      </c>
      <c r="HR69" s="62">
        <f t="shared" si="5"/>
        <v>19.373833333333334</v>
      </c>
    </row>
    <row r="70" spans="1:226" ht="12.95" customHeight="1" x14ac:dyDescent="0.2">
      <c r="A70" s="11">
        <v>129</v>
      </c>
      <c r="B70" s="11">
        <v>102</v>
      </c>
      <c r="C70" s="11" t="s">
        <v>83</v>
      </c>
      <c r="D70" s="11">
        <v>11</v>
      </c>
      <c r="E70" s="11" t="s">
        <v>79</v>
      </c>
      <c r="F70" s="11">
        <v>1198149373</v>
      </c>
      <c r="G70" s="11" t="s">
        <v>81</v>
      </c>
      <c r="H70" s="11" t="s">
        <v>84</v>
      </c>
      <c r="I70" s="28" t="s">
        <v>107</v>
      </c>
      <c r="J70" s="28"/>
      <c r="M70" s="28" t="s">
        <v>1319</v>
      </c>
      <c r="N70" s="28" t="s">
        <v>618</v>
      </c>
      <c r="O70" s="28"/>
      <c r="P70" s="28" t="s">
        <v>87</v>
      </c>
      <c r="Q70" s="28" t="s">
        <v>1358</v>
      </c>
      <c r="S70" s="28" t="s">
        <v>84</v>
      </c>
      <c r="T70" s="28" t="s">
        <v>84</v>
      </c>
      <c r="U70" s="28" t="s">
        <v>82</v>
      </c>
      <c r="V70" s="28" t="s">
        <v>84</v>
      </c>
      <c r="W70" s="28" t="s">
        <v>82</v>
      </c>
      <c r="X70" s="28" t="s">
        <v>82</v>
      </c>
      <c r="Y70" s="28" t="s">
        <v>82</v>
      </c>
      <c r="Z70" s="28" t="s">
        <v>84</v>
      </c>
      <c r="AA70" s="28"/>
      <c r="AB70" s="28" t="s">
        <v>84</v>
      </c>
      <c r="AC70" s="28" t="s">
        <v>1865</v>
      </c>
      <c r="AD70" s="28" t="s">
        <v>82</v>
      </c>
      <c r="AE70" s="28"/>
      <c r="AF70" s="28"/>
      <c r="AG70" s="28" t="s">
        <v>82</v>
      </c>
      <c r="AH70" s="28" t="s">
        <v>1866</v>
      </c>
      <c r="AI70" s="28" t="s">
        <v>84</v>
      </c>
      <c r="AJ70" s="28"/>
      <c r="AK70" s="28" t="s">
        <v>1867</v>
      </c>
      <c r="AL70" s="28" t="s">
        <v>126</v>
      </c>
      <c r="AM70" s="28" t="s">
        <v>91</v>
      </c>
      <c r="AN70" s="28"/>
      <c r="AO70" s="28" t="s">
        <v>80</v>
      </c>
      <c r="AQ70" s="28" t="s">
        <v>80</v>
      </c>
      <c r="AR70" s="28" t="s">
        <v>80</v>
      </c>
      <c r="AS70" s="28" t="s">
        <v>80</v>
      </c>
      <c r="AT70" s="28" t="s">
        <v>80</v>
      </c>
      <c r="AU70" s="28"/>
      <c r="AW70" s="28" t="s">
        <v>84</v>
      </c>
      <c r="AX70" s="28" t="s">
        <v>82</v>
      </c>
      <c r="AY70" s="28" t="s">
        <v>82</v>
      </c>
      <c r="AZ70" s="28" t="s">
        <v>84</v>
      </c>
      <c r="BA70" s="28" t="s">
        <v>1868</v>
      </c>
      <c r="BB70" s="28" t="s">
        <v>84</v>
      </c>
      <c r="BC70" s="28" t="s">
        <v>80</v>
      </c>
      <c r="BD70" s="28" t="s">
        <v>113</v>
      </c>
      <c r="BE70" s="28" t="s">
        <v>113</v>
      </c>
      <c r="BF70" s="28" t="s">
        <v>100</v>
      </c>
      <c r="BG70" s="28" t="s">
        <v>84</v>
      </c>
      <c r="BH70" s="28" t="s">
        <v>84</v>
      </c>
      <c r="BI70" s="28" t="s">
        <v>1869</v>
      </c>
      <c r="BJ70" s="28" t="s">
        <v>84</v>
      </c>
      <c r="BK70" s="28" t="s">
        <v>80</v>
      </c>
      <c r="BL70" s="28">
        <v>5</v>
      </c>
      <c r="BM70" s="28">
        <v>5</v>
      </c>
      <c r="BN70" s="28">
        <v>4</v>
      </c>
      <c r="BO70" s="28">
        <v>4</v>
      </c>
      <c r="BP70" s="28">
        <v>5</v>
      </c>
      <c r="BQ70" s="28">
        <v>5</v>
      </c>
      <c r="BS70" s="28" t="s">
        <v>97</v>
      </c>
      <c r="BT70" s="28"/>
      <c r="BU70" s="28" t="s">
        <v>246</v>
      </c>
      <c r="BV70" s="28" t="s">
        <v>1870</v>
      </c>
      <c r="BX70" s="28" t="s">
        <v>80</v>
      </c>
      <c r="BY70" s="28"/>
      <c r="BZ70" s="28" t="s">
        <v>80</v>
      </c>
      <c r="CA70" s="28"/>
      <c r="CB70" s="28" t="s">
        <v>80</v>
      </c>
      <c r="CC70" s="28"/>
      <c r="CD70" s="28" t="s">
        <v>80</v>
      </c>
      <c r="CE70" s="28"/>
      <c r="CF70" s="28"/>
      <c r="CG70" s="28"/>
      <c r="CI70" s="28" t="s">
        <v>82</v>
      </c>
      <c r="CJ70" s="28"/>
      <c r="CK70" s="28" t="s">
        <v>84</v>
      </c>
      <c r="CL70" s="28" t="s">
        <v>1871</v>
      </c>
      <c r="CM70" s="28" t="s">
        <v>82</v>
      </c>
      <c r="CN70" s="28"/>
      <c r="CO70" s="28"/>
      <c r="CP70" s="28"/>
      <c r="CQ70" s="28" t="s">
        <v>118</v>
      </c>
      <c r="CR70" s="28" t="s">
        <v>84</v>
      </c>
      <c r="CS70" s="28"/>
      <c r="CT70" s="28"/>
      <c r="CU70" s="28"/>
      <c r="CV70" s="28"/>
      <c r="CW70" s="28" t="s">
        <v>82</v>
      </c>
      <c r="CX70" s="28"/>
      <c r="CY70" s="28" t="s">
        <v>81</v>
      </c>
      <c r="CZ70" s="28"/>
      <c r="DA70" s="28" t="s">
        <v>82</v>
      </c>
      <c r="DB70" s="28"/>
      <c r="DC70" s="28" t="s">
        <v>82</v>
      </c>
      <c r="DD70" s="28" t="s">
        <v>82</v>
      </c>
      <c r="DG70" s="28">
        <v>5</v>
      </c>
      <c r="DH70" s="28">
        <v>2</v>
      </c>
      <c r="DI70" s="28">
        <v>5</v>
      </c>
      <c r="DJ70" s="28">
        <v>2</v>
      </c>
      <c r="DK70" s="28">
        <v>2</v>
      </c>
      <c r="DL70" s="28">
        <v>3</v>
      </c>
      <c r="DM70" s="28">
        <v>4</v>
      </c>
      <c r="DN70" s="28">
        <v>3</v>
      </c>
      <c r="DO70" s="28">
        <v>4</v>
      </c>
      <c r="DP70" s="28">
        <v>2</v>
      </c>
      <c r="DQ70" s="28">
        <v>4</v>
      </c>
      <c r="DR70" s="28">
        <v>2</v>
      </c>
      <c r="DS70" s="28" t="s">
        <v>118</v>
      </c>
      <c r="DT70" s="28" t="s">
        <v>106</v>
      </c>
      <c r="DU70" s="28"/>
      <c r="DV70" s="28" t="s">
        <v>84</v>
      </c>
      <c r="DW70" s="28" t="s">
        <v>100</v>
      </c>
      <c r="DX70" s="28" t="s">
        <v>81</v>
      </c>
      <c r="DY70" s="28" t="s">
        <v>1872</v>
      </c>
      <c r="DZ70" s="28" t="s">
        <v>100</v>
      </c>
      <c r="EA70" s="28"/>
      <c r="EB70" s="28" t="s">
        <v>82</v>
      </c>
      <c r="EC70" s="28"/>
      <c r="ED70" s="28" t="s">
        <v>81</v>
      </c>
      <c r="EE70" s="28" t="s">
        <v>1873</v>
      </c>
      <c r="EF70" s="28" t="s">
        <v>82</v>
      </c>
      <c r="EG70" s="28" t="s">
        <v>84</v>
      </c>
      <c r="EH70" s="28" t="s">
        <v>82</v>
      </c>
      <c r="EI70" s="28"/>
      <c r="EJ70" s="28" t="s">
        <v>1874</v>
      </c>
      <c r="EK70" s="28" t="s">
        <v>1875</v>
      </c>
      <c r="EL70" s="28" t="s">
        <v>1876</v>
      </c>
      <c r="EM70" s="11">
        <v>592.28</v>
      </c>
      <c r="EN70" s="11">
        <v>11.45</v>
      </c>
      <c r="EQ70" s="11">
        <v>68.87</v>
      </c>
      <c r="EW70" s="11">
        <v>63.32</v>
      </c>
      <c r="FF70" s="11">
        <v>18.09</v>
      </c>
      <c r="FJ70" s="11">
        <v>19.29</v>
      </c>
      <c r="FP70" s="11">
        <v>17.28</v>
      </c>
      <c r="FV70" s="11">
        <v>53.26</v>
      </c>
      <c r="GC70" s="11">
        <v>182.61</v>
      </c>
      <c r="GT70" s="11">
        <v>12.69</v>
      </c>
      <c r="GX70" s="11">
        <v>37.94</v>
      </c>
      <c r="HB70" s="11">
        <v>107.48</v>
      </c>
      <c r="HQ70" s="62">
        <f t="shared" si="6"/>
        <v>592.28</v>
      </c>
      <c r="HR70" s="62">
        <f t="shared" si="5"/>
        <v>9.8713333333333324</v>
      </c>
    </row>
    <row r="71" spans="1:226" ht="12.95" customHeight="1" x14ac:dyDescent="0.2">
      <c r="A71" s="11">
        <v>130</v>
      </c>
      <c r="B71" s="11">
        <v>103</v>
      </c>
      <c r="C71" s="11" t="s">
        <v>83</v>
      </c>
      <c r="D71" s="11">
        <v>11</v>
      </c>
      <c r="E71" s="11" t="s">
        <v>79</v>
      </c>
      <c r="F71" s="11">
        <v>488944277</v>
      </c>
      <c r="G71" s="11" t="s">
        <v>81</v>
      </c>
      <c r="H71" s="11" t="s">
        <v>84</v>
      </c>
      <c r="I71" s="28" t="s">
        <v>105</v>
      </c>
      <c r="J71" s="28"/>
      <c r="M71" s="28" t="s">
        <v>1319</v>
      </c>
      <c r="N71" s="28" t="s">
        <v>618</v>
      </c>
      <c r="O71" s="28"/>
      <c r="P71" s="28" t="s">
        <v>87</v>
      </c>
      <c r="Q71" s="28" t="s">
        <v>1766</v>
      </c>
      <c r="S71" s="28" t="s">
        <v>84</v>
      </c>
      <c r="T71" s="28" t="s">
        <v>84</v>
      </c>
      <c r="U71" s="28" t="s">
        <v>82</v>
      </c>
      <c r="V71" s="28" t="s">
        <v>82</v>
      </c>
      <c r="W71" s="28" t="s">
        <v>82</v>
      </c>
      <c r="X71" s="28" t="s">
        <v>84</v>
      </c>
      <c r="Y71" s="28" t="s">
        <v>84</v>
      </c>
      <c r="Z71" s="28" t="s">
        <v>82</v>
      </c>
      <c r="AA71" s="28"/>
      <c r="AB71" s="28" t="s">
        <v>84</v>
      </c>
      <c r="AC71" s="28" t="s">
        <v>1877</v>
      </c>
      <c r="AD71" s="28" t="s">
        <v>84</v>
      </c>
      <c r="AE71" s="28" t="s">
        <v>240</v>
      </c>
      <c r="AF71" s="28" t="s">
        <v>1878</v>
      </c>
      <c r="AG71" s="28" t="s">
        <v>80</v>
      </c>
      <c r="AH71" s="28"/>
      <c r="AI71" s="28" t="s">
        <v>84</v>
      </c>
      <c r="AJ71" s="28"/>
      <c r="AK71" s="28" t="s">
        <v>1879</v>
      </c>
      <c r="AL71" s="28" t="s">
        <v>126</v>
      </c>
      <c r="AM71" s="28" t="s">
        <v>91</v>
      </c>
      <c r="AN71" s="28"/>
      <c r="AO71" s="28" t="s">
        <v>80</v>
      </c>
      <c r="AQ71" s="28" t="s">
        <v>80</v>
      </c>
      <c r="AR71" s="28" t="s">
        <v>80</v>
      </c>
      <c r="AS71" s="28" t="s">
        <v>80</v>
      </c>
      <c r="AT71" s="28" t="s">
        <v>80</v>
      </c>
      <c r="AU71" s="28"/>
      <c r="AW71" s="28" t="s">
        <v>84</v>
      </c>
      <c r="AX71" s="28" t="s">
        <v>82</v>
      </c>
      <c r="AY71" s="28" t="s">
        <v>82</v>
      </c>
      <c r="AZ71" s="28" t="s">
        <v>84</v>
      </c>
      <c r="BA71" s="28"/>
      <c r="BB71" s="28" t="s">
        <v>84</v>
      </c>
      <c r="BC71" s="28" t="s">
        <v>80</v>
      </c>
      <c r="BD71" s="28" t="s">
        <v>113</v>
      </c>
      <c r="BE71" s="28" t="s">
        <v>113</v>
      </c>
      <c r="BF71" s="28" t="s">
        <v>100</v>
      </c>
      <c r="BG71" s="28" t="s">
        <v>84</v>
      </c>
      <c r="BH71" s="28" t="s">
        <v>84</v>
      </c>
      <c r="BI71" s="28" t="s">
        <v>1880</v>
      </c>
      <c r="BJ71" s="28" t="s">
        <v>84</v>
      </c>
      <c r="BK71" s="28" t="s">
        <v>80</v>
      </c>
      <c r="BL71" s="28">
        <v>3</v>
      </c>
      <c r="BM71" s="28">
        <v>3</v>
      </c>
      <c r="BN71" s="28">
        <v>2</v>
      </c>
      <c r="BO71" s="28">
        <v>1</v>
      </c>
      <c r="BP71" s="28">
        <v>3</v>
      </c>
      <c r="BQ71" s="28">
        <v>2</v>
      </c>
      <c r="BS71" s="28" t="s">
        <v>99</v>
      </c>
      <c r="BT71" s="28"/>
      <c r="BU71" s="28"/>
      <c r="BV71" s="28"/>
      <c r="BX71" s="28" t="s">
        <v>82</v>
      </c>
      <c r="BY71" s="28"/>
      <c r="BZ71" s="28" t="s">
        <v>84</v>
      </c>
      <c r="CA71" s="28" t="s">
        <v>116</v>
      </c>
      <c r="CB71" s="28" t="s">
        <v>82</v>
      </c>
      <c r="CC71" s="28"/>
      <c r="CD71" s="28" t="s">
        <v>82</v>
      </c>
      <c r="CE71" s="28"/>
      <c r="CF71" s="28"/>
      <c r="CG71" s="28"/>
      <c r="CI71" s="28" t="s">
        <v>84</v>
      </c>
      <c r="CJ71" s="28" t="s">
        <v>1881</v>
      </c>
      <c r="CK71" s="28" t="s">
        <v>84</v>
      </c>
      <c r="CL71" s="28" t="s">
        <v>1882</v>
      </c>
      <c r="CM71" s="28" t="s">
        <v>82</v>
      </c>
      <c r="CN71" s="28"/>
      <c r="CO71" s="28"/>
      <c r="CP71" s="28"/>
      <c r="CQ71" s="28" t="s">
        <v>97</v>
      </c>
      <c r="CR71" s="28" t="s">
        <v>84</v>
      </c>
      <c r="CS71" s="28" t="s">
        <v>1312</v>
      </c>
      <c r="CT71" s="28"/>
      <c r="CU71" s="28" t="s">
        <v>81</v>
      </c>
      <c r="CV71" s="28"/>
      <c r="CW71" s="28" t="s">
        <v>82</v>
      </c>
      <c r="CX71" s="28"/>
      <c r="CY71" s="28" t="s">
        <v>81</v>
      </c>
      <c r="CZ71" s="28" t="s">
        <v>1883</v>
      </c>
      <c r="DA71" s="28" t="s">
        <v>82</v>
      </c>
      <c r="DB71" s="28"/>
      <c r="DC71" s="28" t="s">
        <v>84</v>
      </c>
      <c r="DD71" s="28" t="s">
        <v>82</v>
      </c>
      <c r="DG71" s="28">
        <v>2</v>
      </c>
      <c r="DH71" s="28">
        <v>4</v>
      </c>
      <c r="DI71" s="28">
        <v>2</v>
      </c>
      <c r="DJ71" s="28">
        <v>5</v>
      </c>
      <c r="DK71" s="28">
        <v>1</v>
      </c>
      <c r="DL71" s="28">
        <v>5</v>
      </c>
      <c r="DM71" s="28">
        <v>1</v>
      </c>
      <c r="DN71" s="28">
        <v>5</v>
      </c>
      <c r="DO71" s="28">
        <v>3</v>
      </c>
      <c r="DP71" s="28">
        <v>2</v>
      </c>
      <c r="DQ71" s="28">
        <v>1</v>
      </c>
      <c r="DR71" s="28">
        <v>5</v>
      </c>
      <c r="DS71" s="28" t="s">
        <v>97</v>
      </c>
      <c r="DT71" s="28" t="s">
        <v>82</v>
      </c>
      <c r="DU71" s="28" t="s">
        <v>1884</v>
      </c>
      <c r="DV71" s="28" t="s">
        <v>84</v>
      </c>
      <c r="DW71" s="28" t="s">
        <v>100</v>
      </c>
      <c r="DX71" s="28" t="s">
        <v>81</v>
      </c>
      <c r="DY71" s="28"/>
      <c r="DZ71" s="28" t="s">
        <v>113</v>
      </c>
      <c r="EA71" s="28" t="s">
        <v>1885</v>
      </c>
      <c r="EB71" s="28" t="s">
        <v>82</v>
      </c>
      <c r="EC71" s="28"/>
      <c r="ED71" s="28" t="s">
        <v>81</v>
      </c>
      <c r="EE71" s="28" t="s">
        <v>1886</v>
      </c>
      <c r="EF71" s="28" t="s">
        <v>84</v>
      </c>
      <c r="EG71" s="28" t="s">
        <v>82</v>
      </c>
      <c r="EH71" s="28" t="s">
        <v>82</v>
      </c>
      <c r="EI71" s="28"/>
      <c r="EJ71" s="28" t="s">
        <v>1887</v>
      </c>
      <c r="EK71" s="28" t="s">
        <v>1888</v>
      </c>
      <c r="EL71" s="28" t="s">
        <v>1889</v>
      </c>
      <c r="EM71" s="11">
        <v>1267.3499999999999</v>
      </c>
      <c r="EN71" s="11">
        <v>20.23</v>
      </c>
      <c r="EQ71" s="11">
        <v>64.11</v>
      </c>
      <c r="EW71" s="11">
        <v>155.72999999999999</v>
      </c>
      <c r="FF71" s="11">
        <v>47.85</v>
      </c>
      <c r="FJ71" s="11">
        <v>21.7</v>
      </c>
      <c r="FP71" s="11">
        <v>34.869999999999997</v>
      </c>
      <c r="FV71" s="11">
        <v>156.47999999999999</v>
      </c>
      <c r="GC71" s="11">
        <v>312.44</v>
      </c>
      <c r="GT71" s="11">
        <v>103.84</v>
      </c>
      <c r="GX71" s="11">
        <v>25.22</v>
      </c>
      <c r="HB71" s="11">
        <v>324.88</v>
      </c>
      <c r="HQ71" s="62">
        <f t="shared" si="6"/>
        <v>1267.3499999999999</v>
      </c>
      <c r="HR71" s="62">
        <f t="shared" si="5"/>
        <v>21.122499999999999</v>
      </c>
    </row>
    <row r="72" spans="1:226" ht="12.95" customHeight="1" x14ac:dyDescent="0.2">
      <c r="A72" s="11">
        <v>131</v>
      </c>
      <c r="B72" s="11">
        <v>104</v>
      </c>
      <c r="C72" s="11" t="s">
        <v>83</v>
      </c>
      <c r="D72" s="11">
        <v>11</v>
      </c>
      <c r="E72" s="11" t="s">
        <v>79</v>
      </c>
      <c r="F72" s="11">
        <v>663450877</v>
      </c>
      <c r="G72" s="11" t="s">
        <v>81</v>
      </c>
      <c r="H72" s="11" t="s">
        <v>84</v>
      </c>
      <c r="I72" s="28" t="s">
        <v>105</v>
      </c>
      <c r="J72" s="28"/>
      <c r="M72" s="28" t="s">
        <v>1319</v>
      </c>
      <c r="N72" s="28" t="s">
        <v>106</v>
      </c>
      <c r="O72" s="28"/>
      <c r="P72" s="28" t="s">
        <v>632</v>
      </c>
      <c r="Q72" s="28" t="s">
        <v>1375</v>
      </c>
      <c r="S72" s="28" t="s">
        <v>84</v>
      </c>
      <c r="T72" s="28" t="s">
        <v>84</v>
      </c>
      <c r="U72" s="28" t="s">
        <v>84</v>
      </c>
      <c r="V72" s="28" t="s">
        <v>82</v>
      </c>
      <c r="W72" s="28" t="s">
        <v>82</v>
      </c>
      <c r="X72" s="28" t="s">
        <v>82</v>
      </c>
      <c r="Y72" s="28" t="s">
        <v>82</v>
      </c>
      <c r="Z72" s="28" t="s">
        <v>82</v>
      </c>
      <c r="AA72" s="28"/>
      <c r="AB72" s="28" t="s">
        <v>82</v>
      </c>
      <c r="AC72" s="28"/>
      <c r="AD72" s="28" t="s">
        <v>82</v>
      </c>
      <c r="AE72" s="28"/>
      <c r="AF72" s="28"/>
      <c r="AG72" s="28" t="s">
        <v>82</v>
      </c>
      <c r="AH72" s="28"/>
      <c r="AI72" s="28" t="s">
        <v>84</v>
      </c>
      <c r="AJ72" s="28"/>
      <c r="AK72" s="28" t="s">
        <v>1890</v>
      </c>
      <c r="AL72" s="28" t="s">
        <v>126</v>
      </c>
      <c r="AM72" s="28" t="s">
        <v>111</v>
      </c>
      <c r="AN72" s="28"/>
      <c r="AO72" s="28" t="s">
        <v>80</v>
      </c>
      <c r="AQ72" s="28" t="s">
        <v>84</v>
      </c>
      <c r="AR72" s="28" t="s">
        <v>82</v>
      </c>
      <c r="AS72" s="28" t="s">
        <v>82</v>
      </c>
      <c r="AT72" s="28" t="s">
        <v>82</v>
      </c>
      <c r="AU72" s="28"/>
      <c r="AW72" s="28" t="s">
        <v>80</v>
      </c>
      <c r="AX72" s="28" t="s">
        <v>80</v>
      </c>
      <c r="AY72" s="28" t="s">
        <v>80</v>
      </c>
      <c r="AZ72" s="28" t="s">
        <v>80</v>
      </c>
      <c r="BA72" s="28"/>
      <c r="BB72" s="28" t="s">
        <v>84</v>
      </c>
      <c r="BC72" s="28" t="s">
        <v>80</v>
      </c>
      <c r="BD72" s="28" t="s">
        <v>113</v>
      </c>
      <c r="BE72" s="28" t="s">
        <v>100</v>
      </c>
      <c r="BF72" s="28" t="s">
        <v>112</v>
      </c>
      <c r="BG72" s="28" t="s">
        <v>145</v>
      </c>
      <c r="BH72" s="28" t="s">
        <v>82</v>
      </c>
      <c r="BI72" s="28"/>
      <c r="BJ72" s="28" t="s">
        <v>84</v>
      </c>
      <c r="BK72" s="28" t="s">
        <v>80</v>
      </c>
      <c r="BL72" s="28">
        <v>3</v>
      </c>
      <c r="BM72" s="28">
        <v>3</v>
      </c>
      <c r="BN72" s="28">
        <v>3</v>
      </c>
      <c r="BO72" s="28">
        <v>3</v>
      </c>
      <c r="BP72" s="28">
        <v>3</v>
      </c>
      <c r="BQ72" s="28">
        <v>3</v>
      </c>
      <c r="BS72" s="28" t="s">
        <v>97</v>
      </c>
      <c r="BT72" s="28"/>
      <c r="BU72" s="28" t="s">
        <v>246</v>
      </c>
      <c r="BV72" s="28"/>
      <c r="BX72" s="28" t="s">
        <v>80</v>
      </c>
      <c r="BY72" s="28"/>
      <c r="BZ72" s="28" t="s">
        <v>80</v>
      </c>
      <c r="CA72" s="28"/>
      <c r="CB72" s="28" t="s">
        <v>80</v>
      </c>
      <c r="CC72" s="28"/>
      <c r="CD72" s="28" t="s">
        <v>80</v>
      </c>
      <c r="CE72" s="28"/>
      <c r="CF72" s="28"/>
      <c r="CG72" s="28"/>
      <c r="CI72" s="28" t="s">
        <v>82</v>
      </c>
      <c r="CJ72" s="28"/>
      <c r="CK72" s="28" t="s">
        <v>84</v>
      </c>
      <c r="CL72" s="28" t="s">
        <v>1891</v>
      </c>
      <c r="CM72" s="28" t="s">
        <v>82</v>
      </c>
      <c r="CN72" s="28"/>
      <c r="CO72" s="28"/>
      <c r="CP72" s="28"/>
      <c r="CQ72" s="28" t="s">
        <v>97</v>
      </c>
      <c r="CR72" s="28" t="s">
        <v>84</v>
      </c>
      <c r="CS72" s="28" t="s">
        <v>97</v>
      </c>
      <c r="CT72" s="28"/>
      <c r="CU72" s="28" t="s">
        <v>246</v>
      </c>
      <c r="CV72" s="28"/>
      <c r="CW72" s="28" t="s">
        <v>82</v>
      </c>
      <c r="CX72" s="28"/>
      <c r="CY72" s="28" t="s">
        <v>246</v>
      </c>
      <c r="CZ72" s="28"/>
      <c r="DA72" s="28" t="s">
        <v>82</v>
      </c>
      <c r="DB72" s="28"/>
      <c r="DC72" s="28" t="s">
        <v>84</v>
      </c>
      <c r="DD72" s="28" t="s">
        <v>82</v>
      </c>
      <c r="DG72" s="28">
        <v>3</v>
      </c>
      <c r="DH72" s="28">
        <v>3</v>
      </c>
      <c r="DI72" s="28">
        <v>3</v>
      </c>
      <c r="DJ72" s="28">
        <v>3</v>
      </c>
      <c r="DK72" s="28">
        <v>3</v>
      </c>
      <c r="DL72" s="28">
        <v>3</v>
      </c>
      <c r="DM72" s="28">
        <v>3</v>
      </c>
      <c r="DN72" s="28">
        <v>3</v>
      </c>
      <c r="DO72" s="28">
        <v>3</v>
      </c>
      <c r="DP72" s="28">
        <v>3</v>
      </c>
      <c r="DQ72" s="28">
        <v>3</v>
      </c>
      <c r="DR72" s="28">
        <v>3</v>
      </c>
      <c r="DS72" s="28" t="s">
        <v>97</v>
      </c>
      <c r="DT72" s="28" t="s">
        <v>106</v>
      </c>
      <c r="DU72" s="28"/>
      <c r="DV72" s="28" t="s">
        <v>82</v>
      </c>
      <c r="DW72" s="28" t="s">
        <v>340</v>
      </c>
      <c r="DX72" s="28" t="s">
        <v>81</v>
      </c>
      <c r="DY72" s="28"/>
      <c r="DZ72" s="28" t="s">
        <v>100</v>
      </c>
      <c r="EA72" s="28"/>
      <c r="EB72" s="28" t="s">
        <v>82</v>
      </c>
      <c r="EC72" s="28"/>
      <c r="ED72" s="28" t="s">
        <v>246</v>
      </c>
      <c r="EE72" s="28"/>
      <c r="EF72" s="28" t="s">
        <v>82</v>
      </c>
      <c r="EG72" s="28" t="s">
        <v>84</v>
      </c>
      <c r="EH72" s="28" t="s">
        <v>82</v>
      </c>
      <c r="EI72" s="28"/>
      <c r="EJ72" s="28"/>
      <c r="EK72" s="28"/>
      <c r="EL72" s="28"/>
      <c r="EM72" s="11">
        <v>282.08</v>
      </c>
      <c r="EN72" s="11">
        <v>8.5</v>
      </c>
      <c r="EQ72" s="11">
        <v>38.53</v>
      </c>
      <c r="EW72" s="11">
        <v>17.690000000000001</v>
      </c>
      <c r="FF72" s="11">
        <v>20.329999999999998</v>
      </c>
      <c r="FJ72" s="11">
        <v>8.82</v>
      </c>
      <c r="FP72" s="11">
        <v>21.06</v>
      </c>
      <c r="FV72" s="11">
        <v>31.11</v>
      </c>
      <c r="GC72" s="11">
        <v>80.39</v>
      </c>
      <c r="GT72" s="11">
        <v>14.05</v>
      </c>
      <c r="GX72" s="11">
        <v>15.25</v>
      </c>
      <c r="HB72" s="11">
        <v>26.35</v>
      </c>
      <c r="HQ72" s="62">
        <f t="shared" si="6"/>
        <v>282.08</v>
      </c>
      <c r="HR72" s="62">
        <f t="shared" si="5"/>
        <v>4.7013333333333334</v>
      </c>
    </row>
    <row r="73" spans="1:226" ht="12.95" customHeight="1" x14ac:dyDescent="0.2">
      <c r="A73" s="11">
        <v>132</v>
      </c>
      <c r="B73" s="11">
        <v>105</v>
      </c>
      <c r="C73" s="11" t="s">
        <v>83</v>
      </c>
      <c r="D73" s="11">
        <v>11</v>
      </c>
      <c r="E73" s="11" t="s">
        <v>79</v>
      </c>
      <c r="F73" s="11">
        <v>358992968</v>
      </c>
      <c r="G73" s="11" t="s">
        <v>81</v>
      </c>
      <c r="H73" s="11" t="s">
        <v>84</v>
      </c>
      <c r="I73" s="28" t="s">
        <v>105</v>
      </c>
      <c r="J73" s="28"/>
      <c r="M73" s="28" t="s">
        <v>1319</v>
      </c>
      <c r="N73" s="28" t="s">
        <v>618</v>
      </c>
      <c r="O73" s="28"/>
      <c r="P73" s="28" t="s">
        <v>87</v>
      </c>
      <c r="Q73" s="28" t="s">
        <v>1358</v>
      </c>
      <c r="S73" s="28" t="s">
        <v>84</v>
      </c>
      <c r="T73" s="28" t="s">
        <v>84</v>
      </c>
      <c r="U73" s="28" t="s">
        <v>82</v>
      </c>
      <c r="V73" s="28" t="s">
        <v>84</v>
      </c>
      <c r="W73" s="28" t="s">
        <v>82</v>
      </c>
      <c r="X73" s="28" t="s">
        <v>82</v>
      </c>
      <c r="Y73" s="28" t="s">
        <v>84</v>
      </c>
      <c r="Z73" s="28" t="s">
        <v>84</v>
      </c>
      <c r="AA73" s="28"/>
      <c r="AB73" s="28" t="s">
        <v>84</v>
      </c>
      <c r="AC73" s="28" t="s">
        <v>1892</v>
      </c>
      <c r="AD73" s="28" t="s">
        <v>82</v>
      </c>
      <c r="AE73" s="28"/>
      <c r="AF73" s="28"/>
      <c r="AG73" s="28" t="s">
        <v>84</v>
      </c>
      <c r="AH73" s="28" t="s">
        <v>1893</v>
      </c>
      <c r="AI73" s="28" t="s">
        <v>84</v>
      </c>
      <c r="AJ73" s="28" t="s">
        <v>1894</v>
      </c>
      <c r="AK73" s="28" t="s">
        <v>1895</v>
      </c>
      <c r="AL73" s="28" t="s">
        <v>126</v>
      </c>
      <c r="AM73" s="28" t="s">
        <v>111</v>
      </c>
      <c r="AN73" s="28"/>
      <c r="AO73" s="28" t="s">
        <v>80</v>
      </c>
      <c r="AQ73" s="28" t="s">
        <v>84</v>
      </c>
      <c r="AR73" s="28" t="s">
        <v>82</v>
      </c>
      <c r="AS73" s="28" t="s">
        <v>84</v>
      </c>
      <c r="AT73" s="28" t="s">
        <v>84</v>
      </c>
      <c r="AU73" s="28"/>
      <c r="AW73" s="28" t="s">
        <v>80</v>
      </c>
      <c r="AX73" s="28" t="s">
        <v>80</v>
      </c>
      <c r="AY73" s="28" t="s">
        <v>80</v>
      </c>
      <c r="AZ73" s="28" t="s">
        <v>80</v>
      </c>
      <c r="BA73" s="28"/>
      <c r="BB73" s="28" t="s">
        <v>84</v>
      </c>
      <c r="BC73" s="28" t="s">
        <v>80</v>
      </c>
      <c r="BD73" s="28" t="s">
        <v>100</v>
      </c>
      <c r="BE73" s="28" t="s">
        <v>113</v>
      </c>
      <c r="BF73" s="28" t="s">
        <v>113</v>
      </c>
      <c r="BG73" s="28" t="s">
        <v>82</v>
      </c>
      <c r="BH73" s="28" t="s">
        <v>84</v>
      </c>
      <c r="BI73" s="28"/>
      <c r="BJ73" s="28" t="s">
        <v>84</v>
      </c>
      <c r="BK73" s="28" t="s">
        <v>80</v>
      </c>
      <c r="BL73" s="28">
        <v>3</v>
      </c>
      <c r="BM73" s="28">
        <v>3</v>
      </c>
      <c r="BN73" s="28">
        <v>5</v>
      </c>
      <c r="BO73" s="28">
        <v>5</v>
      </c>
      <c r="BP73" s="28">
        <v>3</v>
      </c>
      <c r="BQ73" s="28">
        <v>3</v>
      </c>
      <c r="BS73" s="28" t="s">
        <v>97</v>
      </c>
      <c r="BT73" s="28"/>
      <c r="BU73" s="28" t="s">
        <v>246</v>
      </c>
      <c r="BV73" s="28" t="s">
        <v>1896</v>
      </c>
      <c r="BX73" s="28" t="s">
        <v>80</v>
      </c>
      <c r="BY73" s="28"/>
      <c r="BZ73" s="28" t="s">
        <v>80</v>
      </c>
      <c r="CA73" s="28"/>
      <c r="CB73" s="28" t="s">
        <v>80</v>
      </c>
      <c r="CC73" s="28"/>
      <c r="CD73" s="28" t="s">
        <v>80</v>
      </c>
      <c r="CE73" s="28"/>
      <c r="CF73" s="28"/>
      <c r="CG73" s="28"/>
      <c r="CI73" s="28" t="s">
        <v>84</v>
      </c>
      <c r="CJ73" s="28" t="s">
        <v>1897</v>
      </c>
      <c r="CK73" s="28" t="s">
        <v>84</v>
      </c>
      <c r="CL73" s="28"/>
      <c r="CM73" s="28" t="s">
        <v>82</v>
      </c>
      <c r="CN73" s="28"/>
      <c r="CO73" s="28"/>
      <c r="CP73" s="28"/>
      <c r="CQ73" s="28" t="s">
        <v>97</v>
      </c>
      <c r="CR73" s="28" t="s">
        <v>84</v>
      </c>
      <c r="CS73" s="28" t="s">
        <v>97</v>
      </c>
      <c r="CT73" s="28" t="s">
        <v>1898</v>
      </c>
      <c r="CU73" s="28" t="s">
        <v>246</v>
      </c>
      <c r="CV73" s="28" t="s">
        <v>1898</v>
      </c>
      <c r="CW73" s="28" t="s">
        <v>82</v>
      </c>
      <c r="CX73" s="28"/>
      <c r="CY73" s="28" t="s">
        <v>81</v>
      </c>
      <c r="CZ73" s="28" t="s">
        <v>1899</v>
      </c>
      <c r="DA73" s="28" t="s">
        <v>82</v>
      </c>
      <c r="DB73" s="28"/>
      <c r="DC73" s="28" t="s">
        <v>82</v>
      </c>
      <c r="DD73" s="28" t="s">
        <v>82</v>
      </c>
      <c r="DG73" s="28">
        <v>3</v>
      </c>
      <c r="DH73" s="28">
        <v>3</v>
      </c>
      <c r="DI73" s="28">
        <v>3</v>
      </c>
      <c r="DJ73" s="28">
        <v>3</v>
      </c>
      <c r="DK73" s="28">
        <v>3</v>
      </c>
      <c r="DL73" s="28">
        <v>3</v>
      </c>
      <c r="DM73" s="28">
        <v>3</v>
      </c>
      <c r="DN73" s="28">
        <v>3</v>
      </c>
      <c r="DO73" s="28">
        <v>3</v>
      </c>
      <c r="DP73" s="28">
        <v>3</v>
      </c>
      <c r="DQ73" s="28">
        <v>3</v>
      </c>
      <c r="DR73" s="28">
        <v>3</v>
      </c>
      <c r="DS73" s="28" t="s">
        <v>118</v>
      </c>
      <c r="DT73" s="28" t="s">
        <v>106</v>
      </c>
      <c r="DU73" s="28"/>
      <c r="DV73" s="28" t="s">
        <v>84</v>
      </c>
      <c r="DW73" s="28" t="s">
        <v>100</v>
      </c>
      <c r="DX73" s="28" t="s">
        <v>81</v>
      </c>
      <c r="DY73" s="28" t="s">
        <v>1900</v>
      </c>
      <c r="DZ73" s="28" t="s">
        <v>100</v>
      </c>
      <c r="EA73" s="28"/>
      <c r="EB73" s="28" t="s">
        <v>84</v>
      </c>
      <c r="EC73" s="28"/>
      <c r="ED73" s="28"/>
      <c r="EE73" s="28"/>
      <c r="EF73" s="28" t="s">
        <v>84</v>
      </c>
      <c r="EG73" s="28" t="s">
        <v>82</v>
      </c>
      <c r="EH73" s="28" t="s">
        <v>82</v>
      </c>
      <c r="EI73" s="28"/>
      <c r="EJ73" s="28" t="s">
        <v>1901</v>
      </c>
      <c r="EK73" s="28" t="s">
        <v>1902</v>
      </c>
      <c r="EL73" s="28" t="s">
        <v>1903</v>
      </c>
      <c r="EM73" s="11">
        <v>715.21</v>
      </c>
      <c r="EN73" s="11">
        <v>26.01</v>
      </c>
      <c r="EQ73" s="11">
        <v>32.81</v>
      </c>
      <c r="EW73" s="11">
        <v>104.34</v>
      </c>
      <c r="FF73" s="11">
        <v>45.71</v>
      </c>
      <c r="FJ73" s="11">
        <v>15.76</v>
      </c>
      <c r="FP73" s="11">
        <v>30.7</v>
      </c>
      <c r="FV73" s="11">
        <v>68.55</v>
      </c>
      <c r="GC73" s="11">
        <v>237.36</v>
      </c>
      <c r="GT73" s="11">
        <v>10.49</v>
      </c>
      <c r="GX73" s="11">
        <v>55.33</v>
      </c>
      <c r="HB73" s="11">
        <v>88.15</v>
      </c>
      <c r="HQ73" s="62">
        <f t="shared" si="6"/>
        <v>715.21</v>
      </c>
      <c r="HR73" s="62">
        <f t="shared" si="5"/>
        <v>11.920166666666667</v>
      </c>
    </row>
    <row r="74" spans="1:226" ht="12.95" customHeight="1" x14ac:dyDescent="0.2">
      <c r="A74" s="11">
        <v>133</v>
      </c>
      <c r="B74" s="11">
        <v>106</v>
      </c>
      <c r="C74" s="11" t="s">
        <v>83</v>
      </c>
      <c r="D74" s="11">
        <v>11</v>
      </c>
      <c r="E74" s="11" t="s">
        <v>79</v>
      </c>
      <c r="F74" s="11">
        <v>615090661</v>
      </c>
      <c r="G74" s="11" t="s">
        <v>81</v>
      </c>
      <c r="H74" s="11" t="s">
        <v>84</v>
      </c>
      <c r="I74" s="28" t="s">
        <v>324</v>
      </c>
      <c r="J74" s="28"/>
      <c r="M74" s="28" t="s">
        <v>1294</v>
      </c>
      <c r="N74" s="28" t="s">
        <v>618</v>
      </c>
      <c r="O74" s="28"/>
      <c r="P74" s="28" t="s">
        <v>87</v>
      </c>
      <c r="Q74" s="28" t="s">
        <v>1358</v>
      </c>
      <c r="S74" s="28" t="s">
        <v>84</v>
      </c>
      <c r="T74" s="28" t="s">
        <v>84</v>
      </c>
      <c r="U74" s="28" t="s">
        <v>82</v>
      </c>
      <c r="V74" s="28" t="s">
        <v>84</v>
      </c>
      <c r="W74" s="28" t="s">
        <v>82</v>
      </c>
      <c r="X74" s="28" t="s">
        <v>84</v>
      </c>
      <c r="Y74" s="28" t="s">
        <v>82</v>
      </c>
      <c r="Z74" s="28" t="s">
        <v>82</v>
      </c>
      <c r="AA74" s="28"/>
      <c r="AB74" s="28" t="s">
        <v>82</v>
      </c>
      <c r="AC74" s="28"/>
      <c r="AD74" s="28" t="s">
        <v>84</v>
      </c>
      <c r="AE74" s="28" t="s">
        <v>1904</v>
      </c>
      <c r="AF74" s="28"/>
      <c r="AG74" s="28" t="s">
        <v>80</v>
      </c>
      <c r="AH74" s="28"/>
      <c r="AI74" s="28" t="s">
        <v>82</v>
      </c>
      <c r="AJ74" s="28"/>
      <c r="AK74" s="28"/>
      <c r="AL74" s="28" t="s">
        <v>126</v>
      </c>
      <c r="AM74" s="28" t="s">
        <v>91</v>
      </c>
      <c r="AN74" s="28"/>
      <c r="AO74" s="28" t="s">
        <v>80</v>
      </c>
      <c r="AQ74" s="28" t="s">
        <v>80</v>
      </c>
      <c r="AR74" s="28" t="s">
        <v>80</v>
      </c>
      <c r="AS74" s="28" t="s">
        <v>80</v>
      </c>
      <c r="AT74" s="28" t="s">
        <v>80</v>
      </c>
      <c r="AU74" s="28"/>
      <c r="AW74" s="28" t="s">
        <v>84</v>
      </c>
      <c r="AX74" s="28" t="s">
        <v>82</v>
      </c>
      <c r="AY74" s="28" t="s">
        <v>84</v>
      </c>
      <c r="AZ74" s="28" t="s">
        <v>82</v>
      </c>
      <c r="BA74" s="28"/>
      <c r="BB74" s="28" t="s">
        <v>84</v>
      </c>
      <c r="BC74" s="28" t="s">
        <v>80</v>
      </c>
      <c r="BD74" s="28" t="s">
        <v>100</v>
      </c>
      <c r="BE74" s="28" t="s">
        <v>100</v>
      </c>
      <c r="BF74" s="28" t="s">
        <v>112</v>
      </c>
      <c r="BG74" s="28" t="s">
        <v>84</v>
      </c>
      <c r="BH74" s="28" t="s">
        <v>84</v>
      </c>
      <c r="BI74" s="28"/>
      <c r="BJ74" s="28" t="s">
        <v>84</v>
      </c>
      <c r="BK74" s="28" t="s">
        <v>80</v>
      </c>
      <c r="BL74" s="28">
        <v>3</v>
      </c>
      <c r="BM74" s="28">
        <v>3</v>
      </c>
      <c r="BN74" s="28">
        <v>5</v>
      </c>
      <c r="BO74" s="28">
        <v>5</v>
      </c>
      <c r="BP74" s="28">
        <v>3</v>
      </c>
      <c r="BQ74" s="28">
        <v>5</v>
      </c>
      <c r="BS74" s="28" t="s">
        <v>99</v>
      </c>
      <c r="BT74" s="28"/>
      <c r="BU74" s="28"/>
      <c r="BV74" s="28"/>
      <c r="BX74" s="28" t="s">
        <v>82</v>
      </c>
      <c r="BY74" s="28"/>
      <c r="BZ74" s="28" t="s">
        <v>84</v>
      </c>
      <c r="CA74" s="28"/>
      <c r="CB74" s="28" t="s">
        <v>82</v>
      </c>
      <c r="CC74" s="28"/>
      <c r="CD74" s="28" t="s">
        <v>82</v>
      </c>
      <c r="CE74" s="28"/>
      <c r="CF74" s="28"/>
      <c r="CG74" s="28"/>
      <c r="CI74" s="28" t="s">
        <v>84</v>
      </c>
      <c r="CJ74" s="28"/>
      <c r="CK74" s="28" t="s">
        <v>82</v>
      </c>
      <c r="CL74" s="28"/>
      <c r="CM74" s="28" t="s">
        <v>82</v>
      </c>
      <c r="CN74" s="28"/>
      <c r="CO74" s="28"/>
      <c r="CP74" s="28"/>
      <c r="CQ74" s="28" t="s">
        <v>99</v>
      </c>
      <c r="CR74" s="28" t="s">
        <v>80</v>
      </c>
      <c r="CS74" s="28" t="s">
        <v>97</v>
      </c>
      <c r="CT74" s="28"/>
      <c r="CU74" s="28" t="s">
        <v>81</v>
      </c>
      <c r="CV74" s="28" t="s">
        <v>1905</v>
      </c>
      <c r="CW74" s="28" t="s">
        <v>84</v>
      </c>
      <c r="CX74" s="28"/>
      <c r="CY74" s="28"/>
      <c r="CZ74" s="28"/>
      <c r="DA74" s="28" t="s">
        <v>84</v>
      </c>
      <c r="DB74" s="28"/>
      <c r="DC74" s="28" t="s">
        <v>84</v>
      </c>
      <c r="DD74" s="28" t="s">
        <v>84</v>
      </c>
      <c r="DG74" s="28">
        <v>3</v>
      </c>
      <c r="DH74" s="28">
        <v>4</v>
      </c>
      <c r="DI74" s="28">
        <v>3</v>
      </c>
      <c r="DJ74" s="28">
        <v>4</v>
      </c>
      <c r="DK74" s="28">
        <v>4</v>
      </c>
      <c r="DL74" s="28">
        <v>3</v>
      </c>
      <c r="DM74" s="28">
        <v>4</v>
      </c>
      <c r="DN74" s="28">
        <v>4</v>
      </c>
      <c r="DO74" s="28">
        <v>3</v>
      </c>
      <c r="DP74" s="28">
        <v>4</v>
      </c>
      <c r="DQ74" s="28">
        <v>4</v>
      </c>
      <c r="DR74" s="28">
        <v>4</v>
      </c>
      <c r="DS74" s="28" t="s">
        <v>118</v>
      </c>
      <c r="DT74" s="28" t="s">
        <v>84</v>
      </c>
      <c r="DU74" s="28"/>
      <c r="DV74" s="28" t="s">
        <v>84</v>
      </c>
      <c r="DW74" s="28" t="s">
        <v>113</v>
      </c>
      <c r="DX74" s="28" t="s">
        <v>246</v>
      </c>
      <c r="DY74" s="28"/>
      <c r="DZ74" s="28" t="s">
        <v>113</v>
      </c>
      <c r="EA74" s="28"/>
      <c r="EB74" s="28" t="s">
        <v>84</v>
      </c>
      <c r="EC74" s="28"/>
      <c r="ED74" s="28"/>
      <c r="EE74" s="28"/>
      <c r="EF74" s="28" t="s">
        <v>84</v>
      </c>
      <c r="EG74" s="28" t="s">
        <v>84</v>
      </c>
      <c r="EH74" s="28" t="s">
        <v>84</v>
      </c>
      <c r="EI74" s="28" t="s">
        <v>1114</v>
      </c>
      <c r="EJ74" s="28"/>
      <c r="EK74" s="28"/>
      <c r="EL74" s="28"/>
      <c r="EM74" s="11">
        <v>360.93</v>
      </c>
      <c r="EN74" s="11">
        <v>24.65</v>
      </c>
      <c r="EQ74" s="11">
        <v>34.61</v>
      </c>
      <c r="EW74" s="11">
        <v>36.15</v>
      </c>
      <c r="FF74" s="11">
        <v>13.75</v>
      </c>
      <c r="FJ74" s="11">
        <v>10.64</v>
      </c>
      <c r="FP74" s="11">
        <v>25.64</v>
      </c>
      <c r="FV74" s="11">
        <v>42.33</v>
      </c>
      <c r="GC74" s="11">
        <v>90.19</v>
      </c>
      <c r="GT74" s="11">
        <v>19.09</v>
      </c>
      <c r="GX74" s="11">
        <v>16.7</v>
      </c>
      <c r="HB74" s="11">
        <v>47.18</v>
      </c>
      <c r="HQ74" s="62">
        <f t="shared" si="6"/>
        <v>360.93</v>
      </c>
      <c r="HR74" s="62">
        <f t="shared" si="5"/>
        <v>6.0155000000000003</v>
      </c>
    </row>
    <row r="75" spans="1:226" ht="12.95" customHeight="1" x14ac:dyDescent="0.2">
      <c r="A75" s="11">
        <v>134</v>
      </c>
      <c r="B75" s="11">
        <v>108</v>
      </c>
      <c r="C75" s="11" t="s">
        <v>83</v>
      </c>
      <c r="D75" s="11">
        <v>11</v>
      </c>
      <c r="E75" s="11" t="s">
        <v>79</v>
      </c>
      <c r="F75" s="11">
        <v>1923374404</v>
      </c>
      <c r="G75" s="11" t="s">
        <v>81</v>
      </c>
      <c r="H75" s="11" t="s">
        <v>84</v>
      </c>
      <c r="I75" s="28" t="s">
        <v>107</v>
      </c>
      <c r="J75" s="28"/>
      <c r="M75" s="28" t="s">
        <v>1319</v>
      </c>
      <c r="N75" s="28" t="s">
        <v>86</v>
      </c>
      <c r="O75" s="28"/>
      <c r="P75" s="28" t="s">
        <v>87</v>
      </c>
      <c r="Q75" s="28" t="s">
        <v>1296</v>
      </c>
      <c r="S75" s="28" t="s">
        <v>84</v>
      </c>
      <c r="T75" s="28" t="s">
        <v>84</v>
      </c>
      <c r="U75" s="28" t="s">
        <v>82</v>
      </c>
      <c r="V75" s="28" t="s">
        <v>82</v>
      </c>
      <c r="W75" s="28" t="s">
        <v>82</v>
      </c>
      <c r="X75" s="28" t="s">
        <v>82</v>
      </c>
      <c r="Y75" s="28" t="s">
        <v>82</v>
      </c>
      <c r="Z75" s="28" t="s">
        <v>82</v>
      </c>
      <c r="AA75" s="28"/>
      <c r="AB75" s="28" t="s">
        <v>82</v>
      </c>
      <c r="AC75" s="28"/>
      <c r="AD75" s="28" t="s">
        <v>82</v>
      </c>
      <c r="AE75" s="28"/>
      <c r="AF75" s="28"/>
      <c r="AG75" s="28" t="s">
        <v>82</v>
      </c>
      <c r="AH75" s="28"/>
      <c r="AI75" s="28" t="s">
        <v>84</v>
      </c>
      <c r="AJ75" s="28"/>
      <c r="AK75" s="28"/>
      <c r="AL75" s="28" t="s">
        <v>126</v>
      </c>
      <c r="AM75" s="28" t="s">
        <v>91</v>
      </c>
      <c r="AN75" s="28"/>
      <c r="AO75" s="28" t="s">
        <v>80</v>
      </c>
      <c r="AQ75" s="28" t="s">
        <v>80</v>
      </c>
      <c r="AR75" s="28" t="s">
        <v>80</v>
      </c>
      <c r="AS75" s="28" t="s">
        <v>80</v>
      </c>
      <c r="AT75" s="28" t="s">
        <v>80</v>
      </c>
      <c r="AU75" s="28"/>
      <c r="AW75" s="28" t="s">
        <v>84</v>
      </c>
      <c r="AX75" s="28" t="s">
        <v>82</v>
      </c>
      <c r="AY75" s="28" t="s">
        <v>82</v>
      </c>
      <c r="AZ75" s="28" t="s">
        <v>82</v>
      </c>
      <c r="BA75" s="28"/>
      <c r="BB75" s="28" t="s">
        <v>84</v>
      </c>
      <c r="BC75" s="28" t="s">
        <v>80</v>
      </c>
      <c r="BD75" s="28" t="s">
        <v>93</v>
      </c>
      <c r="BE75" s="28" t="s">
        <v>113</v>
      </c>
      <c r="BF75" s="28" t="s">
        <v>112</v>
      </c>
      <c r="BG75" s="28" t="s">
        <v>84</v>
      </c>
      <c r="BH75" s="28" t="s">
        <v>84</v>
      </c>
      <c r="BI75" s="28" t="s">
        <v>1906</v>
      </c>
      <c r="BJ75" s="28" t="s">
        <v>84</v>
      </c>
      <c r="BK75" s="28" t="s">
        <v>80</v>
      </c>
      <c r="BL75" s="28">
        <v>2</v>
      </c>
      <c r="BM75" s="28">
        <v>1</v>
      </c>
      <c r="BN75" s="28">
        <v>1</v>
      </c>
      <c r="BO75" s="28">
        <v>1</v>
      </c>
      <c r="BP75" s="28">
        <v>2</v>
      </c>
      <c r="BQ75" s="28">
        <v>1</v>
      </c>
      <c r="BS75" s="28" t="s">
        <v>99</v>
      </c>
      <c r="BT75" s="28"/>
      <c r="BU75" s="28"/>
      <c r="BV75" s="28"/>
      <c r="BX75" s="28" t="s">
        <v>82</v>
      </c>
      <c r="BY75" s="28"/>
      <c r="BZ75" s="28" t="s">
        <v>84</v>
      </c>
      <c r="CA75" s="28"/>
      <c r="CB75" s="28" t="s">
        <v>82</v>
      </c>
      <c r="CC75" s="28"/>
      <c r="CD75" s="28" t="s">
        <v>82</v>
      </c>
      <c r="CE75" s="28"/>
      <c r="CF75" s="28"/>
      <c r="CG75" s="28"/>
      <c r="CI75" s="28" t="s">
        <v>84</v>
      </c>
      <c r="CJ75" s="28"/>
      <c r="CK75" s="28" t="s">
        <v>82</v>
      </c>
      <c r="CL75" s="28"/>
      <c r="CM75" s="28" t="s">
        <v>82</v>
      </c>
      <c r="CN75" s="28"/>
      <c r="CO75" s="28"/>
      <c r="CP75" s="28"/>
      <c r="CQ75" s="28" t="s">
        <v>97</v>
      </c>
      <c r="CR75" s="28" t="s">
        <v>84</v>
      </c>
      <c r="CS75" s="28" t="s">
        <v>1312</v>
      </c>
      <c r="CT75" s="28"/>
      <c r="CU75" s="28" t="s">
        <v>81</v>
      </c>
      <c r="CV75" s="28"/>
      <c r="CW75" s="28" t="s">
        <v>84</v>
      </c>
      <c r="CX75" s="28" t="s">
        <v>1907</v>
      </c>
      <c r="CY75" s="28"/>
      <c r="CZ75" s="28"/>
      <c r="DA75" s="28" t="s">
        <v>82</v>
      </c>
      <c r="DB75" s="28"/>
      <c r="DC75" s="28" t="s">
        <v>84</v>
      </c>
      <c r="DD75" s="28" t="s">
        <v>84</v>
      </c>
      <c r="DG75" s="28">
        <v>2</v>
      </c>
      <c r="DH75" s="28">
        <v>1</v>
      </c>
      <c r="DI75" s="28">
        <v>1</v>
      </c>
      <c r="DJ75" s="28">
        <v>1</v>
      </c>
      <c r="DK75" s="28">
        <v>1</v>
      </c>
      <c r="DL75" s="28">
        <v>1</v>
      </c>
      <c r="DM75" s="28">
        <v>1</v>
      </c>
      <c r="DN75" s="28">
        <v>1</v>
      </c>
      <c r="DO75" s="28">
        <v>2</v>
      </c>
      <c r="DP75" s="28">
        <v>1</v>
      </c>
      <c r="DQ75" s="28">
        <v>2</v>
      </c>
      <c r="DR75" s="28">
        <v>1</v>
      </c>
      <c r="DS75" s="28" t="s">
        <v>118</v>
      </c>
      <c r="DT75" s="28" t="s">
        <v>84</v>
      </c>
      <c r="DU75" s="28"/>
      <c r="DV75" s="28" t="s">
        <v>84</v>
      </c>
      <c r="DW75" s="28" t="s">
        <v>113</v>
      </c>
      <c r="DX75" s="28" t="s">
        <v>81</v>
      </c>
      <c r="DY75" s="28" t="s">
        <v>1908</v>
      </c>
      <c r="DZ75" s="28" t="s">
        <v>93</v>
      </c>
      <c r="EA75" s="28"/>
      <c r="EB75" s="28" t="s">
        <v>82</v>
      </c>
      <c r="EC75" s="28"/>
      <c r="ED75" s="28" t="s">
        <v>81</v>
      </c>
      <c r="EE75" s="28"/>
      <c r="EF75" s="28" t="s">
        <v>84</v>
      </c>
      <c r="EG75" s="28" t="s">
        <v>84</v>
      </c>
      <c r="EH75" s="28" t="s">
        <v>82</v>
      </c>
      <c r="EI75" s="28"/>
      <c r="EJ75" s="28" t="s">
        <v>1909</v>
      </c>
      <c r="EK75" s="28" t="s">
        <v>1910</v>
      </c>
      <c r="EL75" s="28" t="s">
        <v>1911</v>
      </c>
      <c r="EM75" s="11">
        <v>904.15</v>
      </c>
      <c r="EN75" s="11">
        <v>48.33</v>
      </c>
      <c r="EQ75" s="11">
        <v>71.75</v>
      </c>
      <c r="EW75" s="11">
        <v>48.56</v>
      </c>
      <c r="FF75" s="11">
        <v>27.25</v>
      </c>
      <c r="FJ75" s="11">
        <v>21.59</v>
      </c>
      <c r="FP75" s="11">
        <v>39.68</v>
      </c>
      <c r="FV75" s="11">
        <v>166.19</v>
      </c>
      <c r="GC75" s="11">
        <v>189.17</v>
      </c>
      <c r="GT75" s="11">
        <v>16.34</v>
      </c>
      <c r="GX75" s="11">
        <v>98.22</v>
      </c>
      <c r="HB75" s="11">
        <v>177.07</v>
      </c>
      <c r="HQ75" s="62">
        <f t="shared" si="6"/>
        <v>904.15</v>
      </c>
      <c r="HR75" s="62">
        <f t="shared" si="5"/>
        <v>15.069166666666666</v>
      </c>
    </row>
    <row r="76" spans="1:226" ht="12.95" customHeight="1" x14ac:dyDescent="0.2">
      <c r="A76" s="11">
        <v>135</v>
      </c>
      <c r="B76" s="9">
        <v>110</v>
      </c>
      <c r="C76" s="9" t="s">
        <v>83</v>
      </c>
      <c r="D76" s="9">
        <v>11</v>
      </c>
      <c r="E76" s="9" t="s">
        <v>79</v>
      </c>
      <c r="F76" s="9">
        <v>1780197341</v>
      </c>
      <c r="G76" s="9" t="s">
        <v>81</v>
      </c>
      <c r="H76" s="9" t="s">
        <v>84</v>
      </c>
      <c r="I76" s="13" t="s">
        <v>119</v>
      </c>
      <c r="J76" s="13" t="s">
        <v>2000</v>
      </c>
      <c r="M76" s="13" t="s">
        <v>1309</v>
      </c>
      <c r="N76" s="13" t="s">
        <v>618</v>
      </c>
      <c r="O76" s="13"/>
      <c r="P76" s="13" t="s">
        <v>87</v>
      </c>
      <c r="Q76" s="13" t="s">
        <v>1296</v>
      </c>
      <c r="S76" s="13" t="s">
        <v>84</v>
      </c>
      <c r="T76" s="13" t="s">
        <v>84</v>
      </c>
      <c r="U76" s="13" t="s">
        <v>82</v>
      </c>
      <c r="V76" s="13" t="s">
        <v>84</v>
      </c>
      <c r="W76" s="13" t="s">
        <v>82</v>
      </c>
      <c r="X76" s="13" t="s">
        <v>84</v>
      </c>
      <c r="Y76" s="13" t="s">
        <v>82</v>
      </c>
      <c r="Z76" s="13" t="s">
        <v>82</v>
      </c>
      <c r="AA76" s="13"/>
      <c r="AB76" s="13" t="s">
        <v>84</v>
      </c>
      <c r="AC76" s="13" t="s">
        <v>2012</v>
      </c>
      <c r="AD76" s="13" t="s">
        <v>84</v>
      </c>
      <c r="AE76" s="13" t="s">
        <v>2013</v>
      </c>
      <c r="AF76" s="13" t="s">
        <v>2014</v>
      </c>
      <c r="AG76" s="13" t="s">
        <v>80</v>
      </c>
      <c r="AH76" s="13"/>
      <c r="AI76" s="13" t="s">
        <v>84</v>
      </c>
      <c r="AJ76" s="13"/>
      <c r="AK76" s="13" t="s">
        <v>2015</v>
      </c>
      <c r="AL76" s="13" t="s">
        <v>126</v>
      </c>
      <c r="AM76" s="13" t="s">
        <v>91</v>
      </c>
      <c r="AN76" s="13"/>
      <c r="AO76" s="13" t="s">
        <v>80</v>
      </c>
      <c r="AQ76" s="13" t="s">
        <v>80</v>
      </c>
      <c r="AR76" s="13" t="s">
        <v>80</v>
      </c>
      <c r="AS76" s="13" t="s">
        <v>80</v>
      </c>
      <c r="AT76" s="13" t="s">
        <v>80</v>
      </c>
      <c r="AU76" s="13"/>
      <c r="AW76" s="13" t="s">
        <v>84</v>
      </c>
      <c r="AX76" s="13" t="s">
        <v>82</v>
      </c>
      <c r="AY76" s="13" t="s">
        <v>84</v>
      </c>
      <c r="AZ76" s="13" t="s">
        <v>84</v>
      </c>
      <c r="BA76" s="13"/>
      <c r="BB76" s="13" t="s">
        <v>84</v>
      </c>
      <c r="BC76" s="13" t="s">
        <v>80</v>
      </c>
      <c r="BD76" s="13" t="s">
        <v>113</v>
      </c>
      <c r="BE76" s="13" t="s">
        <v>100</v>
      </c>
      <c r="BF76" s="13" t="s">
        <v>100</v>
      </c>
      <c r="BG76" s="13" t="s">
        <v>84</v>
      </c>
      <c r="BH76" s="13" t="s">
        <v>84</v>
      </c>
      <c r="BI76" s="13" t="s">
        <v>2128</v>
      </c>
      <c r="BJ76" s="13" t="s">
        <v>84</v>
      </c>
      <c r="BK76" s="13" t="s">
        <v>80</v>
      </c>
      <c r="BL76" s="13">
        <v>2</v>
      </c>
      <c r="BM76" s="13">
        <v>5</v>
      </c>
      <c r="BN76" s="13">
        <v>2</v>
      </c>
      <c r="BO76" s="13">
        <v>4</v>
      </c>
      <c r="BP76" s="13">
        <v>2</v>
      </c>
      <c r="BQ76" s="13">
        <v>5</v>
      </c>
      <c r="BS76" s="13" t="s">
        <v>97</v>
      </c>
      <c r="BT76" s="13"/>
      <c r="BU76" s="13" t="s">
        <v>246</v>
      </c>
      <c r="BV76" s="13"/>
      <c r="BX76" s="13" t="s">
        <v>80</v>
      </c>
      <c r="BY76" s="13"/>
      <c r="BZ76" s="13" t="s">
        <v>80</v>
      </c>
      <c r="CA76" s="13"/>
      <c r="CB76" s="13" t="s">
        <v>80</v>
      </c>
      <c r="CC76" s="13"/>
      <c r="CD76" s="13" t="s">
        <v>80</v>
      </c>
      <c r="CE76" s="13"/>
      <c r="CF76" s="13"/>
      <c r="CG76" s="13"/>
      <c r="CI76" s="13" t="s">
        <v>84</v>
      </c>
      <c r="CJ76" s="13"/>
      <c r="CK76" s="13" t="s">
        <v>82</v>
      </c>
      <c r="CL76" s="13"/>
      <c r="CM76" s="13" t="s">
        <v>82</v>
      </c>
      <c r="CN76" s="13"/>
      <c r="CO76" s="13"/>
      <c r="CP76" s="13"/>
      <c r="CQ76" s="13" t="s">
        <v>118</v>
      </c>
      <c r="CR76" s="13" t="s">
        <v>84</v>
      </c>
      <c r="CS76" s="13" t="s">
        <v>1312</v>
      </c>
      <c r="CT76" s="13"/>
      <c r="CU76" s="13" t="s">
        <v>81</v>
      </c>
      <c r="CV76" s="13"/>
      <c r="CW76" s="13" t="s">
        <v>82</v>
      </c>
      <c r="CX76" s="13"/>
      <c r="CY76" s="13" t="s">
        <v>81</v>
      </c>
      <c r="CZ76" s="13" t="s">
        <v>2193</v>
      </c>
      <c r="DA76" s="13" t="s">
        <v>82</v>
      </c>
      <c r="DB76" s="13"/>
      <c r="DC76" s="13" t="s">
        <v>84</v>
      </c>
      <c r="DD76" s="13" t="s">
        <v>84</v>
      </c>
      <c r="DG76" s="13">
        <v>2</v>
      </c>
      <c r="DH76" s="13">
        <v>5</v>
      </c>
      <c r="DI76" s="13">
        <v>4</v>
      </c>
      <c r="DJ76" s="13">
        <v>5</v>
      </c>
      <c r="DK76" s="13">
        <v>1</v>
      </c>
      <c r="DL76" s="13">
        <v>5</v>
      </c>
      <c r="DM76" s="13">
        <v>2</v>
      </c>
      <c r="DN76" s="13">
        <v>5</v>
      </c>
      <c r="DO76" s="13">
        <v>3</v>
      </c>
      <c r="DP76" s="13">
        <v>4</v>
      </c>
      <c r="DQ76" s="13">
        <v>3</v>
      </c>
      <c r="DR76" s="13">
        <v>5</v>
      </c>
      <c r="DS76" s="13" t="s">
        <v>97</v>
      </c>
      <c r="DT76" s="13" t="s">
        <v>84</v>
      </c>
      <c r="DU76" s="13"/>
      <c r="DV76" s="13" t="s">
        <v>84</v>
      </c>
      <c r="DW76" s="13" t="s">
        <v>113</v>
      </c>
      <c r="DX76" s="13" t="s">
        <v>81</v>
      </c>
      <c r="DY76" s="13" t="s">
        <v>2277</v>
      </c>
      <c r="DZ76" s="13" t="s">
        <v>113</v>
      </c>
      <c r="EA76" s="13"/>
      <c r="EB76" s="13" t="s">
        <v>84</v>
      </c>
      <c r="EC76" s="13"/>
      <c r="ED76" s="13"/>
      <c r="EE76" s="13"/>
      <c r="EF76" s="13" t="s">
        <v>82</v>
      </c>
      <c r="EG76" s="13" t="s">
        <v>84</v>
      </c>
      <c r="EH76" s="13" t="s">
        <v>84</v>
      </c>
      <c r="EI76" s="13" t="s">
        <v>2278</v>
      </c>
      <c r="EJ76" s="13" t="s">
        <v>2279</v>
      </c>
      <c r="EK76" s="13" t="s">
        <v>2280</v>
      </c>
      <c r="EL76" s="13" t="s">
        <v>2281</v>
      </c>
      <c r="EM76" s="9">
        <v>1629.35</v>
      </c>
      <c r="EN76" s="9">
        <v>27.31</v>
      </c>
      <c r="EO76" s="9"/>
      <c r="EP76" s="9"/>
      <c r="EQ76" s="9">
        <v>54.92</v>
      </c>
      <c r="ER76" s="9"/>
      <c r="ES76" s="9"/>
      <c r="ET76" s="9"/>
      <c r="EU76" s="9"/>
      <c r="EV76" s="9"/>
      <c r="EW76" s="9">
        <v>595.42999999999995</v>
      </c>
      <c r="EX76" s="9"/>
      <c r="EY76" s="9"/>
      <c r="EZ76" s="9"/>
      <c r="FA76" s="9"/>
      <c r="FB76" s="9"/>
      <c r="FC76" s="9"/>
      <c r="FD76" s="9"/>
      <c r="FE76" s="9"/>
      <c r="FF76" s="9">
        <v>89.38</v>
      </c>
      <c r="FG76" s="9"/>
      <c r="FH76" s="9"/>
      <c r="FI76" s="9"/>
      <c r="FJ76" s="9">
        <v>19.670000000000002</v>
      </c>
      <c r="FK76" s="9"/>
      <c r="FL76" s="9"/>
      <c r="FM76" s="9"/>
      <c r="FN76" s="9"/>
      <c r="FO76" s="9"/>
      <c r="FP76" s="9">
        <v>34.46</v>
      </c>
      <c r="FQ76" s="9"/>
      <c r="FR76" s="9"/>
      <c r="FS76" s="9"/>
      <c r="FT76" s="9"/>
      <c r="FU76" s="9"/>
      <c r="FV76" s="9">
        <v>65.08</v>
      </c>
      <c r="FW76" s="9"/>
      <c r="FX76" s="9"/>
      <c r="FY76" s="9"/>
      <c r="FZ76" s="9"/>
      <c r="GA76" s="9"/>
      <c r="GB76" s="9"/>
      <c r="GC76" s="9">
        <v>237.61</v>
      </c>
      <c r="GD76" s="9"/>
      <c r="GE76" s="9"/>
      <c r="GF76" s="9"/>
      <c r="GG76" s="9"/>
      <c r="GH76" s="9"/>
      <c r="GI76" s="9"/>
      <c r="GJ76" s="9"/>
      <c r="GK76" s="9"/>
      <c r="GL76" s="9"/>
      <c r="GM76" s="9"/>
      <c r="GN76" s="9"/>
      <c r="GO76" s="9"/>
      <c r="GP76" s="9"/>
      <c r="GQ76" s="9"/>
      <c r="GR76" s="9"/>
      <c r="GS76" s="9"/>
      <c r="GT76" s="9">
        <v>11.95</v>
      </c>
      <c r="GU76" s="9"/>
      <c r="GV76" s="9"/>
      <c r="GW76" s="9"/>
      <c r="GX76" s="9">
        <v>107.18</v>
      </c>
      <c r="GY76" s="9"/>
      <c r="GZ76" s="9"/>
      <c r="HA76" s="9"/>
      <c r="HB76" s="9">
        <v>386.36</v>
      </c>
      <c r="HC76" s="9"/>
      <c r="HD76" s="9"/>
      <c r="HE76" s="9"/>
      <c r="HF76" s="9"/>
      <c r="HG76" s="9"/>
      <c r="HH76" s="9"/>
      <c r="HI76" s="9"/>
      <c r="HJ76" s="9"/>
      <c r="HK76" s="9"/>
      <c r="HL76" s="9"/>
      <c r="HM76" s="9"/>
      <c r="HN76" s="9"/>
      <c r="HO76" s="9"/>
      <c r="HP76" s="9"/>
      <c r="HQ76" s="62">
        <f t="shared" si="6"/>
        <v>1629.35</v>
      </c>
      <c r="HR76" s="62">
        <f t="shared" si="5"/>
        <v>27.15583333333333</v>
      </c>
    </row>
    <row r="77" spans="1:226" ht="12.95" customHeight="1" x14ac:dyDescent="0.2">
      <c r="A77" s="11">
        <v>136</v>
      </c>
      <c r="B77" s="9">
        <v>112</v>
      </c>
      <c r="C77" s="9" t="s">
        <v>83</v>
      </c>
      <c r="D77" s="9">
        <v>11</v>
      </c>
      <c r="E77" s="9" t="s">
        <v>79</v>
      </c>
      <c r="F77" s="9">
        <v>839932979</v>
      </c>
      <c r="G77" s="9" t="s">
        <v>81</v>
      </c>
      <c r="H77" s="9" t="s">
        <v>84</v>
      </c>
      <c r="I77" s="13" t="s">
        <v>107</v>
      </c>
      <c r="J77" s="13"/>
      <c r="M77" s="13" t="s">
        <v>1319</v>
      </c>
      <c r="N77" s="13" t="s">
        <v>618</v>
      </c>
      <c r="O77" s="13"/>
      <c r="P77" s="13" t="s">
        <v>87</v>
      </c>
      <c r="Q77" s="13" t="s">
        <v>1296</v>
      </c>
      <c r="S77" s="13" t="s">
        <v>84</v>
      </c>
      <c r="T77" s="13" t="s">
        <v>84</v>
      </c>
      <c r="U77" s="13" t="s">
        <v>84</v>
      </c>
      <c r="V77" s="13" t="s">
        <v>84</v>
      </c>
      <c r="W77" s="13" t="s">
        <v>82</v>
      </c>
      <c r="X77" s="13" t="s">
        <v>82</v>
      </c>
      <c r="Y77" s="13" t="s">
        <v>84</v>
      </c>
      <c r="Z77" s="13" t="s">
        <v>82</v>
      </c>
      <c r="AA77" s="13"/>
      <c r="AB77" s="13" t="s">
        <v>84</v>
      </c>
      <c r="AC77" s="13" t="s">
        <v>2016</v>
      </c>
      <c r="AD77" s="13" t="s">
        <v>82</v>
      </c>
      <c r="AE77" s="13"/>
      <c r="AF77" s="13"/>
      <c r="AG77" s="13" t="s">
        <v>84</v>
      </c>
      <c r="AH77" s="13"/>
      <c r="AI77" s="13" t="s">
        <v>84</v>
      </c>
      <c r="AJ77" s="13"/>
      <c r="AK77" s="13" t="s">
        <v>2017</v>
      </c>
      <c r="AL77" s="13" t="s">
        <v>126</v>
      </c>
      <c r="AM77" s="13" t="s">
        <v>111</v>
      </c>
      <c r="AN77" s="13"/>
      <c r="AO77" s="13" t="s">
        <v>80</v>
      </c>
      <c r="AQ77" s="13" t="s">
        <v>84</v>
      </c>
      <c r="AR77" s="13" t="s">
        <v>84</v>
      </c>
      <c r="AS77" s="13" t="s">
        <v>82</v>
      </c>
      <c r="AT77" s="13" t="s">
        <v>84</v>
      </c>
      <c r="AU77" s="13"/>
      <c r="AW77" s="13" t="s">
        <v>80</v>
      </c>
      <c r="AX77" s="13" t="s">
        <v>80</v>
      </c>
      <c r="AY77" s="13" t="s">
        <v>80</v>
      </c>
      <c r="AZ77" s="13" t="s">
        <v>80</v>
      </c>
      <c r="BA77" s="13"/>
      <c r="BB77" s="13" t="s">
        <v>84</v>
      </c>
      <c r="BC77" s="13" t="s">
        <v>80</v>
      </c>
      <c r="BD77" s="13" t="s">
        <v>113</v>
      </c>
      <c r="BE77" s="13" t="s">
        <v>113</v>
      </c>
      <c r="BF77" s="13" t="s">
        <v>100</v>
      </c>
      <c r="BG77" s="13" t="s">
        <v>84</v>
      </c>
      <c r="BH77" s="13" t="s">
        <v>82</v>
      </c>
      <c r="BI77" s="13"/>
      <c r="BJ77" s="13" t="s">
        <v>84</v>
      </c>
      <c r="BK77" s="13" t="s">
        <v>80</v>
      </c>
      <c r="BL77" s="13">
        <v>4</v>
      </c>
      <c r="BM77" s="13">
        <v>2</v>
      </c>
      <c r="BN77" s="13">
        <v>1</v>
      </c>
      <c r="BO77" s="13">
        <v>1</v>
      </c>
      <c r="BP77" s="13">
        <v>4</v>
      </c>
      <c r="BQ77" s="13">
        <v>2</v>
      </c>
      <c r="BS77" s="13" t="s">
        <v>118</v>
      </c>
      <c r="BT77" s="13"/>
      <c r="BU77" s="13"/>
      <c r="BV77" s="13"/>
      <c r="BX77" s="13" t="s">
        <v>84</v>
      </c>
      <c r="BY77" s="13" t="s">
        <v>2172</v>
      </c>
      <c r="BZ77" s="13" t="s">
        <v>82</v>
      </c>
      <c r="CA77" s="13"/>
      <c r="CB77" s="13" t="s">
        <v>82</v>
      </c>
      <c r="CC77" s="13"/>
      <c r="CD77" s="13" t="s">
        <v>82</v>
      </c>
      <c r="CE77" s="13"/>
      <c r="CF77" s="13"/>
      <c r="CG77" s="13"/>
      <c r="CI77" s="13" t="s">
        <v>84</v>
      </c>
      <c r="CJ77" s="13"/>
      <c r="CK77" s="13" t="s">
        <v>84</v>
      </c>
      <c r="CL77" s="13"/>
      <c r="CM77" s="13" t="s">
        <v>82</v>
      </c>
      <c r="CN77" s="13"/>
      <c r="CO77" s="13"/>
      <c r="CP77" s="13"/>
      <c r="CQ77" s="13" t="s">
        <v>97</v>
      </c>
      <c r="CR77" s="13" t="s">
        <v>84</v>
      </c>
      <c r="CS77" s="13" t="s">
        <v>97</v>
      </c>
      <c r="CT77" s="13"/>
      <c r="CU77" s="13" t="s">
        <v>246</v>
      </c>
      <c r="CV77" s="13"/>
      <c r="CW77" s="13" t="s">
        <v>82</v>
      </c>
      <c r="CX77" s="13"/>
      <c r="CY77" s="13" t="s">
        <v>246</v>
      </c>
      <c r="CZ77" s="13" t="s">
        <v>2194</v>
      </c>
      <c r="DA77" s="13" t="s">
        <v>82</v>
      </c>
      <c r="DB77" s="13"/>
      <c r="DC77" s="13" t="s">
        <v>84</v>
      </c>
      <c r="DD77" s="13" t="s">
        <v>84</v>
      </c>
      <c r="DG77" s="13">
        <v>2</v>
      </c>
      <c r="DH77" s="13">
        <v>2</v>
      </c>
      <c r="DI77" s="13">
        <v>3</v>
      </c>
      <c r="DJ77" s="13">
        <v>2</v>
      </c>
      <c r="DK77" s="13">
        <v>2</v>
      </c>
      <c r="DL77" s="13">
        <v>2</v>
      </c>
      <c r="DM77" s="13">
        <v>2</v>
      </c>
      <c r="DN77" s="13">
        <v>2</v>
      </c>
      <c r="DO77" s="13">
        <v>3</v>
      </c>
      <c r="DP77" s="13">
        <v>2</v>
      </c>
      <c r="DQ77" s="13">
        <v>2</v>
      </c>
      <c r="DR77" s="13">
        <v>2</v>
      </c>
      <c r="DS77" s="13" t="s">
        <v>97</v>
      </c>
      <c r="DT77" s="13" t="s">
        <v>106</v>
      </c>
      <c r="DU77" s="13"/>
      <c r="DV77" s="13" t="s">
        <v>84</v>
      </c>
      <c r="DW77" s="13" t="s">
        <v>100</v>
      </c>
      <c r="DX77" s="13" t="s">
        <v>246</v>
      </c>
      <c r="DY77" s="13" t="s">
        <v>2282</v>
      </c>
      <c r="DZ77" s="13" t="s">
        <v>113</v>
      </c>
      <c r="EA77" s="13"/>
      <c r="EB77" s="13" t="s">
        <v>84</v>
      </c>
      <c r="EC77" s="13"/>
      <c r="ED77" s="13"/>
      <c r="EE77" s="13"/>
      <c r="EF77" s="13" t="s">
        <v>82</v>
      </c>
      <c r="EG77" s="13" t="s">
        <v>84</v>
      </c>
      <c r="EH77" s="13" t="s">
        <v>84</v>
      </c>
      <c r="EI77" s="13" t="s">
        <v>2283</v>
      </c>
      <c r="EJ77" s="13"/>
      <c r="EK77" s="13" t="s">
        <v>2284</v>
      </c>
      <c r="EL77" s="13" t="s">
        <v>2285</v>
      </c>
      <c r="EM77" s="9">
        <v>975.27</v>
      </c>
      <c r="EN77" s="9">
        <v>16.510000000000002</v>
      </c>
      <c r="EO77" s="9"/>
      <c r="EP77" s="9"/>
      <c r="EQ77" s="9">
        <v>31.64</v>
      </c>
      <c r="ER77" s="9"/>
      <c r="ES77" s="9"/>
      <c r="ET77" s="9"/>
      <c r="EU77" s="9"/>
      <c r="EV77" s="9"/>
      <c r="EW77" s="9">
        <v>67.099999999999994</v>
      </c>
      <c r="EX77" s="9"/>
      <c r="EY77" s="9"/>
      <c r="EZ77" s="9"/>
      <c r="FA77" s="9"/>
      <c r="FB77" s="9"/>
      <c r="FC77" s="9"/>
      <c r="FD77" s="9"/>
      <c r="FE77" s="9"/>
      <c r="FF77" s="9">
        <v>77.92</v>
      </c>
      <c r="FG77" s="9"/>
      <c r="FH77" s="9"/>
      <c r="FI77" s="9"/>
      <c r="FJ77" s="9">
        <v>22.55</v>
      </c>
      <c r="FK77" s="9"/>
      <c r="FL77" s="9"/>
      <c r="FM77" s="9"/>
      <c r="FN77" s="9"/>
      <c r="FO77" s="9"/>
      <c r="FP77" s="9">
        <v>28.13</v>
      </c>
      <c r="FQ77" s="9"/>
      <c r="FR77" s="9"/>
      <c r="FS77" s="9"/>
      <c r="FT77" s="9"/>
      <c r="FU77" s="9"/>
      <c r="FV77" s="9">
        <v>52.41</v>
      </c>
      <c r="FW77" s="9"/>
      <c r="FX77" s="9"/>
      <c r="FY77" s="9"/>
      <c r="FZ77" s="9"/>
      <c r="GA77" s="9"/>
      <c r="GB77" s="9"/>
      <c r="GC77" s="9">
        <v>215.3</v>
      </c>
      <c r="GD77" s="9"/>
      <c r="GE77" s="9"/>
      <c r="GF77" s="9"/>
      <c r="GG77" s="9"/>
      <c r="GH77" s="9"/>
      <c r="GI77" s="9"/>
      <c r="GJ77" s="9"/>
      <c r="GK77" s="9"/>
      <c r="GL77" s="9"/>
      <c r="GM77" s="9"/>
      <c r="GN77" s="9"/>
      <c r="GO77" s="9"/>
      <c r="GP77" s="9"/>
      <c r="GQ77" s="9"/>
      <c r="GR77" s="9"/>
      <c r="GS77" s="9"/>
      <c r="GT77" s="9">
        <v>11.89</v>
      </c>
      <c r="GU77" s="9"/>
      <c r="GV77" s="9"/>
      <c r="GW77" s="9"/>
      <c r="GX77" s="9">
        <v>267.2</v>
      </c>
      <c r="GY77" s="9"/>
      <c r="GZ77" s="9"/>
      <c r="HA77" s="9"/>
      <c r="HB77" s="9">
        <v>184.62</v>
      </c>
      <c r="HC77" s="9"/>
      <c r="HD77" s="9"/>
      <c r="HE77" s="9"/>
      <c r="HF77" s="9"/>
      <c r="HG77" s="9"/>
      <c r="HH77" s="9"/>
      <c r="HI77" s="9"/>
      <c r="HJ77" s="9"/>
      <c r="HK77" s="9"/>
      <c r="HL77" s="9"/>
      <c r="HM77" s="9"/>
      <c r="HN77" s="9"/>
      <c r="HO77" s="9"/>
      <c r="HP77" s="9"/>
      <c r="HQ77" s="62">
        <f t="shared" si="6"/>
        <v>975.27</v>
      </c>
      <c r="HR77" s="62">
        <f t="shared" si="5"/>
        <v>16.2545</v>
      </c>
    </row>
    <row r="78" spans="1:226" ht="12.95" customHeight="1" x14ac:dyDescent="0.2">
      <c r="A78" s="11">
        <v>137</v>
      </c>
      <c r="B78" s="9">
        <v>114</v>
      </c>
      <c r="C78" s="9" t="s">
        <v>83</v>
      </c>
      <c r="D78" s="9">
        <v>11</v>
      </c>
      <c r="E78" s="9" t="s">
        <v>79</v>
      </c>
      <c r="F78" s="9">
        <v>1923093990</v>
      </c>
      <c r="G78" s="9" t="s">
        <v>81</v>
      </c>
      <c r="H78" s="9" t="s">
        <v>84</v>
      </c>
      <c r="I78" s="13" t="s">
        <v>105</v>
      </c>
      <c r="J78" s="13"/>
      <c r="M78" s="13" t="s">
        <v>1319</v>
      </c>
      <c r="N78" s="13" t="s">
        <v>106</v>
      </c>
      <c r="O78" s="13"/>
      <c r="P78" s="13" t="s">
        <v>87</v>
      </c>
      <c r="Q78" s="13" t="s">
        <v>1296</v>
      </c>
      <c r="S78" s="13" t="s">
        <v>84</v>
      </c>
      <c r="T78" s="13" t="s">
        <v>84</v>
      </c>
      <c r="U78" s="13" t="s">
        <v>84</v>
      </c>
      <c r="V78" s="13" t="s">
        <v>82</v>
      </c>
      <c r="W78" s="13" t="s">
        <v>82</v>
      </c>
      <c r="X78" s="13" t="s">
        <v>84</v>
      </c>
      <c r="Y78" s="13" t="s">
        <v>84</v>
      </c>
      <c r="Z78" s="13" t="s">
        <v>82</v>
      </c>
      <c r="AA78" s="13"/>
      <c r="AB78" s="13" t="s">
        <v>82</v>
      </c>
      <c r="AC78" s="13"/>
      <c r="AD78" s="13" t="s">
        <v>82</v>
      </c>
      <c r="AE78" s="13"/>
      <c r="AF78" s="13"/>
      <c r="AG78" s="13" t="s">
        <v>82</v>
      </c>
      <c r="AH78" s="13"/>
      <c r="AI78" s="13" t="s">
        <v>84</v>
      </c>
      <c r="AJ78" s="13"/>
      <c r="AK78" s="13"/>
      <c r="AL78" s="13" t="s">
        <v>126</v>
      </c>
      <c r="AM78" s="13" t="s">
        <v>111</v>
      </c>
      <c r="AN78" s="13"/>
      <c r="AO78" s="13" t="s">
        <v>80</v>
      </c>
      <c r="AQ78" s="13" t="s">
        <v>84</v>
      </c>
      <c r="AR78" s="13" t="s">
        <v>82</v>
      </c>
      <c r="AS78" s="13" t="s">
        <v>82</v>
      </c>
      <c r="AT78" s="13" t="s">
        <v>84</v>
      </c>
      <c r="AU78" s="13"/>
      <c r="AW78" s="13" t="s">
        <v>80</v>
      </c>
      <c r="AX78" s="13" t="s">
        <v>80</v>
      </c>
      <c r="AY78" s="13" t="s">
        <v>80</v>
      </c>
      <c r="AZ78" s="13" t="s">
        <v>80</v>
      </c>
      <c r="BA78" s="13"/>
      <c r="BB78" s="13" t="s">
        <v>84</v>
      </c>
      <c r="BC78" s="13" t="s">
        <v>80</v>
      </c>
      <c r="BD78" s="13" t="s">
        <v>100</v>
      </c>
      <c r="BE78" s="13" t="s">
        <v>100</v>
      </c>
      <c r="BF78" s="13" t="s">
        <v>100</v>
      </c>
      <c r="BG78" s="13" t="s">
        <v>84</v>
      </c>
      <c r="BH78" s="13" t="s">
        <v>84</v>
      </c>
      <c r="BI78" s="13"/>
      <c r="BJ78" s="13" t="s">
        <v>84</v>
      </c>
      <c r="BK78" s="13" t="s">
        <v>80</v>
      </c>
      <c r="BL78" s="13">
        <v>4</v>
      </c>
      <c r="BM78" s="13">
        <v>5</v>
      </c>
      <c r="BN78" s="13">
        <v>4</v>
      </c>
      <c r="BO78" s="13">
        <v>5</v>
      </c>
      <c r="BP78" s="13">
        <v>3</v>
      </c>
      <c r="BQ78" s="13">
        <v>5</v>
      </c>
      <c r="BS78" s="13" t="s">
        <v>118</v>
      </c>
      <c r="BT78" s="13"/>
      <c r="BU78" s="13"/>
      <c r="BV78" s="13"/>
      <c r="BX78" s="13" t="s">
        <v>84</v>
      </c>
      <c r="BY78" s="13"/>
      <c r="BZ78" s="13" t="s">
        <v>82</v>
      </c>
      <c r="CA78" s="13"/>
      <c r="CB78" s="13" t="s">
        <v>82</v>
      </c>
      <c r="CC78" s="13"/>
      <c r="CD78" s="13" t="s">
        <v>82</v>
      </c>
      <c r="CE78" s="13"/>
      <c r="CF78" s="13"/>
      <c r="CG78" s="13"/>
      <c r="CI78" s="13" t="s">
        <v>84</v>
      </c>
      <c r="CJ78" s="13"/>
      <c r="CK78" s="13" t="s">
        <v>82</v>
      </c>
      <c r="CL78" s="13"/>
      <c r="CM78" s="13" t="s">
        <v>82</v>
      </c>
      <c r="CN78" s="13"/>
      <c r="CO78" s="13"/>
      <c r="CP78" s="13"/>
      <c r="CQ78" s="13" t="s">
        <v>118</v>
      </c>
      <c r="CR78" s="13" t="s">
        <v>84</v>
      </c>
      <c r="CS78" s="13" t="s">
        <v>97</v>
      </c>
      <c r="CT78" s="13"/>
      <c r="CU78" s="13" t="s">
        <v>246</v>
      </c>
      <c r="CV78" s="13"/>
      <c r="CW78" s="13" t="s">
        <v>82</v>
      </c>
      <c r="CX78" s="13"/>
      <c r="CY78" s="13" t="s">
        <v>246</v>
      </c>
      <c r="CZ78" s="13"/>
      <c r="DA78" s="13" t="s">
        <v>82</v>
      </c>
      <c r="DB78" s="13"/>
      <c r="DC78" s="13" t="s">
        <v>84</v>
      </c>
      <c r="DD78" s="13" t="s">
        <v>84</v>
      </c>
      <c r="DG78" s="13">
        <v>5</v>
      </c>
      <c r="DH78" s="13">
        <v>5</v>
      </c>
      <c r="DI78" s="13">
        <v>5</v>
      </c>
      <c r="DJ78" s="13">
        <v>5</v>
      </c>
      <c r="DK78" s="13">
        <v>5</v>
      </c>
      <c r="DL78" s="13">
        <v>5</v>
      </c>
      <c r="DM78" s="13">
        <v>5</v>
      </c>
      <c r="DN78" s="13">
        <v>5</v>
      </c>
      <c r="DO78" s="13">
        <v>5</v>
      </c>
      <c r="DP78" s="13">
        <v>5</v>
      </c>
      <c r="DQ78" s="13">
        <v>5</v>
      </c>
      <c r="DR78" s="13">
        <v>5</v>
      </c>
      <c r="DS78" s="13" t="s">
        <v>99</v>
      </c>
      <c r="DT78" s="13" t="s">
        <v>82</v>
      </c>
      <c r="DU78" s="13"/>
      <c r="DV78" s="13" t="s">
        <v>84</v>
      </c>
      <c r="DW78" s="13" t="s">
        <v>100</v>
      </c>
      <c r="DX78" s="13" t="s">
        <v>81</v>
      </c>
      <c r="DY78" s="13"/>
      <c r="DZ78" s="13" t="s">
        <v>100</v>
      </c>
      <c r="EA78" s="13"/>
      <c r="EB78" s="13" t="s">
        <v>84</v>
      </c>
      <c r="EC78" s="13"/>
      <c r="ED78" s="13"/>
      <c r="EE78" s="13"/>
      <c r="EF78" s="13" t="s">
        <v>82</v>
      </c>
      <c r="EG78" s="13" t="s">
        <v>84</v>
      </c>
      <c r="EH78" s="13" t="s">
        <v>82</v>
      </c>
      <c r="EI78" s="13"/>
      <c r="EJ78" s="13"/>
      <c r="EK78" s="13"/>
      <c r="EL78" s="13"/>
      <c r="EM78" s="9">
        <v>361.24</v>
      </c>
      <c r="EN78" s="9">
        <v>17.41</v>
      </c>
      <c r="EO78" s="9"/>
      <c r="EP78" s="9"/>
      <c r="EQ78" s="9">
        <v>35.090000000000003</v>
      </c>
      <c r="ER78" s="9"/>
      <c r="ES78" s="9"/>
      <c r="ET78" s="9"/>
      <c r="EU78" s="9"/>
      <c r="EV78" s="9"/>
      <c r="EW78" s="9">
        <v>30.44</v>
      </c>
      <c r="EX78" s="9"/>
      <c r="EY78" s="9"/>
      <c r="EZ78" s="9"/>
      <c r="FA78" s="9"/>
      <c r="FB78" s="9"/>
      <c r="FC78" s="9"/>
      <c r="FD78" s="9"/>
      <c r="FE78" s="9"/>
      <c r="FF78" s="9">
        <v>15.58</v>
      </c>
      <c r="FG78" s="9"/>
      <c r="FH78" s="9"/>
      <c r="FI78" s="9"/>
      <c r="FJ78" s="9">
        <v>13.69</v>
      </c>
      <c r="FK78" s="9"/>
      <c r="FL78" s="9"/>
      <c r="FM78" s="9"/>
      <c r="FN78" s="9"/>
      <c r="FO78" s="9"/>
      <c r="FP78" s="9">
        <v>27.26</v>
      </c>
      <c r="FQ78" s="9"/>
      <c r="FR78" s="9"/>
      <c r="FS78" s="9"/>
      <c r="FT78" s="9"/>
      <c r="FU78" s="9"/>
      <c r="FV78" s="9">
        <v>49.74</v>
      </c>
      <c r="FW78" s="9"/>
      <c r="FX78" s="9"/>
      <c r="FY78" s="9"/>
      <c r="FZ78" s="9"/>
      <c r="GA78" s="9"/>
      <c r="GB78" s="9"/>
      <c r="GC78" s="9">
        <v>113.11</v>
      </c>
      <c r="GD78" s="9"/>
      <c r="GE78" s="9"/>
      <c r="GF78" s="9"/>
      <c r="GG78" s="9"/>
      <c r="GH78" s="9"/>
      <c r="GI78" s="9"/>
      <c r="GJ78" s="9"/>
      <c r="GK78" s="9"/>
      <c r="GL78" s="9"/>
      <c r="GM78" s="9"/>
      <c r="GN78" s="9"/>
      <c r="GO78" s="9"/>
      <c r="GP78" s="9"/>
      <c r="GQ78" s="9"/>
      <c r="GR78" s="9"/>
      <c r="GS78" s="9"/>
      <c r="GT78" s="9">
        <v>11.39</v>
      </c>
      <c r="GU78" s="9"/>
      <c r="GV78" s="9"/>
      <c r="GW78" s="9"/>
      <c r="GX78" s="9">
        <v>15.57</v>
      </c>
      <c r="GY78" s="9"/>
      <c r="GZ78" s="9"/>
      <c r="HA78" s="9"/>
      <c r="HB78" s="9">
        <v>31.96</v>
      </c>
      <c r="HC78" s="9"/>
      <c r="HD78" s="9"/>
      <c r="HE78" s="9"/>
      <c r="HF78" s="9"/>
      <c r="HG78" s="9"/>
      <c r="HH78" s="9"/>
      <c r="HI78" s="9"/>
      <c r="HJ78" s="9"/>
      <c r="HK78" s="9"/>
      <c r="HL78" s="9"/>
      <c r="HM78" s="9"/>
      <c r="HN78" s="9"/>
      <c r="HO78" s="9"/>
      <c r="HP78" s="9"/>
      <c r="HQ78" s="62">
        <f t="shared" si="6"/>
        <v>361.24</v>
      </c>
      <c r="HR78" s="62">
        <f t="shared" si="5"/>
        <v>6.0206666666666671</v>
      </c>
    </row>
    <row r="79" spans="1:226" s="33" customFormat="1" ht="12.95" customHeight="1" x14ac:dyDescent="0.2">
      <c r="A79" s="33">
        <v>138</v>
      </c>
      <c r="B79" s="32">
        <v>115</v>
      </c>
      <c r="C79" s="32"/>
      <c r="D79" s="32">
        <v>6</v>
      </c>
      <c r="E79" s="32" t="s">
        <v>79</v>
      </c>
      <c r="F79" s="32">
        <v>1029610564</v>
      </c>
      <c r="G79" s="32" t="s">
        <v>81</v>
      </c>
      <c r="H79" s="32" t="s">
        <v>84</v>
      </c>
      <c r="I79" s="32" t="s">
        <v>105</v>
      </c>
      <c r="J79" s="32"/>
      <c r="K79" s="24"/>
      <c r="L79" s="24"/>
      <c r="M79" s="32" t="s">
        <v>1319</v>
      </c>
      <c r="N79" s="32" t="s">
        <v>86</v>
      </c>
      <c r="O79" s="32"/>
      <c r="P79" s="32" t="s">
        <v>87</v>
      </c>
      <c r="Q79" s="32" t="s">
        <v>1296</v>
      </c>
      <c r="R79" s="24"/>
      <c r="S79" s="32" t="s">
        <v>84</v>
      </c>
      <c r="T79" s="32" t="s">
        <v>82</v>
      </c>
      <c r="U79" s="32" t="s">
        <v>82</v>
      </c>
      <c r="V79" s="32" t="s">
        <v>82</v>
      </c>
      <c r="W79" s="32" t="s">
        <v>82</v>
      </c>
      <c r="X79" s="32" t="s">
        <v>82</v>
      </c>
      <c r="Y79" s="32" t="s">
        <v>82</v>
      </c>
      <c r="Z79" s="32" t="s">
        <v>82</v>
      </c>
      <c r="AA79" s="32"/>
      <c r="AB79" s="32" t="s">
        <v>82</v>
      </c>
      <c r="AC79" s="32"/>
      <c r="AD79" s="32" t="s">
        <v>82</v>
      </c>
      <c r="AE79" s="32"/>
      <c r="AF79" s="32"/>
      <c r="AG79" s="32" t="s">
        <v>82</v>
      </c>
      <c r="AH79" s="32"/>
      <c r="AI79" s="32" t="s">
        <v>145</v>
      </c>
      <c r="AJ79" s="32"/>
      <c r="AK79" s="32"/>
      <c r="AL79" s="32" t="s">
        <v>140</v>
      </c>
      <c r="AM79" s="32" t="s">
        <v>111</v>
      </c>
      <c r="AN79" s="32"/>
      <c r="AO79" s="32" t="s">
        <v>80</v>
      </c>
      <c r="AP79" s="24"/>
      <c r="AQ79" s="32" t="s">
        <v>84</v>
      </c>
      <c r="AR79" s="32" t="s">
        <v>82</v>
      </c>
      <c r="AS79" s="32" t="s">
        <v>84</v>
      </c>
      <c r="AT79" s="32" t="s">
        <v>82</v>
      </c>
      <c r="AU79" s="32"/>
      <c r="AV79" s="24"/>
      <c r="AW79" s="32" t="s">
        <v>80</v>
      </c>
      <c r="AX79" s="32" t="s">
        <v>80</v>
      </c>
      <c r="AY79" s="32" t="s">
        <v>80</v>
      </c>
      <c r="AZ79" s="32" t="s">
        <v>80</v>
      </c>
      <c r="BA79" s="32"/>
      <c r="BB79" s="32" t="s">
        <v>84</v>
      </c>
      <c r="BC79" s="32" t="s">
        <v>80</v>
      </c>
      <c r="BD79" s="32" t="s">
        <v>113</v>
      </c>
      <c r="BE79" s="32" t="s">
        <v>112</v>
      </c>
      <c r="BF79" s="32" t="s">
        <v>112</v>
      </c>
      <c r="BG79" s="32" t="s">
        <v>145</v>
      </c>
      <c r="BH79" s="32" t="s">
        <v>84</v>
      </c>
      <c r="BI79" s="32"/>
      <c r="BJ79" s="32" t="s">
        <v>82</v>
      </c>
      <c r="BK79" s="32" t="s">
        <v>80</v>
      </c>
      <c r="BL79" s="32">
        <v>3</v>
      </c>
      <c r="BM79" s="32">
        <v>1</v>
      </c>
      <c r="BN79" s="32">
        <v>1</v>
      </c>
      <c r="BO79" s="32">
        <v>2</v>
      </c>
      <c r="BP79" s="32">
        <v>2</v>
      </c>
      <c r="BQ79" s="32">
        <v>2</v>
      </c>
      <c r="BR79" s="24"/>
      <c r="BS79" s="32"/>
      <c r="BT79" s="32"/>
      <c r="BU79" s="32"/>
      <c r="BV79" s="32"/>
      <c r="BW79" s="24"/>
      <c r="BX79" s="32" t="s">
        <v>80</v>
      </c>
      <c r="BY79" s="32"/>
      <c r="BZ79" s="32" t="s">
        <v>80</v>
      </c>
      <c r="CA79" s="32"/>
      <c r="CB79" s="32" t="s">
        <v>80</v>
      </c>
      <c r="CC79" s="32"/>
      <c r="CD79" s="32" t="s">
        <v>80</v>
      </c>
      <c r="CE79" s="32"/>
      <c r="CF79" s="32"/>
      <c r="CG79" s="32"/>
      <c r="CH79" s="24"/>
      <c r="CI79" s="32" t="s">
        <v>80</v>
      </c>
      <c r="CJ79" s="32"/>
      <c r="CK79" s="32" t="s">
        <v>80</v>
      </c>
      <c r="CL79" s="32"/>
      <c r="CM79" s="32" t="s">
        <v>80</v>
      </c>
      <c r="CN79" s="32"/>
      <c r="CO79" s="32"/>
      <c r="CP79" s="32"/>
      <c r="CQ79" s="32"/>
      <c r="CR79" s="32" t="s">
        <v>80</v>
      </c>
      <c r="CS79" s="32"/>
      <c r="CT79" s="32"/>
      <c r="CU79" s="32"/>
      <c r="CV79" s="32"/>
      <c r="CW79" s="32" t="s">
        <v>80</v>
      </c>
      <c r="CX79" s="32"/>
      <c r="CY79" s="32"/>
      <c r="CZ79" s="32"/>
      <c r="DA79" s="32" t="s">
        <v>80</v>
      </c>
      <c r="DB79" s="32"/>
      <c r="DC79" s="32" t="s">
        <v>80</v>
      </c>
      <c r="DD79" s="32" t="s">
        <v>80</v>
      </c>
      <c r="DE79" s="24"/>
      <c r="DF79" s="24"/>
      <c r="DG79" s="32"/>
      <c r="DH79" s="32"/>
      <c r="DI79" s="32"/>
      <c r="DJ79" s="32"/>
      <c r="DK79" s="32"/>
      <c r="DL79" s="32"/>
      <c r="DM79" s="32"/>
      <c r="DN79" s="32"/>
      <c r="DO79" s="32"/>
      <c r="DP79" s="32"/>
      <c r="DQ79" s="32"/>
      <c r="DR79" s="32"/>
      <c r="DS79" s="32"/>
      <c r="DT79" s="32"/>
      <c r="DU79" s="32"/>
      <c r="DV79" s="32" t="s">
        <v>80</v>
      </c>
      <c r="DW79" s="32"/>
      <c r="DX79" s="32"/>
      <c r="DY79" s="32"/>
      <c r="DZ79" s="32"/>
      <c r="EA79" s="32"/>
      <c r="EB79" s="32" t="s">
        <v>80</v>
      </c>
      <c r="EC79" s="32"/>
      <c r="ED79" s="32"/>
      <c r="EE79" s="32"/>
      <c r="EF79" s="32" t="s">
        <v>80</v>
      </c>
      <c r="EG79" s="32" t="s">
        <v>80</v>
      </c>
      <c r="EH79" s="32" t="s">
        <v>80</v>
      </c>
      <c r="EI79" s="32"/>
      <c r="EJ79" s="32"/>
      <c r="EK79" s="32"/>
      <c r="EL79" s="32"/>
      <c r="EM79" s="32">
        <v>203.14</v>
      </c>
      <c r="EN79" s="32">
        <v>17.59</v>
      </c>
      <c r="EO79" s="32"/>
      <c r="EP79" s="32"/>
      <c r="EQ79" s="32">
        <v>43.75</v>
      </c>
      <c r="ER79" s="32"/>
      <c r="ES79" s="32"/>
      <c r="ET79" s="32"/>
      <c r="EU79" s="32"/>
      <c r="EV79" s="32"/>
      <c r="EW79" s="32">
        <v>19.82</v>
      </c>
      <c r="EX79" s="32"/>
      <c r="EY79" s="32"/>
      <c r="EZ79" s="32"/>
      <c r="FA79" s="32"/>
      <c r="FB79" s="32"/>
      <c r="FC79" s="32"/>
      <c r="FD79" s="32"/>
      <c r="FE79" s="32"/>
      <c r="FF79" s="32">
        <v>15.72</v>
      </c>
      <c r="FG79" s="32"/>
      <c r="FH79" s="32"/>
      <c r="FI79" s="32"/>
      <c r="FJ79" s="32">
        <v>14.52</v>
      </c>
      <c r="FK79" s="32"/>
      <c r="FL79" s="32"/>
      <c r="FM79" s="32"/>
      <c r="FN79" s="32"/>
      <c r="FO79" s="32"/>
      <c r="FP79" s="32">
        <v>39.6</v>
      </c>
      <c r="FQ79" s="32"/>
      <c r="FR79" s="32"/>
      <c r="FS79" s="32"/>
      <c r="FT79" s="32"/>
      <c r="FU79" s="32"/>
      <c r="FV79" s="32">
        <v>52.14</v>
      </c>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63">
        <f t="shared" si="6"/>
        <v>203.14</v>
      </c>
      <c r="HR79" s="63"/>
    </row>
    <row r="80" spans="1:226" ht="12.95" customHeight="1" x14ac:dyDescent="0.2">
      <c r="A80" s="11">
        <v>139</v>
      </c>
      <c r="B80" s="9">
        <v>117</v>
      </c>
      <c r="C80" s="9" t="s">
        <v>83</v>
      </c>
      <c r="D80" s="9">
        <v>11</v>
      </c>
      <c r="E80" s="9" t="s">
        <v>79</v>
      </c>
      <c r="F80" s="9">
        <v>2114443998</v>
      </c>
      <c r="G80" s="9" t="s">
        <v>81</v>
      </c>
      <c r="H80" s="9" t="s">
        <v>84</v>
      </c>
      <c r="I80" s="13" t="s">
        <v>443</v>
      </c>
      <c r="J80" s="13"/>
      <c r="M80" s="13" t="s">
        <v>1319</v>
      </c>
      <c r="N80" s="13" t="s">
        <v>618</v>
      </c>
      <c r="O80" s="13"/>
      <c r="P80" s="13" t="s">
        <v>87</v>
      </c>
      <c r="Q80" s="13" t="s">
        <v>1358</v>
      </c>
      <c r="S80" s="13" t="s">
        <v>84</v>
      </c>
      <c r="T80" s="13" t="s">
        <v>84</v>
      </c>
      <c r="U80" s="13" t="s">
        <v>84</v>
      </c>
      <c r="V80" s="13" t="s">
        <v>82</v>
      </c>
      <c r="W80" s="13" t="s">
        <v>84</v>
      </c>
      <c r="X80" s="13" t="s">
        <v>82</v>
      </c>
      <c r="Y80" s="13" t="s">
        <v>82</v>
      </c>
      <c r="Z80" s="13" t="s">
        <v>82</v>
      </c>
      <c r="AA80" s="13"/>
      <c r="AB80" s="13" t="s">
        <v>82</v>
      </c>
      <c r="AC80" s="13"/>
      <c r="AD80" s="13" t="s">
        <v>82</v>
      </c>
      <c r="AE80" s="13"/>
      <c r="AF80" s="13"/>
      <c r="AG80" s="13" t="s">
        <v>82</v>
      </c>
      <c r="AH80" s="13" t="s">
        <v>2018</v>
      </c>
      <c r="AI80" s="13" t="s">
        <v>84</v>
      </c>
      <c r="AJ80" s="13"/>
      <c r="AK80" s="13" t="s">
        <v>2019</v>
      </c>
      <c r="AL80" s="13" t="s">
        <v>126</v>
      </c>
      <c r="AM80" s="13" t="s">
        <v>111</v>
      </c>
      <c r="AN80" s="13"/>
      <c r="AO80" s="13" t="s">
        <v>80</v>
      </c>
      <c r="AQ80" s="13" t="s">
        <v>84</v>
      </c>
      <c r="AR80" s="13" t="s">
        <v>82</v>
      </c>
      <c r="AS80" s="13" t="s">
        <v>84</v>
      </c>
      <c r="AT80" s="13" t="s">
        <v>84</v>
      </c>
      <c r="AU80" s="13"/>
      <c r="AW80" s="13" t="s">
        <v>80</v>
      </c>
      <c r="AX80" s="13" t="s">
        <v>80</v>
      </c>
      <c r="AY80" s="13" t="s">
        <v>80</v>
      </c>
      <c r="AZ80" s="13" t="s">
        <v>80</v>
      </c>
      <c r="BA80" s="13"/>
      <c r="BB80" s="13" t="s">
        <v>84</v>
      </c>
      <c r="BC80" s="13" t="s">
        <v>80</v>
      </c>
      <c r="BD80" s="13" t="s">
        <v>100</v>
      </c>
      <c r="BE80" s="13" t="s">
        <v>113</v>
      </c>
      <c r="BF80" s="13" t="s">
        <v>100</v>
      </c>
      <c r="BG80" s="13" t="s">
        <v>82</v>
      </c>
      <c r="BH80" s="13" t="s">
        <v>84</v>
      </c>
      <c r="BI80" s="13" t="s">
        <v>2129</v>
      </c>
      <c r="BJ80" s="13" t="s">
        <v>84</v>
      </c>
      <c r="BK80" s="13" t="s">
        <v>80</v>
      </c>
      <c r="BL80" s="13">
        <v>3</v>
      </c>
      <c r="BM80" s="13">
        <v>5</v>
      </c>
      <c r="BN80" s="13">
        <v>3</v>
      </c>
      <c r="BO80" s="13">
        <v>5</v>
      </c>
      <c r="BP80" s="13">
        <v>1</v>
      </c>
      <c r="BQ80" s="13">
        <v>2</v>
      </c>
      <c r="BS80" s="13" t="s">
        <v>99</v>
      </c>
      <c r="BT80" s="13"/>
      <c r="BU80" s="13"/>
      <c r="BV80" s="13"/>
      <c r="BX80" s="13" t="s">
        <v>82</v>
      </c>
      <c r="BY80" s="13"/>
      <c r="BZ80" s="13" t="s">
        <v>82</v>
      </c>
      <c r="CA80" s="13"/>
      <c r="CB80" s="13" t="s">
        <v>82</v>
      </c>
      <c r="CC80" s="13"/>
      <c r="CD80" s="13" t="s">
        <v>82</v>
      </c>
      <c r="CE80" s="13"/>
      <c r="CF80" s="13" t="s">
        <v>2173</v>
      </c>
      <c r="CG80" s="13" t="s">
        <v>2174</v>
      </c>
      <c r="CI80" s="13" t="s">
        <v>84</v>
      </c>
      <c r="CJ80" s="13"/>
      <c r="CK80" s="13" t="s">
        <v>82</v>
      </c>
      <c r="CL80" s="13"/>
      <c r="CM80" s="13" t="s">
        <v>82</v>
      </c>
      <c r="CN80" s="13"/>
      <c r="CO80" s="13"/>
      <c r="CP80" s="13"/>
      <c r="CQ80" s="13" t="s">
        <v>118</v>
      </c>
      <c r="CR80" s="13" t="s">
        <v>84</v>
      </c>
      <c r="CS80" s="13" t="s">
        <v>1312</v>
      </c>
      <c r="CT80" s="13" t="s">
        <v>2195</v>
      </c>
      <c r="CU80" s="13" t="s">
        <v>81</v>
      </c>
      <c r="CV80" s="13" t="s">
        <v>2196</v>
      </c>
      <c r="CW80" s="13" t="s">
        <v>82</v>
      </c>
      <c r="CX80" s="13"/>
      <c r="CY80" s="13" t="s">
        <v>81</v>
      </c>
      <c r="CZ80" s="13" t="s">
        <v>2197</v>
      </c>
      <c r="DA80" s="13" t="s">
        <v>84</v>
      </c>
      <c r="DB80" s="13" t="s">
        <v>2198</v>
      </c>
      <c r="DC80" s="13" t="s">
        <v>84</v>
      </c>
      <c r="DD80" s="13" t="s">
        <v>84</v>
      </c>
      <c r="DG80" s="13">
        <v>3</v>
      </c>
      <c r="DH80" s="13">
        <v>5</v>
      </c>
      <c r="DI80" s="13">
        <v>3</v>
      </c>
      <c r="DJ80" s="13">
        <v>5</v>
      </c>
      <c r="DK80" s="13">
        <v>1</v>
      </c>
      <c r="DL80" s="13">
        <v>3</v>
      </c>
      <c r="DM80" s="13">
        <v>1</v>
      </c>
      <c r="DN80" s="13">
        <v>1</v>
      </c>
      <c r="DO80" s="13">
        <v>4</v>
      </c>
      <c r="DP80" s="13">
        <v>4</v>
      </c>
      <c r="DQ80" s="13">
        <v>3</v>
      </c>
      <c r="DR80" s="13">
        <v>4</v>
      </c>
      <c r="DS80" s="13" t="s">
        <v>118</v>
      </c>
      <c r="DT80" s="13" t="s">
        <v>106</v>
      </c>
      <c r="DU80" s="13"/>
      <c r="DV80" s="13" t="s">
        <v>84</v>
      </c>
      <c r="DW80" s="13" t="s">
        <v>113</v>
      </c>
      <c r="DX80" s="13" t="s">
        <v>81</v>
      </c>
      <c r="DY80" s="13" t="s">
        <v>2286</v>
      </c>
      <c r="DZ80" s="13" t="s">
        <v>100</v>
      </c>
      <c r="EA80" s="13" t="s">
        <v>2287</v>
      </c>
      <c r="EB80" s="13" t="s">
        <v>82</v>
      </c>
      <c r="EC80" s="13"/>
      <c r="ED80" s="13" t="s">
        <v>246</v>
      </c>
      <c r="EE80" s="13" t="s">
        <v>2288</v>
      </c>
      <c r="EF80" s="13" t="s">
        <v>82</v>
      </c>
      <c r="EG80" s="13" t="s">
        <v>84</v>
      </c>
      <c r="EH80" s="13" t="s">
        <v>84</v>
      </c>
      <c r="EI80" s="13" t="s">
        <v>2289</v>
      </c>
      <c r="EJ80" s="13" t="s">
        <v>2290</v>
      </c>
      <c r="EK80" s="13" t="s">
        <v>2291</v>
      </c>
      <c r="EL80" s="13" t="s">
        <v>2292</v>
      </c>
      <c r="EM80" s="9">
        <v>2408.7800000000002</v>
      </c>
      <c r="EN80" s="9">
        <v>22.98</v>
      </c>
      <c r="EO80" s="9"/>
      <c r="EP80" s="9"/>
      <c r="EQ80" s="9">
        <v>143.77000000000001</v>
      </c>
      <c r="ER80" s="9"/>
      <c r="ES80" s="9"/>
      <c r="ET80" s="9"/>
      <c r="EU80" s="9"/>
      <c r="EV80" s="9"/>
      <c r="EW80" s="9">
        <v>92.62</v>
      </c>
      <c r="EX80" s="9"/>
      <c r="EY80" s="9"/>
      <c r="EZ80" s="9"/>
      <c r="FA80" s="9"/>
      <c r="FB80" s="9"/>
      <c r="FC80" s="9"/>
      <c r="FD80" s="9"/>
      <c r="FE80" s="9"/>
      <c r="FF80" s="9">
        <v>27.22</v>
      </c>
      <c r="FG80" s="9"/>
      <c r="FH80" s="9"/>
      <c r="FI80" s="9"/>
      <c r="FJ80" s="9">
        <v>17</v>
      </c>
      <c r="FK80" s="9"/>
      <c r="FL80" s="9"/>
      <c r="FM80" s="9"/>
      <c r="FN80" s="9"/>
      <c r="FO80" s="9"/>
      <c r="FP80" s="9">
        <v>37.520000000000003</v>
      </c>
      <c r="FQ80" s="9"/>
      <c r="FR80" s="9"/>
      <c r="FS80" s="9"/>
      <c r="FT80" s="9"/>
      <c r="FU80" s="9"/>
      <c r="FV80" s="9">
        <v>201.64</v>
      </c>
      <c r="FW80" s="9"/>
      <c r="FX80" s="9"/>
      <c r="FY80" s="9"/>
      <c r="FZ80" s="9"/>
      <c r="GA80" s="9"/>
      <c r="GB80" s="9"/>
      <c r="GC80" s="9">
        <v>1471.61</v>
      </c>
      <c r="GD80" s="9"/>
      <c r="GE80" s="9"/>
      <c r="GF80" s="9"/>
      <c r="GG80" s="9"/>
      <c r="GH80" s="9"/>
      <c r="GI80" s="9"/>
      <c r="GJ80" s="9"/>
      <c r="GK80" s="9"/>
      <c r="GL80" s="9"/>
      <c r="GM80" s="9"/>
      <c r="GN80" s="9"/>
      <c r="GO80" s="9"/>
      <c r="GP80" s="9"/>
      <c r="GQ80" s="9"/>
      <c r="GR80" s="9"/>
      <c r="GS80" s="9"/>
      <c r="GT80" s="9">
        <v>11.63</v>
      </c>
      <c r="GU80" s="9"/>
      <c r="GV80" s="9"/>
      <c r="GW80" s="9"/>
      <c r="GX80" s="9">
        <v>132.28</v>
      </c>
      <c r="GY80" s="9"/>
      <c r="GZ80" s="9"/>
      <c r="HA80" s="9"/>
      <c r="HB80" s="9">
        <v>250.51</v>
      </c>
      <c r="HC80" s="9"/>
      <c r="HD80" s="9"/>
      <c r="HE80" s="9"/>
      <c r="HF80" s="9"/>
      <c r="HG80" s="9"/>
      <c r="HH80" s="9"/>
      <c r="HI80" s="9"/>
      <c r="HJ80" s="9"/>
      <c r="HK80" s="9"/>
      <c r="HL80" s="9"/>
      <c r="HM80" s="9"/>
      <c r="HN80" s="9"/>
      <c r="HO80" s="9"/>
      <c r="HP80" s="9"/>
      <c r="HQ80" s="62">
        <f t="shared" si="6"/>
        <v>2408.7800000000002</v>
      </c>
      <c r="HR80" s="62">
        <f>HQ80/60</f>
        <v>40.146333333333338</v>
      </c>
    </row>
    <row r="81" spans="1:226" ht="12.95" customHeight="1" x14ac:dyDescent="0.2">
      <c r="A81" s="11">
        <v>140</v>
      </c>
      <c r="B81" s="9">
        <v>118</v>
      </c>
      <c r="C81" s="9" t="s">
        <v>83</v>
      </c>
      <c r="D81" s="9">
        <v>11</v>
      </c>
      <c r="E81" s="9" t="s">
        <v>79</v>
      </c>
      <c r="F81" s="9">
        <v>1901959966</v>
      </c>
      <c r="G81" s="9" t="s">
        <v>81</v>
      </c>
      <c r="H81" s="9" t="s">
        <v>84</v>
      </c>
      <c r="I81" s="13" t="s">
        <v>107</v>
      </c>
      <c r="J81" s="13"/>
      <c r="M81" s="13" t="s">
        <v>1319</v>
      </c>
      <c r="N81" s="13" t="s">
        <v>108</v>
      </c>
      <c r="O81" s="13"/>
      <c r="P81" s="13" t="s">
        <v>87</v>
      </c>
      <c r="Q81" s="13" t="s">
        <v>1296</v>
      </c>
      <c r="S81" s="13" t="s">
        <v>84</v>
      </c>
      <c r="T81" s="13" t="s">
        <v>84</v>
      </c>
      <c r="U81" s="13" t="s">
        <v>84</v>
      </c>
      <c r="V81" s="13" t="s">
        <v>82</v>
      </c>
      <c r="W81" s="13" t="s">
        <v>82</v>
      </c>
      <c r="X81" s="13" t="s">
        <v>82</v>
      </c>
      <c r="Y81" s="13" t="s">
        <v>82</v>
      </c>
      <c r="Z81" s="13" t="s">
        <v>84</v>
      </c>
      <c r="AA81" s="13"/>
      <c r="AB81" s="13" t="s">
        <v>82</v>
      </c>
      <c r="AC81" s="13"/>
      <c r="AD81" s="13" t="s">
        <v>82</v>
      </c>
      <c r="AE81" s="13"/>
      <c r="AF81" s="13"/>
      <c r="AG81" s="13" t="s">
        <v>82</v>
      </c>
      <c r="AH81" s="13"/>
      <c r="AI81" s="13" t="s">
        <v>84</v>
      </c>
      <c r="AJ81" s="13"/>
      <c r="AK81" s="13" t="s">
        <v>2020</v>
      </c>
      <c r="AL81" s="13" t="s">
        <v>126</v>
      </c>
      <c r="AM81" s="13" t="s">
        <v>91</v>
      </c>
      <c r="AN81" s="13"/>
      <c r="AO81" s="13" t="s">
        <v>80</v>
      </c>
      <c r="AQ81" s="13" t="s">
        <v>80</v>
      </c>
      <c r="AR81" s="13" t="s">
        <v>80</v>
      </c>
      <c r="AS81" s="13" t="s">
        <v>80</v>
      </c>
      <c r="AT81" s="13" t="s">
        <v>80</v>
      </c>
      <c r="AU81" s="13"/>
      <c r="AW81" s="13" t="s">
        <v>84</v>
      </c>
      <c r="AX81" s="13" t="s">
        <v>82</v>
      </c>
      <c r="AY81" s="13" t="s">
        <v>82</v>
      </c>
      <c r="AZ81" s="13" t="s">
        <v>84</v>
      </c>
      <c r="BA81" s="13"/>
      <c r="BB81" s="13" t="s">
        <v>84</v>
      </c>
      <c r="BC81" s="13" t="s">
        <v>80</v>
      </c>
      <c r="BD81" s="13" t="s">
        <v>113</v>
      </c>
      <c r="BE81" s="13" t="s">
        <v>93</v>
      </c>
      <c r="BF81" s="13" t="s">
        <v>100</v>
      </c>
      <c r="BG81" s="13" t="s">
        <v>84</v>
      </c>
      <c r="BH81" s="13" t="s">
        <v>84</v>
      </c>
      <c r="BI81" s="13" t="s">
        <v>2130</v>
      </c>
      <c r="BJ81" s="13" t="s">
        <v>84</v>
      </c>
      <c r="BK81" s="13" t="s">
        <v>80</v>
      </c>
      <c r="BL81" s="13">
        <v>3</v>
      </c>
      <c r="BM81" s="13">
        <v>3</v>
      </c>
      <c r="BN81" s="13">
        <v>2</v>
      </c>
      <c r="BO81" s="13">
        <v>2</v>
      </c>
      <c r="BP81" s="13">
        <v>3</v>
      </c>
      <c r="BQ81" s="13">
        <v>3</v>
      </c>
      <c r="BS81" s="13" t="s">
        <v>118</v>
      </c>
      <c r="BT81" s="13"/>
      <c r="BU81" s="13"/>
      <c r="BV81" s="13"/>
      <c r="BX81" s="13" t="s">
        <v>82</v>
      </c>
      <c r="BY81" s="13"/>
      <c r="BZ81" s="13" t="s">
        <v>84</v>
      </c>
      <c r="CA81" s="13"/>
      <c r="CB81" s="13" t="s">
        <v>82</v>
      </c>
      <c r="CC81" s="13"/>
      <c r="CD81" s="13" t="s">
        <v>82</v>
      </c>
      <c r="CE81" s="13"/>
      <c r="CF81" s="13"/>
      <c r="CG81" s="13"/>
      <c r="CI81" s="13" t="s">
        <v>84</v>
      </c>
      <c r="CJ81" s="13"/>
      <c r="CK81" s="13" t="s">
        <v>82</v>
      </c>
      <c r="CL81" s="13"/>
      <c r="CM81" s="13" t="s">
        <v>82</v>
      </c>
      <c r="CN81" s="13"/>
      <c r="CO81" s="13"/>
      <c r="CP81" s="13"/>
      <c r="CQ81" s="13" t="s">
        <v>118</v>
      </c>
      <c r="CR81" s="13" t="s">
        <v>84</v>
      </c>
      <c r="CS81" s="13" t="s">
        <v>97</v>
      </c>
      <c r="CT81" s="13"/>
      <c r="CU81" s="13" t="s">
        <v>246</v>
      </c>
      <c r="CV81" s="13"/>
      <c r="CW81" s="13" t="s">
        <v>82</v>
      </c>
      <c r="CX81" s="13"/>
      <c r="CY81" s="13" t="s">
        <v>246</v>
      </c>
      <c r="CZ81" s="13"/>
      <c r="DA81" s="13" t="s">
        <v>84</v>
      </c>
      <c r="DB81" s="13" t="s">
        <v>2199</v>
      </c>
      <c r="DC81" s="13" t="s">
        <v>84</v>
      </c>
      <c r="DD81" s="13" t="s">
        <v>84</v>
      </c>
      <c r="DG81" s="13">
        <v>1</v>
      </c>
      <c r="DH81" s="13">
        <v>1</v>
      </c>
      <c r="DI81" s="13">
        <v>1</v>
      </c>
      <c r="DJ81" s="13">
        <v>1</v>
      </c>
      <c r="DK81" s="13">
        <v>1</v>
      </c>
      <c r="DL81" s="13">
        <v>1</v>
      </c>
      <c r="DM81" s="13">
        <v>1</v>
      </c>
      <c r="DN81" s="13">
        <v>1</v>
      </c>
      <c r="DO81" s="13">
        <v>1</v>
      </c>
      <c r="DP81" s="13">
        <v>1</v>
      </c>
      <c r="DQ81" s="13">
        <v>1</v>
      </c>
      <c r="DR81" s="13">
        <v>1</v>
      </c>
      <c r="DS81" s="13" t="s">
        <v>99</v>
      </c>
      <c r="DT81" s="13" t="s">
        <v>84</v>
      </c>
      <c r="DU81" s="13"/>
      <c r="DV81" s="13" t="s">
        <v>84</v>
      </c>
      <c r="DW81" s="13" t="s">
        <v>113</v>
      </c>
      <c r="DX81" s="13" t="s">
        <v>81</v>
      </c>
      <c r="DY81" s="13"/>
      <c r="DZ81" s="13" t="s">
        <v>113</v>
      </c>
      <c r="EA81" s="13"/>
      <c r="EB81" s="13" t="s">
        <v>82</v>
      </c>
      <c r="EC81" s="13"/>
      <c r="ED81" s="13" t="s">
        <v>246</v>
      </c>
      <c r="EE81" s="13"/>
      <c r="EF81" s="13" t="s">
        <v>84</v>
      </c>
      <c r="EG81" s="13" t="s">
        <v>82</v>
      </c>
      <c r="EH81" s="13" t="s">
        <v>84</v>
      </c>
      <c r="EI81" s="13"/>
      <c r="EJ81" s="13"/>
      <c r="EK81" s="13"/>
      <c r="EL81" s="13"/>
      <c r="EM81" s="9">
        <v>709.11</v>
      </c>
      <c r="EN81" s="9">
        <v>10.220000000000001</v>
      </c>
      <c r="EO81" s="9"/>
      <c r="EP81" s="9"/>
      <c r="EQ81" s="9">
        <v>82.01</v>
      </c>
      <c r="ER81" s="9"/>
      <c r="ES81" s="9"/>
      <c r="ET81" s="9"/>
      <c r="EU81" s="9"/>
      <c r="EV81" s="9"/>
      <c r="EW81" s="9">
        <v>49.48</v>
      </c>
      <c r="EX81" s="9"/>
      <c r="EY81" s="9"/>
      <c r="EZ81" s="9"/>
      <c r="FA81" s="9"/>
      <c r="FB81" s="9"/>
      <c r="FC81" s="9"/>
      <c r="FD81" s="9"/>
      <c r="FE81" s="9"/>
      <c r="FF81" s="9">
        <v>21.37</v>
      </c>
      <c r="FG81" s="9"/>
      <c r="FH81" s="9"/>
      <c r="FI81" s="9"/>
      <c r="FJ81" s="9">
        <v>18.36</v>
      </c>
      <c r="FK81" s="9"/>
      <c r="FL81" s="9"/>
      <c r="FM81" s="9"/>
      <c r="FN81" s="9"/>
      <c r="FO81" s="9"/>
      <c r="FP81" s="9">
        <v>27.06</v>
      </c>
      <c r="FQ81" s="9"/>
      <c r="FR81" s="9"/>
      <c r="FS81" s="9"/>
      <c r="FT81" s="9"/>
      <c r="FU81" s="9"/>
      <c r="FV81" s="9">
        <v>83.21</v>
      </c>
      <c r="FW81" s="9"/>
      <c r="FX81" s="9"/>
      <c r="FY81" s="9"/>
      <c r="FZ81" s="9"/>
      <c r="GA81" s="9"/>
      <c r="GB81" s="9"/>
      <c r="GC81" s="9">
        <v>234.91</v>
      </c>
      <c r="GD81" s="9"/>
      <c r="GE81" s="9"/>
      <c r="GF81" s="9"/>
      <c r="GG81" s="9"/>
      <c r="GH81" s="9"/>
      <c r="GI81" s="9"/>
      <c r="GJ81" s="9"/>
      <c r="GK81" s="9"/>
      <c r="GL81" s="9"/>
      <c r="GM81" s="9"/>
      <c r="GN81" s="9"/>
      <c r="GO81" s="9"/>
      <c r="GP81" s="9"/>
      <c r="GQ81" s="9"/>
      <c r="GR81" s="9"/>
      <c r="GS81" s="9"/>
      <c r="GT81" s="9">
        <v>11.31</v>
      </c>
      <c r="GU81" s="9"/>
      <c r="GV81" s="9"/>
      <c r="GW81" s="9"/>
      <c r="GX81" s="9">
        <v>18.12</v>
      </c>
      <c r="GY81" s="9"/>
      <c r="GZ81" s="9"/>
      <c r="HA81" s="9"/>
      <c r="HB81" s="9">
        <v>153.06</v>
      </c>
      <c r="HC81" s="9"/>
      <c r="HD81" s="9"/>
      <c r="HE81" s="9"/>
      <c r="HF81" s="9"/>
      <c r="HG81" s="9"/>
      <c r="HH81" s="9"/>
      <c r="HI81" s="9"/>
      <c r="HJ81" s="9"/>
      <c r="HK81" s="9"/>
      <c r="HL81" s="9"/>
      <c r="HM81" s="9"/>
      <c r="HN81" s="9"/>
      <c r="HO81" s="9"/>
      <c r="HP81" s="9"/>
      <c r="HQ81" s="62">
        <f t="shared" si="6"/>
        <v>709.11</v>
      </c>
      <c r="HR81" s="62">
        <f>HQ81/60</f>
        <v>11.8185</v>
      </c>
    </row>
    <row r="82" spans="1:226" ht="12.95" customHeight="1" x14ac:dyDescent="0.2">
      <c r="A82" s="11">
        <v>141</v>
      </c>
      <c r="B82" s="9">
        <v>120</v>
      </c>
      <c r="C82" s="9" t="s">
        <v>83</v>
      </c>
      <c r="D82" s="9">
        <v>11</v>
      </c>
      <c r="E82" s="9" t="s">
        <v>79</v>
      </c>
      <c r="F82" s="9">
        <v>1157880378</v>
      </c>
      <c r="G82" s="9" t="s">
        <v>81</v>
      </c>
      <c r="H82" s="9" t="s">
        <v>84</v>
      </c>
      <c r="I82" s="13" t="s">
        <v>105</v>
      </c>
      <c r="J82" s="13"/>
      <c r="M82" s="13" t="s">
        <v>1319</v>
      </c>
      <c r="N82" s="13" t="s">
        <v>618</v>
      </c>
      <c r="O82" s="13"/>
      <c r="P82" s="13" t="s">
        <v>290</v>
      </c>
      <c r="Q82" s="13" t="s">
        <v>1375</v>
      </c>
      <c r="S82" s="13" t="s">
        <v>84</v>
      </c>
      <c r="T82" s="13" t="s">
        <v>84</v>
      </c>
      <c r="U82" s="13" t="s">
        <v>82</v>
      </c>
      <c r="V82" s="13" t="s">
        <v>82</v>
      </c>
      <c r="W82" s="13" t="s">
        <v>84</v>
      </c>
      <c r="X82" s="13" t="s">
        <v>82</v>
      </c>
      <c r="Y82" s="13" t="s">
        <v>84</v>
      </c>
      <c r="Z82" s="13" t="s">
        <v>84</v>
      </c>
      <c r="AA82" s="13"/>
      <c r="AB82" s="13" t="s">
        <v>84</v>
      </c>
      <c r="AC82" s="13" t="s">
        <v>2021</v>
      </c>
      <c r="AD82" s="13" t="s">
        <v>82</v>
      </c>
      <c r="AE82" s="13"/>
      <c r="AF82" s="13"/>
      <c r="AG82" s="13" t="s">
        <v>84</v>
      </c>
      <c r="AH82" s="13" t="s">
        <v>2022</v>
      </c>
      <c r="AI82" s="13" t="s">
        <v>84</v>
      </c>
      <c r="AJ82" s="13"/>
      <c r="AK82" s="13" t="s">
        <v>2023</v>
      </c>
      <c r="AL82" s="13" t="s">
        <v>126</v>
      </c>
      <c r="AM82" s="13" t="s">
        <v>91</v>
      </c>
      <c r="AN82" s="13"/>
      <c r="AO82" s="13" t="s">
        <v>80</v>
      </c>
      <c r="AQ82" s="13" t="s">
        <v>80</v>
      </c>
      <c r="AR82" s="13" t="s">
        <v>80</v>
      </c>
      <c r="AS82" s="13" t="s">
        <v>80</v>
      </c>
      <c r="AT82" s="13" t="s">
        <v>80</v>
      </c>
      <c r="AU82" s="13"/>
      <c r="AW82" s="13" t="s">
        <v>84</v>
      </c>
      <c r="AX82" s="13" t="s">
        <v>82</v>
      </c>
      <c r="AY82" s="13" t="s">
        <v>84</v>
      </c>
      <c r="AZ82" s="13" t="s">
        <v>84</v>
      </c>
      <c r="BA82" s="13"/>
      <c r="BB82" s="13" t="s">
        <v>84</v>
      </c>
      <c r="BC82" s="13" t="s">
        <v>80</v>
      </c>
      <c r="BD82" s="13" t="s">
        <v>100</v>
      </c>
      <c r="BE82" s="13" t="s">
        <v>100</v>
      </c>
      <c r="BF82" s="13" t="s">
        <v>112</v>
      </c>
      <c r="BG82" s="13" t="s">
        <v>84</v>
      </c>
      <c r="BH82" s="13" t="s">
        <v>84</v>
      </c>
      <c r="BI82" s="13" t="s">
        <v>2131</v>
      </c>
      <c r="BJ82" s="13" t="s">
        <v>84</v>
      </c>
      <c r="BK82" s="13" t="s">
        <v>80</v>
      </c>
      <c r="BL82" s="13">
        <v>3</v>
      </c>
      <c r="BM82" s="13">
        <v>2</v>
      </c>
      <c r="BN82" s="13">
        <v>2</v>
      </c>
      <c r="BO82" s="13">
        <v>1</v>
      </c>
      <c r="BP82" s="13">
        <v>3</v>
      </c>
      <c r="BQ82" s="13">
        <v>2</v>
      </c>
      <c r="BS82" s="13" t="s">
        <v>119</v>
      </c>
      <c r="BT82" s="13" t="s">
        <v>2160</v>
      </c>
      <c r="BU82" s="13" t="s">
        <v>246</v>
      </c>
      <c r="BV82" s="13" t="s">
        <v>2161</v>
      </c>
      <c r="BX82" s="13" t="s">
        <v>82</v>
      </c>
      <c r="BY82" s="13"/>
      <c r="BZ82" s="13" t="s">
        <v>84</v>
      </c>
      <c r="CA82" s="13" t="s">
        <v>2175</v>
      </c>
      <c r="CB82" s="13" t="s">
        <v>82</v>
      </c>
      <c r="CC82" s="13"/>
      <c r="CD82" s="13" t="s">
        <v>82</v>
      </c>
      <c r="CE82" s="13"/>
      <c r="CF82" s="13"/>
      <c r="CG82" s="13"/>
      <c r="CI82" s="13" t="s">
        <v>84</v>
      </c>
      <c r="CJ82" s="13"/>
      <c r="CK82" s="13" t="s">
        <v>82</v>
      </c>
      <c r="CL82" s="13"/>
      <c r="CM82" s="13" t="s">
        <v>82</v>
      </c>
      <c r="CN82" s="13"/>
      <c r="CO82" s="13"/>
      <c r="CP82" s="13"/>
      <c r="CQ82" s="13" t="s">
        <v>97</v>
      </c>
      <c r="CR82" s="13" t="s">
        <v>84</v>
      </c>
      <c r="CS82" s="13" t="s">
        <v>97</v>
      </c>
      <c r="CT82" s="13"/>
      <c r="CU82" s="13" t="s">
        <v>246</v>
      </c>
      <c r="CV82" s="13"/>
      <c r="CW82" s="13" t="s">
        <v>82</v>
      </c>
      <c r="CX82" s="13"/>
      <c r="CY82" s="13" t="s">
        <v>81</v>
      </c>
      <c r="CZ82" s="13" t="s">
        <v>2200</v>
      </c>
      <c r="DA82" s="13" t="s">
        <v>82</v>
      </c>
      <c r="DB82" s="13"/>
      <c r="DC82" s="13" t="s">
        <v>84</v>
      </c>
      <c r="DD82" s="13" t="s">
        <v>84</v>
      </c>
      <c r="DG82" s="13">
        <v>2</v>
      </c>
      <c r="DH82" s="13">
        <v>1</v>
      </c>
      <c r="DI82" s="13">
        <v>2</v>
      </c>
      <c r="DJ82" s="13">
        <v>1</v>
      </c>
      <c r="DK82" s="13">
        <v>3</v>
      </c>
      <c r="DL82" s="13">
        <v>2</v>
      </c>
      <c r="DM82" s="13">
        <v>2</v>
      </c>
      <c r="DN82" s="13">
        <v>2</v>
      </c>
      <c r="DO82" s="13">
        <v>2</v>
      </c>
      <c r="DP82" s="13">
        <v>1</v>
      </c>
      <c r="DQ82" s="13">
        <v>3</v>
      </c>
      <c r="DR82" s="13">
        <v>1</v>
      </c>
      <c r="DS82" s="13" t="s">
        <v>118</v>
      </c>
      <c r="DT82" s="13" t="s">
        <v>82</v>
      </c>
      <c r="DU82" s="13" t="s">
        <v>2293</v>
      </c>
      <c r="DV82" s="13" t="s">
        <v>84</v>
      </c>
      <c r="DW82" s="13" t="s">
        <v>100</v>
      </c>
      <c r="DX82" s="13" t="s">
        <v>81</v>
      </c>
      <c r="DY82" s="13" t="s">
        <v>2294</v>
      </c>
      <c r="DZ82" s="13" t="s">
        <v>113</v>
      </c>
      <c r="EA82" s="13" t="s">
        <v>2295</v>
      </c>
      <c r="EB82" s="13" t="s">
        <v>82</v>
      </c>
      <c r="EC82" s="13"/>
      <c r="ED82" s="13" t="s">
        <v>81</v>
      </c>
      <c r="EE82" s="13"/>
      <c r="EF82" s="13" t="s">
        <v>82</v>
      </c>
      <c r="EG82" s="13" t="s">
        <v>82</v>
      </c>
      <c r="EH82" s="13" t="s">
        <v>82</v>
      </c>
      <c r="EI82" s="13"/>
      <c r="EJ82" s="13" t="s">
        <v>2296</v>
      </c>
      <c r="EK82" s="13" t="s">
        <v>2297</v>
      </c>
      <c r="EL82" s="13" t="s">
        <v>1903</v>
      </c>
      <c r="EM82" s="9">
        <v>916.75</v>
      </c>
      <c r="EN82" s="9">
        <v>17.64</v>
      </c>
      <c r="EO82" s="9"/>
      <c r="EP82" s="9"/>
      <c r="EQ82" s="9">
        <v>136.52000000000001</v>
      </c>
      <c r="ER82" s="9"/>
      <c r="ES82" s="9"/>
      <c r="ET82" s="9"/>
      <c r="EU82" s="9"/>
      <c r="EV82" s="9"/>
      <c r="EW82" s="9">
        <v>73.19</v>
      </c>
      <c r="EX82" s="9"/>
      <c r="EY82" s="9"/>
      <c r="EZ82" s="9"/>
      <c r="FA82" s="9"/>
      <c r="FB82" s="9"/>
      <c r="FC82" s="9"/>
      <c r="FD82" s="9"/>
      <c r="FE82" s="9"/>
      <c r="FF82" s="9">
        <v>47.67</v>
      </c>
      <c r="FG82" s="9"/>
      <c r="FH82" s="9"/>
      <c r="FI82" s="9"/>
      <c r="FJ82" s="9">
        <v>11.83</v>
      </c>
      <c r="FK82" s="9"/>
      <c r="FL82" s="9"/>
      <c r="FM82" s="9"/>
      <c r="FN82" s="9"/>
      <c r="FO82" s="9"/>
      <c r="FP82" s="9">
        <v>23.97</v>
      </c>
      <c r="FQ82" s="9"/>
      <c r="FR82" s="9"/>
      <c r="FS82" s="9"/>
      <c r="FT82" s="9"/>
      <c r="FU82" s="9"/>
      <c r="FV82" s="9">
        <v>60.61</v>
      </c>
      <c r="FW82" s="9"/>
      <c r="FX82" s="9"/>
      <c r="FY82" s="9"/>
      <c r="FZ82" s="9"/>
      <c r="GA82" s="9"/>
      <c r="GB82" s="9"/>
      <c r="GC82" s="9">
        <v>308.69</v>
      </c>
      <c r="GD82" s="9"/>
      <c r="GE82" s="9"/>
      <c r="GF82" s="9"/>
      <c r="GG82" s="9"/>
      <c r="GH82" s="9"/>
      <c r="GI82" s="9"/>
      <c r="GJ82" s="9"/>
      <c r="GK82" s="9"/>
      <c r="GL82" s="9"/>
      <c r="GM82" s="9"/>
      <c r="GN82" s="9"/>
      <c r="GO82" s="9"/>
      <c r="GP82" s="9"/>
      <c r="GQ82" s="9"/>
      <c r="GR82" s="9"/>
      <c r="GS82" s="9"/>
      <c r="GT82" s="9">
        <v>42.1</v>
      </c>
      <c r="GU82" s="9"/>
      <c r="GV82" s="9"/>
      <c r="GW82" s="9"/>
      <c r="GX82" s="9">
        <v>86.69</v>
      </c>
      <c r="GY82" s="9"/>
      <c r="GZ82" s="9"/>
      <c r="HA82" s="9"/>
      <c r="HB82" s="9">
        <v>107.84</v>
      </c>
      <c r="HC82" s="9"/>
      <c r="HD82" s="9"/>
      <c r="HE82" s="9"/>
      <c r="HF82" s="9"/>
      <c r="HG82" s="9"/>
      <c r="HH82" s="9"/>
      <c r="HI82" s="9"/>
      <c r="HJ82" s="9"/>
      <c r="HK82" s="9"/>
      <c r="HL82" s="9"/>
      <c r="HM82" s="9"/>
      <c r="HN82" s="9"/>
      <c r="HO82" s="9"/>
      <c r="HP82" s="9"/>
      <c r="HQ82" s="62">
        <f t="shared" si="6"/>
        <v>916.75</v>
      </c>
      <c r="HR82" s="62">
        <f>HQ82/60</f>
        <v>15.279166666666667</v>
      </c>
    </row>
    <row r="83" spans="1:226" s="33" customFormat="1" ht="12.95" customHeight="1" x14ac:dyDescent="0.2">
      <c r="A83" s="33">
        <v>142</v>
      </c>
      <c r="B83" s="32">
        <v>121</v>
      </c>
      <c r="C83" s="32"/>
      <c r="D83" s="32">
        <v>10</v>
      </c>
      <c r="E83" s="32" t="s">
        <v>79</v>
      </c>
      <c r="F83" s="32">
        <v>2064503242</v>
      </c>
      <c r="G83" s="32" t="s">
        <v>81</v>
      </c>
      <c r="H83" s="32" t="s">
        <v>84</v>
      </c>
      <c r="I83" s="32" t="s">
        <v>119</v>
      </c>
      <c r="J83" s="32" t="s">
        <v>2001</v>
      </c>
      <c r="K83" s="24"/>
      <c r="L83" s="24"/>
      <c r="M83" s="32" t="s">
        <v>1319</v>
      </c>
      <c r="N83" s="32" t="s">
        <v>618</v>
      </c>
      <c r="O83" s="32"/>
      <c r="P83" s="32" t="s">
        <v>290</v>
      </c>
      <c r="Q83" s="32" t="s">
        <v>1375</v>
      </c>
      <c r="R83" s="24"/>
      <c r="S83" s="32" t="s">
        <v>84</v>
      </c>
      <c r="T83" s="32" t="s">
        <v>84</v>
      </c>
      <c r="U83" s="32" t="s">
        <v>84</v>
      </c>
      <c r="V83" s="32" t="s">
        <v>84</v>
      </c>
      <c r="W83" s="32" t="s">
        <v>82</v>
      </c>
      <c r="X83" s="32" t="s">
        <v>84</v>
      </c>
      <c r="Y83" s="32" t="s">
        <v>84</v>
      </c>
      <c r="Z83" s="32" t="s">
        <v>84</v>
      </c>
      <c r="AA83" s="32"/>
      <c r="AB83" s="32" t="s">
        <v>82</v>
      </c>
      <c r="AC83" s="32"/>
      <c r="AD83" s="32" t="s">
        <v>82</v>
      </c>
      <c r="AE83" s="32"/>
      <c r="AF83" s="32"/>
      <c r="AG83" s="32" t="s">
        <v>82</v>
      </c>
      <c r="AH83" s="32" t="s">
        <v>2024</v>
      </c>
      <c r="AI83" s="32" t="s">
        <v>84</v>
      </c>
      <c r="AJ83" s="32"/>
      <c r="AK83" s="32" t="s">
        <v>2025</v>
      </c>
      <c r="AL83" s="32" t="s">
        <v>126</v>
      </c>
      <c r="AM83" s="32" t="s">
        <v>91</v>
      </c>
      <c r="AN83" s="32"/>
      <c r="AO83" s="32" t="s">
        <v>80</v>
      </c>
      <c r="AP83" s="24"/>
      <c r="AQ83" s="32" t="s">
        <v>80</v>
      </c>
      <c r="AR83" s="32" t="s">
        <v>80</v>
      </c>
      <c r="AS83" s="32" t="s">
        <v>80</v>
      </c>
      <c r="AT83" s="32" t="s">
        <v>80</v>
      </c>
      <c r="AU83" s="32"/>
      <c r="AV83" s="24"/>
      <c r="AW83" s="32" t="s">
        <v>84</v>
      </c>
      <c r="AX83" s="32" t="s">
        <v>84</v>
      </c>
      <c r="AY83" s="32" t="s">
        <v>84</v>
      </c>
      <c r="AZ83" s="32" t="s">
        <v>84</v>
      </c>
      <c r="BA83" s="32"/>
      <c r="BB83" s="32" t="s">
        <v>84</v>
      </c>
      <c r="BC83" s="32" t="s">
        <v>80</v>
      </c>
      <c r="BD83" s="32" t="s">
        <v>113</v>
      </c>
      <c r="BE83" s="32" t="s">
        <v>113</v>
      </c>
      <c r="BF83" s="32" t="s">
        <v>100</v>
      </c>
      <c r="BG83" s="32" t="s">
        <v>84</v>
      </c>
      <c r="BH83" s="32" t="s">
        <v>84</v>
      </c>
      <c r="BI83" s="32" t="s">
        <v>2132</v>
      </c>
      <c r="BJ83" s="32" t="s">
        <v>84</v>
      </c>
      <c r="BK83" s="32" t="s">
        <v>80</v>
      </c>
      <c r="BL83" s="32">
        <v>5</v>
      </c>
      <c r="BM83" s="32">
        <v>5</v>
      </c>
      <c r="BN83" s="32">
        <v>5</v>
      </c>
      <c r="BO83" s="32">
        <v>5</v>
      </c>
      <c r="BP83" s="32">
        <v>3</v>
      </c>
      <c r="BQ83" s="32">
        <v>5</v>
      </c>
      <c r="BR83" s="24"/>
      <c r="BS83" s="32" t="s">
        <v>97</v>
      </c>
      <c r="BT83" s="32"/>
      <c r="BU83" s="32" t="s">
        <v>246</v>
      </c>
      <c r="BV83" s="32"/>
      <c r="BW83" s="24"/>
      <c r="BX83" s="32" t="s">
        <v>80</v>
      </c>
      <c r="BY83" s="32"/>
      <c r="BZ83" s="32" t="s">
        <v>80</v>
      </c>
      <c r="CA83" s="32"/>
      <c r="CB83" s="32" t="s">
        <v>80</v>
      </c>
      <c r="CC83" s="32"/>
      <c r="CD83" s="32" t="s">
        <v>80</v>
      </c>
      <c r="CE83" s="32"/>
      <c r="CF83" s="32"/>
      <c r="CG83" s="32"/>
      <c r="CH83" s="24"/>
      <c r="CI83" s="32" t="s">
        <v>84</v>
      </c>
      <c r="CJ83" s="32"/>
      <c r="CK83" s="32" t="s">
        <v>82</v>
      </c>
      <c r="CL83" s="32"/>
      <c r="CM83" s="32" t="s">
        <v>82</v>
      </c>
      <c r="CN83" s="32"/>
      <c r="CO83" s="32"/>
      <c r="CP83" s="32"/>
      <c r="CQ83" s="32" t="s">
        <v>97</v>
      </c>
      <c r="CR83" s="32" t="s">
        <v>84</v>
      </c>
      <c r="CS83" s="32" t="s">
        <v>702</v>
      </c>
      <c r="CT83" s="32"/>
      <c r="CU83" s="32"/>
      <c r="CV83" s="32"/>
      <c r="CW83" s="32" t="s">
        <v>84</v>
      </c>
      <c r="CX83" s="32" t="s">
        <v>246</v>
      </c>
      <c r="CY83" s="32"/>
      <c r="CZ83" s="32"/>
      <c r="DA83" s="32" t="s">
        <v>82</v>
      </c>
      <c r="DB83" s="32"/>
      <c r="DC83" s="32" t="s">
        <v>84</v>
      </c>
      <c r="DD83" s="32" t="s">
        <v>84</v>
      </c>
      <c r="DE83" s="24"/>
      <c r="DF83" s="24"/>
      <c r="DG83" s="32">
        <v>3</v>
      </c>
      <c r="DH83" s="32">
        <v>3</v>
      </c>
      <c r="DI83" s="32">
        <v>2</v>
      </c>
      <c r="DJ83" s="32">
        <v>3</v>
      </c>
      <c r="DK83" s="32">
        <v>1</v>
      </c>
      <c r="DL83" s="32">
        <v>3</v>
      </c>
      <c r="DM83" s="32">
        <v>1</v>
      </c>
      <c r="DN83" s="32">
        <v>3</v>
      </c>
      <c r="DO83" s="32">
        <v>3</v>
      </c>
      <c r="DP83" s="32">
        <v>3</v>
      </c>
      <c r="DQ83" s="32">
        <v>5</v>
      </c>
      <c r="DR83" s="32">
        <v>3</v>
      </c>
      <c r="DS83" s="32" t="s">
        <v>97</v>
      </c>
      <c r="DT83" s="32" t="s">
        <v>84</v>
      </c>
      <c r="DU83" s="32"/>
      <c r="DV83" s="32" t="s">
        <v>84</v>
      </c>
      <c r="DW83" s="32" t="s">
        <v>100</v>
      </c>
      <c r="DX83" s="32" t="s">
        <v>81</v>
      </c>
      <c r="DY83" s="32" t="s">
        <v>2298</v>
      </c>
      <c r="DZ83" s="32"/>
      <c r="EA83" s="32"/>
      <c r="EB83" s="32" t="s">
        <v>80</v>
      </c>
      <c r="EC83" s="32"/>
      <c r="ED83" s="32"/>
      <c r="EE83" s="32"/>
      <c r="EF83" s="32" t="s">
        <v>80</v>
      </c>
      <c r="EG83" s="32" t="s">
        <v>80</v>
      </c>
      <c r="EH83" s="32" t="s">
        <v>80</v>
      </c>
      <c r="EI83" s="32"/>
      <c r="EJ83" s="32"/>
      <c r="EK83" s="32"/>
      <c r="EL83" s="32"/>
      <c r="EM83" s="32">
        <v>465.14</v>
      </c>
      <c r="EN83" s="32">
        <v>24.71</v>
      </c>
      <c r="EO83" s="32"/>
      <c r="EP83" s="32"/>
      <c r="EQ83" s="32">
        <v>53.1</v>
      </c>
      <c r="ER83" s="32"/>
      <c r="ES83" s="32"/>
      <c r="ET83" s="32"/>
      <c r="EU83" s="32"/>
      <c r="EV83" s="32"/>
      <c r="EW83" s="32">
        <v>55.31</v>
      </c>
      <c r="EX83" s="32"/>
      <c r="EY83" s="32"/>
      <c r="EZ83" s="32"/>
      <c r="FA83" s="32"/>
      <c r="FB83" s="32"/>
      <c r="FC83" s="32"/>
      <c r="FD83" s="32"/>
      <c r="FE83" s="32"/>
      <c r="FF83" s="32">
        <v>40.72</v>
      </c>
      <c r="FG83" s="32"/>
      <c r="FH83" s="32"/>
      <c r="FI83" s="32"/>
      <c r="FJ83" s="32">
        <v>13.32</v>
      </c>
      <c r="FK83" s="32"/>
      <c r="FL83" s="32"/>
      <c r="FM83" s="32"/>
      <c r="FN83" s="32"/>
      <c r="FO83" s="32"/>
      <c r="FP83" s="32">
        <v>34.58</v>
      </c>
      <c r="FQ83" s="32"/>
      <c r="FR83" s="32"/>
      <c r="FS83" s="32"/>
      <c r="FT83" s="32"/>
      <c r="FU83" s="32"/>
      <c r="FV83" s="32">
        <v>50.62</v>
      </c>
      <c r="FW83" s="32"/>
      <c r="FX83" s="32"/>
      <c r="FY83" s="32"/>
      <c r="FZ83" s="32"/>
      <c r="GA83" s="32"/>
      <c r="GB83" s="32"/>
      <c r="GC83" s="32">
        <v>141.54</v>
      </c>
      <c r="GD83" s="32"/>
      <c r="GE83" s="32"/>
      <c r="GF83" s="32"/>
      <c r="GG83" s="32"/>
      <c r="GH83" s="32"/>
      <c r="GI83" s="32"/>
      <c r="GJ83" s="32"/>
      <c r="GK83" s="32"/>
      <c r="GL83" s="32"/>
      <c r="GM83" s="32"/>
      <c r="GN83" s="32"/>
      <c r="GO83" s="32"/>
      <c r="GP83" s="32"/>
      <c r="GQ83" s="32"/>
      <c r="GR83" s="32"/>
      <c r="GS83" s="32"/>
      <c r="GT83" s="32">
        <v>17.25</v>
      </c>
      <c r="GU83" s="32"/>
      <c r="GV83" s="32"/>
      <c r="GW83" s="32"/>
      <c r="GX83" s="32">
        <v>33.99</v>
      </c>
      <c r="GY83" s="32"/>
      <c r="GZ83" s="32"/>
      <c r="HA83" s="32"/>
      <c r="HB83" s="32"/>
      <c r="HC83" s="32"/>
      <c r="HD83" s="32"/>
      <c r="HE83" s="32"/>
      <c r="HF83" s="32"/>
      <c r="HG83" s="32"/>
      <c r="HH83" s="32"/>
      <c r="HI83" s="32"/>
      <c r="HJ83" s="32"/>
      <c r="HK83" s="32"/>
      <c r="HL83" s="32"/>
      <c r="HM83" s="32"/>
      <c r="HN83" s="32"/>
      <c r="HO83" s="32"/>
      <c r="HP83" s="32"/>
      <c r="HQ83" s="63">
        <f t="shared" si="6"/>
        <v>465.14</v>
      </c>
      <c r="HR83" s="63"/>
    </row>
    <row r="84" spans="1:226" ht="12.95" customHeight="1" x14ac:dyDescent="0.2">
      <c r="A84" s="11">
        <v>143</v>
      </c>
      <c r="B84" s="9">
        <v>122</v>
      </c>
      <c r="C84" s="9" t="s">
        <v>83</v>
      </c>
      <c r="D84" s="9">
        <v>11</v>
      </c>
      <c r="E84" s="9" t="s">
        <v>79</v>
      </c>
      <c r="F84" s="9">
        <v>444462838</v>
      </c>
      <c r="G84" s="9" t="s">
        <v>81</v>
      </c>
      <c r="H84" s="9" t="s">
        <v>84</v>
      </c>
      <c r="I84" s="13" t="s">
        <v>105</v>
      </c>
      <c r="J84" s="13"/>
      <c r="M84" s="13" t="s">
        <v>1309</v>
      </c>
      <c r="N84" s="13" t="s">
        <v>618</v>
      </c>
      <c r="O84" s="13"/>
      <c r="P84" s="13" t="s">
        <v>87</v>
      </c>
      <c r="Q84" s="13" t="s">
        <v>1310</v>
      </c>
      <c r="S84" s="13" t="s">
        <v>84</v>
      </c>
      <c r="T84" s="13" t="s">
        <v>84</v>
      </c>
      <c r="U84" s="13" t="s">
        <v>82</v>
      </c>
      <c r="V84" s="13" t="s">
        <v>82</v>
      </c>
      <c r="W84" s="13" t="s">
        <v>82</v>
      </c>
      <c r="X84" s="13" t="s">
        <v>82</v>
      </c>
      <c r="Y84" s="13" t="s">
        <v>84</v>
      </c>
      <c r="Z84" s="13" t="s">
        <v>82</v>
      </c>
      <c r="AA84" s="13"/>
      <c r="AB84" s="13" t="s">
        <v>82</v>
      </c>
      <c r="AC84" s="13"/>
      <c r="AD84" s="13" t="s">
        <v>82</v>
      </c>
      <c r="AE84" s="13"/>
      <c r="AF84" s="13"/>
      <c r="AG84" s="13" t="s">
        <v>82</v>
      </c>
      <c r="AH84" s="13"/>
      <c r="AI84" s="13" t="s">
        <v>84</v>
      </c>
      <c r="AJ84" s="13"/>
      <c r="AK84" s="13" t="s">
        <v>2026</v>
      </c>
      <c r="AL84" s="13" t="s">
        <v>126</v>
      </c>
      <c r="AM84" s="13" t="s">
        <v>111</v>
      </c>
      <c r="AN84" s="13"/>
      <c r="AO84" s="13" t="s">
        <v>80</v>
      </c>
      <c r="AQ84" s="13" t="s">
        <v>84</v>
      </c>
      <c r="AR84" s="13" t="s">
        <v>82</v>
      </c>
      <c r="AS84" s="13" t="s">
        <v>82</v>
      </c>
      <c r="AT84" s="13" t="s">
        <v>84</v>
      </c>
      <c r="AU84" s="13"/>
      <c r="AW84" s="13" t="s">
        <v>80</v>
      </c>
      <c r="AX84" s="13" t="s">
        <v>80</v>
      </c>
      <c r="AY84" s="13" t="s">
        <v>80</v>
      </c>
      <c r="AZ84" s="13" t="s">
        <v>80</v>
      </c>
      <c r="BA84" s="13"/>
      <c r="BB84" s="13" t="s">
        <v>84</v>
      </c>
      <c r="BC84" s="13" t="s">
        <v>80</v>
      </c>
      <c r="BD84" s="13" t="s">
        <v>100</v>
      </c>
      <c r="BE84" s="13" t="s">
        <v>100</v>
      </c>
      <c r="BF84" s="13" t="s">
        <v>112</v>
      </c>
      <c r="BG84" s="13" t="s">
        <v>82</v>
      </c>
      <c r="BH84" s="13" t="s">
        <v>84</v>
      </c>
      <c r="BI84" s="13"/>
      <c r="BJ84" s="13" t="s">
        <v>84</v>
      </c>
      <c r="BK84" s="13" t="s">
        <v>80</v>
      </c>
      <c r="BL84" s="13">
        <v>5</v>
      </c>
      <c r="BM84" s="13">
        <v>5</v>
      </c>
      <c r="BN84" s="13">
        <v>2</v>
      </c>
      <c r="BO84" s="13">
        <v>1</v>
      </c>
      <c r="BP84" s="13">
        <v>5</v>
      </c>
      <c r="BQ84" s="13">
        <v>5</v>
      </c>
      <c r="BS84" s="13" t="s">
        <v>118</v>
      </c>
      <c r="BT84" s="13"/>
      <c r="BU84" s="13"/>
      <c r="BV84" s="13"/>
      <c r="BX84" s="13" t="s">
        <v>82</v>
      </c>
      <c r="BY84" s="13"/>
      <c r="BZ84" s="13" t="s">
        <v>84</v>
      </c>
      <c r="CA84" s="13"/>
      <c r="CB84" s="13" t="s">
        <v>82</v>
      </c>
      <c r="CC84" s="13"/>
      <c r="CD84" s="13" t="s">
        <v>82</v>
      </c>
      <c r="CE84" s="13"/>
      <c r="CF84" s="13"/>
      <c r="CG84" s="13"/>
      <c r="CI84" s="13" t="s">
        <v>84</v>
      </c>
      <c r="CJ84" s="13"/>
      <c r="CK84" s="13" t="s">
        <v>82</v>
      </c>
      <c r="CL84" s="13"/>
      <c r="CM84" s="13" t="s">
        <v>82</v>
      </c>
      <c r="CN84" s="13"/>
      <c r="CO84" s="13"/>
      <c r="CP84" s="13"/>
      <c r="CQ84" s="13" t="s">
        <v>97</v>
      </c>
      <c r="CR84" s="13" t="s">
        <v>84</v>
      </c>
      <c r="CS84" s="13" t="s">
        <v>97</v>
      </c>
      <c r="CT84" s="13"/>
      <c r="CU84" s="13" t="s">
        <v>246</v>
      </c>
      <c r="CV84" s="13"/>
      <c r="CW84" s="13" t="s">
        <v>82</v>
      </c>
      <c r="CX84" s="13"/>
      <c r="CY84" s="13" t="s">
        <v>246</v>
      </c>
      <c r="CZ84" s="13"/>
      <c r="DA84" s="13" t="s">
        <v>82</v>
      </c>
      <c r="DB84" s="13"/>
      <c r="DC84" s="13" t="s">
        <v>84</v>
      </c>
      <c r="DD84" s="13" t="s">
        <v>84</v>
      </c>
      <c r="DG84" s="13">
        <v>2</v>
      </c>
      <c r="DH84" s="13">
        <v>4</v>
      </c>
      <c r="DI84" s="13">
        <v>5</v>
      </c>
      <c r="DJ84" s="13">
        <v>4</v>
      </c>
      <c r="DK84" s="13">
        <v>2</v>
      </c>
      <c r="DL84" s="13">
        <v>4</v>
      </c>
      <c r="DM84" s="13">
        <v>2</v>
      </c>
      <c r="DN84" s="13">
        <v>4</v>
      </c>
      <c r="DO84" s="13">
        <v>4</v>
      </c>
      <c r="DP84" s="13">
        <v>4</v>
      </c>
      <c r="DQ84" s="13">
        <v>4</v>
      </c>
      <c r="DR84" s="13">
        <v>4</v>
      </c>
      <c r="DS84" s="13" t="s">
        <v>97</v>
      </c>
      <c r="DT84" s="13" t="s">
        <v>106</v>
      </c>
      <c r="DU84" s="13"/>
      <c r="DV84" s="13" t="s">
        <v>82</v>
      </c>
      <c r="DW84" s="13" t="s">
        <v>112</v>
      </c>
      <c r="DX84" s="13" t="s">
        <v>81</v>
      </c>
      <c r="DY84" s="13"/>
      <c r="DZ84" s="13" t="s">
        <v>100</v>
      </c>
      <c r="EA84" s="13"/>
      <c r="EB84" s="13" t="s">
        <v>82</v>
      </c>
      <c r="EC84" s="13"/>
      <c r="ED84" s="13" t="s">
        <v>81</v>
      </c>
      <c r="EE84" s="13"/>
      <c r="EF84" s="13" t="s">
        <v>84</v>
      </c>
      <c r="EG84" s="13" t="s">
        <v>82</v>
      </c>
      <c r="EH84" s="13" t="s">
        <v>82</v>
      </c>
      <c r="EI84" s="13"/>
      <c r="EJ84" s="13"/>
      <c r="EK84" s="13"/>
      <c r="EL84" s="13"/>
      <c r="EM84" s="9">
        <v>295.3</v>
      </c>
      <c r="EN84" s="9">
        <v>13.51</v>
      </c>
      <c r="EO84" s="9"/>
      <c r="EP84" s="9"/>
      <c r="EQ84" s="9">
        <v>31.47</v>
      </c>
      <c r="ER84" s="9"/>
      <c r="ES84" s="9"/>
      <c r="ET84" s="9"/>
      <c r="EU84" s="9"/>
      <c r="EV84" s="9"/>
      <c r="EW84" s="9">
        <v>20.11</v>
      </c>
      <c r="EX84" s="9"/>
      <c r="EY84" s="9"/>
      <c r="EZ84" s="9"/>
      <c r="FA84" s="9"/>
      <c r="FB84" s="9"/>
      <c r="FC84" s="9"/>
      <c r="FD84" s="9"/>
      <c r="FE84" s="9"/>
      <c r="FF84" s="9">
        <v>25.59</v>
      </c>
      <c r="FG84" s="9"/>
      <c r="FH84" s="9"/>
      <c r="FI84" s="9"/>
      <c r="FJ84" s="9">
        <v>10.73</v>
      </c>
      <c r="FK84" s="9"/>
      <c r="FL84" s="9"/>
      <c r="FM84" s="9"/>
      <c r="FN84" s="9"/>
      <c r="FO84" s="9"/>
      <c r="FP84" s="9">
        <v>16.43</v>
      </c>
      <c r="FQ84" s="9"/>
      <c r="FR84" s="9"/>
      <c r="FS84" s="9"/>
      <c r="FT84" s="9"/>
      <c r="FU84" s="9"/>
      <c r="FV84" s="9">
        <v>32.86</v>
      </c>
      <c r="FW84" s="9"/>
      <c r="FX84" s="9"/>
      <c r="FY84" s="9"/>
      <c r="FZ84" s="9"/>
      <c r="GA84" s="9"/>
      <c r="GB84" s="9"/>
      <c r="GC84" s="9">
        <v>89.86</v>
      </c>
      <c r="GD84" s="9"/>
      <c r="GE84" s="9"/>
      <c r="GF84" s="9"/>
      <c r="GG84" s="9"/>
      <c r="GH84" s="9"/>
      <c r="GI84" s="9"/>
      <c r="GJ84" s="9"/>
      <c r="GK84" s="9"/>
      <c r="GL84" s="9"/>
      <c r="GM84" s="9"/>
      <c r="GN84" s="9"/>
      <c r="GO84" s="9"/>
      <c r="GP84" s="9"/>
      <c r="GQ84" s="9"/>
      <c r="GR84" s="9"/>
      <c r="GS84" s="9"/>
      <c r="GT84" s="9">
        <v>15.28</v>
      </c>
      <c r="GU84" s="9"/>
      <c r="GV84" s="9"/>
      <c r="GW84" s="9"/>
      <c r="GX84" s="9">
        <v>16.309999999999999</v>
      </c>
      <c r="GY84" s="9"/>
      <c r="GZ84" s="9"/>
      <c r="HA84" s="9"/>
      <c r="HB84" s="9">
        <v>23.15</v>
      </c>
      <c r="HC84" s="9"/>
      <c r="HD84" s="9"/>
      <c r="HE84" s="9"/>
      <c r="HF84" s="9"/>
      <c r="HG84" s="9"/>
      <c r="HH84" s="9"/>
      <c r="HI84" s="9"/>
      <c r="HJ84" s="9"/>
      <c r="HK84" s="9"/>
      <c r="HL84" s="9"/>
      <c r="HM84" s="9"/>
      <c r="HN84" s="9"/>
      <c r="HO84" s="9"/>
      <c r="HP84" s="9"/>
      <c r="HQ84" s="62">
        <f t="shared" si="6"/>
        <v>295.3</v>
      </c>
      <c r="HR84" s="62">
        <f t="shared" ref="HR84:HR91" si="7">HQ84/60</f>
        <v>4.9216666666666669</v>
      </c>
    </row>
    <row r="85" spans="1:226" ht="12.95" customHeight="1" x14ac:dyDescent="0.2">
      <c r="A85" s="11">
        <v>144</v>
      </c>
      <c r="B85" s="9">
        <v>123</v>
      </c>
      <c r="C85" s="9" t="s">
        <v>83</v>
      </c>
      <c r="D85" s="9">
        <v>11</v>
      </c>
      <c r="E85" s="9" t="s">
        <v>79</v>
      </c>
      <c r="F85" s="9">
        <v>2003501528</v>
      </c>
      <c r="G85" s="9" t="s">
        <v>81</v>
      </c>
      <c r="H85" s="9" t="s">
        <v>84</v>
      </c>
      <c r="I85" s="13" t="s">
        <v>119</v>
      </c>
      <c r="J85" s="13" t="s">
        <v>2002</v>
      </c>
      <c r="M85" s="13" t="s">
        <v>1319</v>
      </c>
      <c r="N85" s="13" t="s">
        <v>618</v>
      </c>
      <c r="O85" s="13"/>
      <c r="P85" s="13" t="s">
        <v>87</v>
      </c>
      <c r="Q85" s="13" t="s">
        <v>1296</v>
      </c>
      <c r="S85" s="13" t="s">
        <v>84</v>
      </c>
      <c r="T85" s="13" t="s">
        <v>84</v>
      </c>
      <c r="U85" s="13" t="s">
        <v>84</v>
      </c>
      <c r="V85" s="13" t="s">
        <v>82</v>
      </c>
      <c r="W85" s="13" t="s">
        <v>82</v>
      </c>
      <c r="X85" s="13" t="s">
        <v>82</v>
      </c>
      <c r="Y85" s="13" t="s">
        <v>84</v>
      </c>
      <c r="Z85" s="13" t="s">
        <v>82</v>
      </c>
      <c r="AA85" s="13"/>
      <c r="AB85" s="13" t="s">
        <v>84</v>
      </c>
      <c r="AC85" s="13" t="s">
        <v>2027</v>
      </c>
      <c r="AD85" s="13" t="s">
        <v>82</v>
      </c>
      <c r="AE85" s="13"/>
      <c r="AF85" s="13"/>
      <c r="AG85" s="13" t="s">
        <v>82</v>
      </c>
      <c r="AH85" s="13" t="s">
        <v>2028</v>
      </c>
      <c r="AI85" s="13" t="s">
        <v>84</v>
      </c>
      <c r="AJ85" s="13"/>
      <c r="AK85" s="13" t="s">
        <v>2029</v>
      </c>
      <c r="AL85" s="13" t="s">
        <v>126</v>
      </c>
      <c r="AM85" s="13" t="s">
        <v>111</v>
      </c>
      <c r="AN85" s="13"/>
      <c r="AO85" s="13" t="s">
        <v>80</v>
      </c>
      <c r="AQ85" s="13" t="s">
        <v>84</v>
      </c>
      <c r="AR85" s="13" t="s">
        <v>82</v>
      </c>
      <c r="AS85" s="13" t="s">
        <v>84</v>
      </c>
      <c r="AT85" s="13" t="s">
        <v>84</v>
      </c>
      <c r="AU85" s="13"/>
      <c r="AW85" s="13" t="s">
        <v>80</v>
      </c>
      <c r="AX85" s="13" t="s">
        <v>80</v>
      </c>
      <c r="AY85" s="13" t="s">
        <v>80</v>
      </c>
      <c r="AZ85" s="13" t="s">
        <v>80</v>
      </c>
      <c r="BA85" s="13"/>
      <c r="BB85" s="13" t="s">
        <v>84</v>
      </c>
      <c r="BC85" s="13" t="s">
        <v>80</v>
      </c>
      <c r="BD85" s="13" t="s">
        <v>100</v>
      </c>
      <c r="BE85" s="13" t="s">
        <v>100</v>
      </c>
      <c r="BF85" s="13" t="s">
        <v>100</v>
      </c>
      <c r="BG85" s="13" t="s">
        <v>145</v>
      </c>
      <c r="BH85" s="13" t="s">
        <v>82</v>
      </c>
      <c r="BI85" s="13"/>
      <c r="BJ85" s="13" t="s">
        <v>84</v>
      </c>
      <c r="BK85" s="13" t="s">
        <v>80</v>
      </c>
      <c r="BL85" s="13">
        <v>2</v>
      </c>
      <c r="BM85" s="13">
        <v>4</v>
      </c>
      <c r="BN85" s="13">
        <v>3</v>
      </c>
      <c r="BO85" s="13">
        <v>5</v>
      </c>
      <c r="BP85" s="13">
        <v>4</v>
      </c>
      <c r="BQ85" s="13">
        <v>5</v>
      </c>
      <c r="BS85" s="13" t="s">
        <v>118</v>
      </c>
      <c r="BT85" s="13"/>
      <c r="BU85" s="13"/>
      <c r="BV85" s="13"/>
      <c r="BX85" s="13" t="s">
        <v>84</v>
      </c>
      <c r="BY85" s="13"/>
      <c r="BZ85" s="13" t="s">
        <v>84</v>
      </c>
      <c r="CA85" s="13"/>
      <c r="CB85" s="13" t="s">
        <v>82</v>
      </c>
      <c r="CC85" s="13"/>
      <c r="CD85" s="13" t="s">
        <v>82</v>
      </c>
      <c r="CE85" s="13"/>
      <c r="CF85" s="13"/>
      <c r="CG85" s="13"/>
      <c r="CI85" s="13" t="s">
        <v>84</v>
      </c>
      <c r="CJ85" s="13"/>
      <c r="CK85" s="13" t="s">
        <v>84</v>
      </c>
      <c r="CL85" s="13"/>
      <c r="CM85" s="13" t="s">
        <v>84</v>
      </c>
      <c r="CN85" s="13"/>
      <c r="CO85" s="13"/>
      <c r="CP85" s="13"/>
      <c r="CQ85" s="13" t="s">
        <v>97</v>
      </c>
      <c r="CR85" s="13" t="s">
        <v>84</v>
      </c>
      <c r="CS85" s="13" t="s">
        <v>97</v>
      </c>
      <c r="CT85" s="13"/>
      <c r="CU85" s="13" t="s">
        <v>246</v>
      </c>
      <c r="CV85" s="13"/>
      <c r="CW85" s="13" t="s">
        <v>82</v>
      </c>
      <c r="CX85" s="13"/>
      <c r="CY85" s="13" t="s">
        <v>81</v>
      </c>
      <c r="CZ85" s="13"/>
      <c r="DA85" s="13" t="s">
        <v>82</v>
      </c>
      <c r="DB85" s="13"/>
      <c r="DC85" s="13" t="s">
        <v>84</v>
      </c>
      <c r="DD85" s="13" t="s">
        <v>84</v>
      </c>
      <c r="DG85" s="13">
        <v>3</v>
      </c>
      <c r="DH85" s="13">
        <v>4</v>
      </c>
      <c r="DI85" s="13">
        <v>4</v>
      </c>
      <c r="DJ85" s="13">
        <v>5</v>
      </c>
      <c r="DK85" s="13">
        <v>2</v>
      </c>
      <c r="DL85" s="13">
        <v>4</v>
      </c>
      <c r="DM85" s="13">
        <v>4</v>
      </c>
      <c r="DN85" s="13">
        <v>4</v>
      </c>
      <c r="DO85" s="13">
        <v>2</v>
      </c>
      <c r="DP85" s="13">
        <v>4</v>
      </c>
      <c r="DQ85" s="13">
        <v>3</v>
      </c>
      <c r="DR85" s="13">
        <v>4</v>
      </c>
      <c r="DS85" s="13" t="s">
        <v>97</v>
      </c>
      <c r="DT85" s="13" t="s">
        <v>106</v>
      </c>
      <c r="DU85" s="13"/>
      <c r="DV85" s="13" t="s">
        <v>84</v>
      </c>
      <c r="DW85" s="13" t="s">
        <v>113</v>
      </c>
      <c r="DX85" s="13" t="s">
        <v>81</v>
      </c>
      <c r="DY85" s="13" t="s">
        <v>2299</v>
      </c>
      <c r="DZ85" s="13" t="s">
        <v>100</v>
      </c>
      <c r="EA85" s="13" t="s">
        <v>2300</v>
      </c>
      <c r="EB85" s="13" t="s">
        <v>82</v>
      </c>
      <c r="EC85" s="13"/>
      <c r="ED85" s="13" t="s">
        <v>81</v>
      </c>
      <c r="EE85" s="13"/>
      <c r="EF85" s="13" t="s">
        <v>84</v>
      </c>
      <c r="EG85" s="13" t="s">
        <v>82</v>
      </c>
      <c r="EH85" s="13" t="s">
        <v>84</v>
      </c>
      <c r="EI85" s="13" t="s">
        <v>2301</v>
      </c>
      <c r="EJ85" s="13" t="s">
        <v>2302</v>
      </c>
      <c r="EK85" s="13" t="s">
        <v>2303</v>
      </c>
      <c r="EL85" s="13" t="s">
        <v>2304</v>
      </c>
      <c r="EM85" s="9">
        <v>785.58</v>
      </c>
      <c r="EN85" s="9">
        <v>35.26</v>
      </c>
      <c r="EO85" s="9"/>
      <c r="EP85" s="9"/>
      <c r="EQ85" s="9">
        <v>70.95</v>
      </c>
      <c r="ER85" s="9"/>
      <c r="ES85" s="9"/>
      <c r="ET85" s="9"/>
      <c r="EU85" s="9"/>
      <c r="EV85" s="9"/>
      <c r="EW85" s="9">
        <v>126.71</v>
      </c>
      <c r="EX85" s="9"/>
      <c r="EY85" s="9"/>
      <c r="EZ85" s="9"/>
      <c r="FA85" s="9"/>
      <c r="FB85" s="9"/>
      <c r="FC85" s="9"/>
      <c r="FD85" s="9"/>
      <c r="FE85" s="9"/>
      <c r="FF85" s="9">
        <v>45.91</v>
      </c>
      <c r="FG85" s="9"/>
      <c r="FH85" s="9"/>
      <c r="FI85" s="9"/>
      <c r="FJ85" s="9">
        <v>16.12</v>
      </c>
      <c r="FK85" s="9"/>
      <c r="FL85" s="9"/>
      <c r="FM85" s="9"/>
      <c r="FN85" s="9"/>
      <c r="FO85" s="9"/>
      <c r="FP85" s="9">
        <v>43.18</v>
      </c>
      <c r="FQ85" s="9"/>
      <c r="FR85" s="9"/>
      <c r="FS85" s="9"/>
      <c r="FT85" s="9"/>
      <c r="FU85" s="9"/>
      <c r="FV85" s="9">
        <v>69.03</v>
      </c>
      <c r="FW85" s="9"/>
      <c r="FX85" s="9"/>
      <c r="FY85" s="9"/>
      <c r="FZ85" s="9"/>
      <c r="GA85" s="9"/>
      <c r="GB85" s="9"/>
      <c r="GC85" s="9">
        <v>136.85</v>
      </c>
      <c r="GD85" s="9"/>
      <c r="GE85" s="9"/>
      <c r="GF85" s="9"/>
      <c r="GG85" s="9"/>
      <c r="GH85" s="9"/>
      <c r="GI85" s="9"/>
      <c r="GJ85" s="9"/>
      <c r="GK85" s="9"/>
      <c r="GL85" s="9"/>
      <c r="GM85" s="9"/>
      <c r="GN85" s="9"/>
      <c r="GO85" s="9"/>
      <c r="GP85" s="9"/>
      <c r="GQ85" s="9"/>
      <c r="GR85" s="9"/>
      <c r="GS85" s="9"/>
      <c r="GT85" s="9">
        <v>11.29</v>
      </c>
      <c r="GU85" s="9"/>
      <c r="GV85" s="9"/>
      <c r="GW85" s="9"/>
      <c r="GX85" s="9">
        <v>79.64</v>
      </c>
      <c r="GY85" s="9"/>
      <c r="GZ85" s="9"/>
      <c r="HA85" s="9"/>
      <c r="HB85" s="9">
        <v>150.63999999999999</v>
      </c>
      <c r="HC85" s="9"/>
      <c r="HD85" s="9"/>
      <c r="HE85" s="9"/>
      <c r="HF85" s="9"/>
      <c r="HG85" s="9"/>
      <c r="HH85" s="9"/>
      <c r="HI85" s="9"/>
      <c r="HJ85" s="9"/>
      <c r="HK85" s="9"/>
      <c r="HL85" s="9"/>
      <c r="HM85" s="9"/>
      <c r="HN85" s="9"/>
      <c r="HO85" s="9"/>
      <c r="HP85" s="9"/>
      <c r="HQ85" s="62">
        <f t="shared" si="6"/>
        <v>785.58</v>
      </c>
      <c r="HR85" s="62">
        <f t="shared" si="7"/>
        <v>13.093</v>
      </c>
    </row>
    <row r="86" spans="1:226" ht="12.95" customHeight="1" x14ac:dyDescent="0.2">
      <c r="A86" s="11">
        <v>145</v>
      </c>
      <c r="B86" s="9">
        <v>127</v>
      </c>
      <c r="C86" s="9" t="s">
        <v>83</v>
      </c>
      <c r="D86" s="9">
        <v>11</v>
      </c>
      <c r="E86" s="9" t="s">
        <v>79</v>
      </c>
      <c r="F86" s="9">
        <v>1743669220</v>
      </c>
      <c r="G86" s="9" t="s">
        <v>81</v>
      </c>
      <c r="H86" s="9" t="s">
        <v>84</v>
      </c>
      <c r="I86" s="13" t="s">
        <v>377</v>
      </c>
      <c r="J86" s="13"/>
      <c r="M86" s="13" t="s">
        <v>1319</v>
      </c>
      <c r="N86" s="13" t="s">
        <v>106</v>
      </c>
      <c r="O86" s="13"/>
      <c r="P86" s="13" t="s">
        <v>87</v>
      </c>
      <c r="Q86" s="13" t="s">
        <v>1310</v>
      </c>
      <c r="S86" s="13" t="s">
        <v>84</v>
      </c>
      <c r="T86" s="13" t="s">
        <v>84</v>
      </c>
      <c r="U86" s="13" t="s">
        <v>82</v>
      </c>
      <c r="V86" s="13" t="s">
        <v>84</v>
      </c>
      <c r="W86" s="13" t="s">
        <v>84</v>
      </c>
      <c r="X86" s="13" t="s">
        <v>84</v>
      </c>
      <c r="Y86" s="13" t="s">
        <v>84</v>
      </c>
      <c r="Z86" s="13" t="s">
        <v>84</v>
      </c>
      <c r="AA86" s="13"/>
      <c r="AB86" s="13" t="s">
        <v>82</v>
      </c>
      <c r="AC86" s="13"/>
      <c r="AD86" s="13" t="s">
        <v>84</v>
      </c>
      <c r="AE86" s="13" t="s">
        <v>2030</v>
      </c>
      <c r="AF86" s="13"/>
      <c r="AG86" s="13" t="s">
        <v>80</v>
      </c>
      <c r="AH86" s="13"/>
      <c r="AI86" s="13" t="s">
        <v>84</v>
      </c>
      <c r="AJ86" s="13"/>
      <c r="AK86" s="13" t="s">
        <v>2031</v>
      </c>
      <c r="AL86" s="13" t="s">
        <v>126</v>
      </c>
      <c r="AM86" s="13" t="s">
        <v>91</v>
      </c>
      <c r="AN86" s="13"/>
      <c r="AO86" s="13" t="s">
        <v>80</v>
      </c>
      <c r="AQ86" s="13" t="s">
        <v>80</v>
      </c>
      <c r="AR86" s="13" t="s">
        <v>80</v>
      </c>
      <c r="AS86" s="13" t="s">
        <v>80</v>
      </c>
      <c r="AT86" s="13" t="s">
        <v>80</v>
      </c>
      <c r="AU86" s="13"/>
      <c r="AW86" s="13" t="s">
        <v>84</v>
      </c>
      <c r="AX86" s="13" t="s">
        <v>84</v>
      </c>
      <c r="AY86" s="13" t="s">
        <v>82</v>
      </c>
      <c r="AZ86" s="13" t="s">
        <v>84</v>
      </c>
      <c r="BA86" s="13"/>
      <c r="BB86" s="13" t="s">
        <v>84</v>
      </c>
      <c r="BC86" s="13" t="s">
        <v>80</v>
      </c>
      <c r="BD86" s="13" t="s">
        <v>93</v>
      </c>
      <c r="BE86" s="13" t="s">
        <v>113</v>
      </c>
      <c r="BF86" s="13" t="s">
        <v>100</v>
      </c>
      <c r="BG86" s="13" t="s">
        <v>84</v>
      </c>
      <c r="BH86" s="13" t="s">
        <v>84</v>
      </c>
      <c r="BI86" s="13" t="s">
        <v>2133</v>
      </c>
      <c r="BJ86" s="13" t="s">
        <v>84</v>
      </c>
      <c r="BK86" s="13" t="s">
        <v>80</v>
      </c>
      <c r="BL86" s="13">
        <v>5</v>
      </c>
      <c r="BM86" s="13">
        <v>5</v>
      </c>
      <c r="BN86" s="13">
        <v>2</v>
      </c>
      <c r="BO86" s="13">
        <v>1</v>
      </c>
      <c r="BP86" s="13">
        <v>5</v>
      </c>
      <c r="BQ86" s="13">
        <v>5</v>
      </c>
      <c r="BS86" s="13" t="s">
        <v>118</v>
      </c>
      <c r="BT86" s="13"/>
      <c r="BU86" s="13"/>
      <c r="BV86" s="13"/>
      <c r="BX86" s="13" t="s">
        <v>84</v>
      </c>
      <c r="BY86" s="13"/>
      <c r="BZ86" s="13" t="s">
        <v>84</v>
      </c>
      <c r="CA86" s="13"/>
      <c r="CB86" s="13" t="s">
        <v>82</v>
      </c>
      <c r="CC86" s="13"/>
      <c r="CD86" s="13" t="s">
        <v>82</v>
      </c>
      <c r="CE86" s="13"/>
      <c r="CF86" s="13"/>
      <c r="CG86" s="13"/>
      <c r="CI86" s="13" t="s">
        <v>84</v>
      </c>
      <c r="CJ86" s="13"/>
      <c r="CK86" s="13" t="s">
        <v>84</v>
      </c>
      <c r="CL86" s="13"/>
      <c r="CM86" s="13" t="s">
        <v>84</v>
      </c>
      <c r="CN86" s="13"/>
      <c r="CO86" s="13"/>
      <c r="CP86" s="13"/>
      <c r="CQ86" s="13" t="s">
        <v>118</v>
      </c>
      <c r="CR86" s="13" t="s">
        <v>84</v>
      </c>
      <c r="CS86" s="13" t="s">
        <v>1312</v>
      </c>
      <c r="CT86" s="13" t="s">
        <v>2201</v>
      </c>
      <c r="CU86" s="13" t="s">
        <v>81</v>
      </c>
      <c r="CV86" s="13" t="s">
        <v>2202</v>
      </c>
      <c r="CW86" s="13" t="s">
        <v>82</v>
      </c>
      <c r="CX86" s="13"/>
      <c r="CY86" s="13" t="s">
        <v>81</v>
      </c>
      <c r="CZ86" s="13" t="s">
        <v>2203</v>
      </c>
      <c r="DA86" s="13" t="s">
        <v>82</v>
      </c>
      <c r="DB86" s="13"/>
      <c r="DC86" s="13" t="s">
        <v>84</v>
      </c>
      <c r="DD86" s="13" t="s">
        <v>84</v>
      </c>
      <c r="DG86" s="13">
        <v>2</v>
      </c>
      <c r="DH86" s="13">
        <v>1</v>
      </c>
      <c r="DI86" s="13">
        <v>2</v>
      </c>
      <c r="DJ86" s="13">
        <v>1</v>
      </c>
      <c r="DK86" s="13">
        <v>2</v>
      </c>
      <c r="DL86" s="13">
        <v>1</v>
      </c>
      <c r="DM86" s="13">
        <v>2</v>
      </c>
      <c r="DN86" s="13">
        <v>1</v>
      </c>
      <c r="DO86" s="13">
        <v>2</v>
      </c>
      <c r="DP86" s="13">
        <v>1</v>
      </c>
      <c r="DQ86" s="13">
        <v>2</v>
      </c>
      <c r="DR86" s="13">
        <v>1</v>
      </c>
      <c r="DS86" s="13" t="s">
        <v>97</v>
      </c>
      <c r="DT86" s="13" t="s">
        <v>82</v>
      </c>
      <c r="DU86" s="13" t="s">
        <v>2305</v>
      </c>
      <c r="DV86" s="13" t="s">
        <v>84</v>
      </c>
      <c r="DW86" s="13" t="s">
        <v>112</v>
      </c>
      <c r="DX86" s="13" t="s">
        <v>81</v>
      </c>
      <c r="DY86" s="13" t="s">
        <v>2306</v>
      </c>
      <c r="DZ86" s="13" t="s">
        <v>93</v>
      </c>
      <c r="EA86" s="13"/>
      <c r="EB86" s="13" t="s">
        <v>82</v>
      </c>
      <c r="EC86" s="13"/>
      <c r="ED86" s="13" t="s">
        <v>81</v>
      </c>
      <c r="EE86" s="13" t="s">
        <v>2307</v>
      </c>
      <c r="EF86" s="13" t="s">
        <v>82</v>
      </c>
      <c r="EG86" s="13" t="s">
        <v>82</v>
      </c>
      <c r="EH86" s="13" t="s">
        <v>82</v>
      </c>
      <c r="EI86" s="13"/>
      <c r="EJ86" s="13"/>
      <c r="EK86" s="13" t="s">
        <v>2308</v>
      </c>
      <c r="EL86" s="13" t="s">
        <v>2309</v>
      </c>
      <c r="EM86" s="9">
        <v>1186.51</v>
      </c>
      <c r="EN86" s="9">
        <v>25.53</v>
      </c>
      <c r="EO86" s="9"/>
      <c r="EP86" s="9"/>
      <c r="EQ86" s="9">
        <v>72.05</v>
      </c>
      <c r="ER86" s="9"/>
      <c r="ES86" s="9"/>
      <c r="ET86" s="9"/>
      <c r="EU86" s="9"/>
      <c r="EV86" s="9"/>
      <c r="EW86" s="9">
        <v>44.68</v>
      </c>
      <c r="EX86" s="9"/>
      <c r="EY86" s="9"/>
      <c r="EZ86" s="9"/>
      <c r="FA86" s="9"/>
      <c r="FB86" s="9"/>
      <c r="FC86" s="9"/>
      <c r="FD86" s="9"/>
      <c r="FE86" s="9"/>
      <c r="FF86" s="9">
        <v>100.77</v>
      </c>
      <c r="FG86" s="9"/>
      <c r="FH86" s="9"/>
      <c r="FI86" s="9"/>
      <c r="FJ86" s="9">
        <v>16.13</v>
      </c>
      <c r="FK86" s="9"/>
      <c r="FL86" s="9"/>
      <c r="FM86" s="9"/>
      <c r="FN86" s="9"/>
      <c r="FO86" s="9"/>
      <c r="FP86" s="9">
        <v>34.049999999999997</v>
      </c>
      <c r="FQ86" s="9"/>
      <c r="FR86" s="9"/>
      <c r="FS86" s="9"/>
      <c r="FT86" s="9"/>
      <c r="FU86" s="9"/>
      <c r="FV86" s="9">
        <v>139.77000000000001</v>
      </c>
      <c r="FW86" s="9"/>
      <c r="FX86" s="9"/>
      <c r="FY86" s="9"/>
      <c r="FZ86" s="9"/>
      <c r="GA86" s="9"/>
      <c r="GB86" s="9"/>
      <c r="GC86" s="9">
        <v>229.48</v>
      </c>
      <c r="GD86" s="9"/>
      <c r="GE86" s="9"/>
      <c r="GF86" s="9"/>
      <c r="GG86" s="9"/>
      <c r="GH86" s="9"/>
      <c r="GI86" s="9"/>
      <c r="GJ86" s="9"/>
      <c r="GK86" s="9"/>
      <c r="GL86" s="9"/>
      <c r="GM86" s="9"/>
      <c r="GN86" s="9"/>
      <c r="GO86" s="9"/>
      <c r="GP86" s="9"/>
      <c r="GQ86" s="9"/>
      <c r="GR86" s="9"/>
      <c r="GS86" s="9"/>
      <c r="GT86" s="9">
        <v>88.91</v>
      </c>
      <c r="GU86" s="9"/>
      <c r="GV86" s="9"/>
      <c r="GW86" s="9"/>
      <c r="GX86" s="9">
        <v>71.56</v>
      </c>
      <c r="GY86" s="9"/>
      <c r="GZ86" s="9"/>
      <c r="HA86" s="9"/>
      <c r="HB86" s="9">
        <v>363.58</v>
      </c>
      <c r="HC86" s="9"/>
      <c r="HD86" s="9"/>
      <c r="HE86" s="9"/>
      <c r="HF86" s="9"/>
      <c r="HG86" s="9"/>
      <c r="HH86" s="9"/>
      <c r="HI86" s="9"/>
      <c r="HJ86" s="9"/>
      <c r="HK86" s="9"/>
      <c r="HL86" s="9"/>
      <c r="HM86" s="9"/>
      <c r="HN86" s="9"/>
      <c r="HO86" s="9"/>
      <c r="HP86" s="9"/>
      <c r="HQ86" s="62">
        <f t="shared" si="6"/>
        <v>1186.51</v>
      </c>
      <c r="HR86" s="62">
        <f t="shared" si="7"/>
        <v>19.775166666666667</v>
      </c>
    </row>
    <row r="87" spans="1:226" ht="12.95" customHeight="1" x14ac:dyDescent="0.2">
      <c r="A87" s="11">
        <v>146</v>
      </c>
      <c r="B87" s="9">
        <v>128</v>
      </c>
      <c r="C87" s="9" t="s">
        <v>83</v>
      </c>
      <c r="D87" s="9">
        <v>11</v>
      </c>
      <c r="E87" s="9" t="s">
        <v>79</v>
      </c>
      <c r="F87" s="9">
        <v>887362630</v>
      </c>
      <c r="G87" s="9" t="s">
        <v>81</v>
      </c>
      <c r="H87" s="9" t="s">
        <v>84</v>
      </c>
      <c r="I87" s="13" t="s">
        <v>105</v>
      </c>
      <c r="J87" s="13"/>
      <c r="M87" s="13" t="s">
        <v>1319</v>
      </c>
      <c r="N87" s="13" t="s">
        <v>106</v>
      </c>
      <c r="O87" s="13"/>
      <c r="P87" s="13" t="s">
        <v>87</v>
      </c>
      <c r="Q87" s="13" t="s">
        <v>1358</v>
      </c>
      <c r="S87" s="13" t="s">
        <v>84</v>
      </c>
      <c r="T87" s="13" t="s">
        <v>84</v>
      </c>
      <c r="U87" s="13" t="s">
        <v>82</v>
      </c>
      <c r="V87" s="13" t="s">
        <v>82</v>
      </c>
      <c r="W87" s="13" t="s">
        <v>82</v>
      </c>
      <c r="X87" s="13" t="s">
        <v>82</v>
      </c>
      <c r="Y87" s="13" t="s">
        <v>82</v>
      </c>
      <c r="Z87" s="13" t="s">
        <v>82</v>
      </c>
      <c r="AA87" s="13"/>
      <c r="AB87" s="13" t="s">
        <v>84</v>
      </c>
      <c r="AC87" s="13"/>
      <c r="AD87" s="13" t="s">
        <v>82</v>
      </c>
      <c r="AE87" s="13"/>
      <c r="AF87" s="13"/>
      <c r="AG87" s="13" t="s">
        <v>84</v>
      </c>
      <c r="AH87" s="13"/>
      <c r="AI87" s="13" t="s">
        <v>84</v>
      </c>
      <c r="AJ87" s="13"/>
      <c r="AK87" s="13"/>
      <c r="AL87" s="13" t="s">
        <v>140</v>
      </c>
      <c r="AM87" s="13" t="s">
        <v>111</v>
      </c>
      <c r="AN87" s="13"/>
      <c r="AO87" s="13" t="s">
        <v>80</v>
      </c>
      <c r="AQ87" s="13" t="s">
        <v>84</v>
      </c>
      <c r="AR87" s="13" t="s">
        <v>82</v>
      </c>
      <c r="AS87" s="13" t="s">
        <v>82</v>
      </c>
      <c r="AT87" s="13" t="s">
        <v>82</v>
      </c>
      <c r="AU87" s="13"/>
      <c r="AW87" s="13" t="s">
        <v>80</v>
      </c>
      <c r="AX87" s="13" t="s">
        <v>80</v>
      </c>
      <c r="AY87" s="13" t="s">
        <v>80</v>
      </c>
      <c r="AZ87" s="13" t="s">
        <v>80</v>
      </c>
      <c r="BA87" s="13"/>
      <c r="BB87" s="13" t="s">
        <v>84</v>
      </c>
      <c r="BC87" s="13" t="s">
        <v>80</v>
      </c>
      <c r="BD87" s="13" t="s">
        <v>100</v>
      </c>
      <c r="BE87" s="13" t="s">
        <v>100</v>
      </c>
      <c r="BF87" s="13" t="s">
        <v>340</v>
      </c>
      <c r="BG87" s="13" t="s">
        <v>82</v>
      </c>
      <c r="BH87" s="13" t="s">
        <v>84</v>
      </c>
      <c r="BI87" s="13"/>
      <c r="BJ87" s="13" t="s">
        <v>84</v>
      </c>
      <c r="BK87" s="13" t="s">
        <v>80</v>
      </c>
      <c r="BL87" s="13">
        <v>4</v>
      </c>
      <c r="BM87" s="13">
        <v>5</v>
      </c>
      <c r="BN87" s="13">
        <v>2</v>
      </c>
      <c r="BO87" s="13">
        <v>5</v>
      </c>
      <c r="BP87" s="13">
        <v>5</v>
      </c>
      <c r="BQ87" s="13">
        <v>5</v>
      </c>
      <c r="BS87" s="13" t="s">
        <v>118</v>
      </c>
      <c r="BT87" s="13"/>
      <c r="BU87" s="13"/>
      <c r="BV87" s="13"/>
      <c r="BX87" s="13" t="s">
        <v>84</v>
      </c>
      <c r="BY87" s="13" t="s">
        <v>2176</v>
      </c>
      <c r="BZ87" s="13" t="s">
        <v>82</v>
      </c>
      <c r="CA87" s="13"/>
      <c r="CB87" s="13" t="s">
        <v>82</v>
      </c>
      <c r="CC87" s="13"/>
      <c r="CD87" s="13" t="s">
        <v>82</v>
      </c>
      <c r="CE87" s="13"/>
      <c r="CF87" s="13"/>
      <c r="CG87" s="13"/>
      <c r="CI87" s="13" t="s">
        <v>84</v>
      </c>
      <c r="CJ87" s="13"/>
      <c r="CK87" s="13" t="s">
        <v>82</v>
      </c>
      <c r="CL87" s="13"/>
      <c r="CM87" s="13" t="s">
        <v>82</v>
      </c>
      <c r="CN87" s="13"/>
      <c r="CO87" s="13"/>
      <c r="CP87" s="13"/>
      <c r="CQ87" s="13" t="s">
        <v>97</v>
      </c>
      <c r="CR87" s="13" t="s">
        <v>84</v>
      </c>
      <c r="CS87" s="13" t="s">
        <v>97</v>
      </c>
      <c r="CT87" s="13"/>
      <c r="CU87" s="13" t="s">
        <v>246</v>
      </c>
      <c r="CV87" s="13"/>
      <c r="CW87" s="13" t="s">
        <v>82</v>
      </c>
      <c r="CX87" s="13"/>
      <c r="CY87" s="13" t="s">
        <v>81</v>
      </c>
      <c r="CZ87" s="13"/>
      <c r="DA87" s="13" t="s">
        <v>82</v>
      </c>
      <c r="DB87" s="13"/>
      <c r="DC87" s="13" t="s">
        <v>84</v>
      </c>
      <c r="DD87" s="13" t="s">
        <v>84</v>
      </c>
      <c r="DG87" s="13">
        <v>1</v>
      </c>
      <c r="DH87" s="13">
        <v>1</v>
      </c>
      <c r="DI87" s="13">
        <v>1</v>
      </c>
      <c r="DJ87" s="13">
        <v>1</v>
      </c>
      <c r="DK87" s="13">
        <v>1</v>
      </c>
      <c r="DL87" s="13">
        <v>1</v>
      </c>
      <c r="DM87" s="13">
        <v>1</v>
      </c>
      <c r="DN87" s="13">
        <v>1</v>
      </c>
      <c r="DO87" s="13">
        <v>1</v>
      </c>
      <c r="DP87" s="13">
        <v>1</v>
      </c>
      <c r="DQ87" s="13">
        <v>3</v>
      </c>
      <c r="DR87" s="13">
        <v>1</v>
      </c>
      <c r="DS87" s="13" t="s">
        <v>97</v>
      </c>
      <c r="DT87" s="13" t="s">
        <v>106</v>
      </c>
      <c r="DU87" s="13"/>
      <c r="DV87" s="13" t="s">
        <v>84</v>
      </c>
      <c r="DW87" s="13" t="s">
        <v>112</v>
      </c>
      <c r="DX87" s="13" t="s">
        <v>81</v>
      </c>
      <c r="DY87" s="13"/>
      <c r="DZ87" s="13" t="s">
        <v>100</v>
      </c>
      <c r="EA87" s="13"/>
      <c r="EB87" s="13" t="s">
        <v>82</v>
      </c>
      <c r="EC87" s="13"/>
      <c r="ED87" s="13" t="s">
        <v>81</v>
      </c>
      <c r="EE87" s="13"/>
      <c r="EF87" s="13" t="s">
        <v>82</v>
      </c>
      <c r="EG87" s="13" t="s">
        <v>82</v>
      </c>
      <c r="EH87" s="13" t="s">
        <v>84</v>
      </c>
      <c r="EI87" s="13"/>
      <c r="EJ87" s="13"/>
      <c r="EK87" s="13"/>
      <c r="EL87" s="13"/>
      <c r="EM87" s="9">
        <v>707.14</v>
      </c>
      <c r="EN87" s="9">
        <v>38.35</v>
      </c>
      <c r="EO87" s="9"/>
      <c r="EP87" s="9"/>
      <c r="EQ87" s="9">
        <v>174.18</v>
      </c>
      <c r="ER87" s="9"/>
      <c r="ES87" s="9"/>
      <c r="ET87" s="9"/>
      <c r="EU87" s="9"/>
      <c r="EV87" s="9"/>
      <c r="EW87" s="9">
        <v>54.62</v>
      </c>
      <c r="EX87" s="9"/>
      <c r="EY87" s="9"/>
      <c r="EZ87" s="9"/>
      <c r="FA87" s="9"/>
      <c r="FB87" s="9"/>
      <c r="FC87" s="9"/>
      <c r="FD87" s="9"/>
      <c r="FE87" s="9"/>
      <c r="FF87" s="9">
        <v>22.35</v>
      </c>
      <c r="FG87" s="9"/>
      <c r="FH87" s="9"/>
      <c r="FI87" s="9"/>
      <c r="FJ87" s="9">
        <v>16.63</v>
      </c>
      <c r="FK87" s="9"/>
      <c r="FL87" s="9"/>
      <c r="FM87" s="9"/>
      <c r="FN87" s="9"/>
      <c r="FO87" s="9"/>
      <c r="FP87" s="9">
        <v>38.78</v>
      </c>
      <c r="FQ87" s="9"/>
      <c r="FR87" s="9"/>
      <c r="FS87" s="9"/>
      <c r="FT87" s="9"/>
      <c r="FU87" s="9"/>
      <c r="FV87" s="9">
        <v>76.72</v>
      </c>
      <c r="FW87" s="9"/>
      <c r="FX87" s="9"/>
      <c r="FY87" s="9"/>
      <c r="FZ87" s="9"/>
      <c r="GA87" s="9"/>
      <c r="GB87" s="9"/>
      <c r="GC87" s="9">
        <v>198.18</v>
      </c>
      <c r="GD87" s="9"/>
      <c r="GE87" s="9"/>
      <c r="GF87" s="9"/>
      <c r="GG87" s="9"/>
      <c r="GH87" s="9"/>
      <c r="GI87" s="9"/>
      <c r="GJ87" s="9"/>
      <c r="GK87" s="9"/>
      <c r="GL87" s="9"/>
      <c r="GM87" s="9"/>
      <c r="GN87" s="9"/>
      <c r="GO87" s="9"/>
      <c r="GP87" s="9"/>
      <c r="GQ87" s="9"/>
      <c r="GR87" s="9"/>
      <c r="GS87" s="9"/>
      <c r="GT87" s="9">
        <v>12.94</v>
      </c>
      <c r="GU87" s="9"/>
      <c r="GV87" s="9"/>
      <c r="GW87" s="9"/>
      <c r="GX87" s="9">
        <v>23.06</v>
      </c>
      <c r="GY87" s="9"/>
      <c r="GZ87" s="9"/>
      <c r="HA87" s="9"/>
      <c r="HB87" s="9">
        <v>51.33</v>
      </c>
      <c r="HC87" s="9"/>
      <c r="HD87" s="9"/>
      <c r="HE87" s="9"/>
      <c r="HF87" s="9"/>
      <c r="HG87" s="9"/>
      <c r="HH87" s="9"/>
      <c r="HI87" s="9"/>
      <c r="HJ87" s="9"/>
      <c r="HK87" s="9"/>
      <c r="HL87" s="9"/>
      <c r="HM87" s="9"/>
      <c r="HN87" s="9"/>
      <c r="HO87" s="9"/>
      <c r="HP87" s="9"/>
      <c r="HQ87" s="62">
        <f t="shared" si="6"/>
        <v>707.14</v>
      </c>
      <c r="HR87" s="62">
        <f t="shared" si="7"/>
        <v>11.785666666666666</v>
      </c>
    </row>
    <row r="88" spans="1:226" ht="12.95" customHeight="1" x14ac:dyDescent="0.2">
      <c r="A88" s="11">
        <v>147</v>
      </c>
      <c r="B88" s="9">
        <v>129</v>
      </c>
      <c r="C88" s="9" t="s">
        <v>83</v>
      </c>
      <c r="D88" s="9">
        <v>11</v>
      </c>
      <c r="E88" s="9" t="s">
        <v>79</v>
      </c>
      <c r="F88" s="9">
        <v>549020741</v>
      </c>
      <c r="G88" s="9" t="s">
        <v>81</v>
      </c>
      <c r="H88" s="9" t="s">
        <v>84</v>
      </c>
      <c r="I88" s="13" t="s">
        <v>105</v>
      </c>
      <c r="J88" s="13"/>
      <c r="M88" s="13" t="s">
        <v>1319</v>
      </c>
      <c r="N88" s="13" t="s">
        <v>106</v>
      </c>
      <c r="O88" s="13"/>
      <c r="P88" s="13" t="s">
        <v>253</v>
      </c>
      <c r="Q88" s="13" t="s">
        <v>1310</v>
      </c>
      <c r="S88" s="13" t="s">
        <v>84</v>
      </c>
      <c r="T88" s="13" t="s">
        <v>84</v>
      </c>
      <c r="U88" s="13" t="s">
        <v>84</v>
      </c>
      <c r="V88" s="13" t="s">
        <v>82</v>
      </c>
      <c r="W88" s="13" t="s">
        <v>82</v>
      </c>
      <c r="X88" s="13" t="s">
        <v>82</v>
      </c>
      <c r="Y88" s="13" t="s">
        <v>84</v>
      </c>
      <c r="Z88" s="13" t="s">
        <v>82</v>
      </c>
      <c r="AA88" s="13"/>
      <c r="AB88" s="13" t="s">
        <v>82</v>
      </c>
      <c r="AC88" s="13"/>
      <c r="AD88" s="13" t="s">
        <v>82</v>
      </c>
      <c r="AE88" s="13"/>
      <c r="AF88" s="13"/>
      <c r="AG88" s="13" t="s">
        <v>84</v>
      </c>
      <c r="AH88" s="13"/>
      <c r="AI88" s="13" t="s">
        <v>84</v>
      </c>
      <c r="AJ88" s="13"/>
      <c r="AK88" s="13"/>
      <c r="AL88" s="13" t="s">
        <v>126</v>
      </c>
      <c r="AM88" s="13" t="s">
        <v>111</v>
      </c>
      <c r="AN88" s="13"/>
      <c r="AO88" s="13" t="s">
        <v>80</v>
      </c>
      <c r="AQ88" s="13" t="s">
        <v>84</v>
      </c>
      <c r="AR88" s="13" t="s">
        <v>82</v>
      </c>
      <c r="AS88" s="13" t="s">
        <v>82</v>
      </c>
      <c r="AT88" s="13" t="s">
        <v>84</v>
      </c>
      <c r="AU88" s="13"/>
      <c r="AW88" s="13" t="s">
        <v>80</v>
      </c>
      <c r="AX88" s="13" t="s">
        <v>80</v>
      </c>
      <c r="AY88" s="13" t="s">
        <v>80</v>
      </c>
      <c r="AZ88" s="13" t="s">
        <v>80</v>
      </c>
      <c r="BA88" s="13"/>
      <c r="BB88" s="13" t="s">
        <v>84</v>
      </c>
      <c r="BC88" s="13" t="s">
        <v>80</v>
      </c>
      <c r="BD88" s="13" t="s">
        <v>113</v>
      </c>
      <c r="BE88" s="13" t="s">
        <v>100</v>
      </c>
      <c r="BF88" s="13" t="s">
        <v>100</v>
      </c>
      <c r="BG88" s="13" t="s">
        <v>84</v>
      </c>
      <c r="BH88" s="13" t="s">
        <v>84</v>
      </c>
      <c r="BI88" s="13"/>
      <c r="BJ88" s="13" t="s">
        <v>84</v>
      </c>
      <c r="BK88" s="13" t="s">
        <v>80</v>
      </c>
      <c r="BL88" s="13">
        <v>3</v>
      </c>
      <c r="BM88" s="13">
        <v>2</v>
      </c>
      <c r="BN88" s="13">
        <v>2</v>
      </c>
      <c r="BO88" s="13">
        <v>2</v>
      </c>
      <c r="BP88" s="13">
        <v>3</v>
      </c>
      <c r="BQ88" s="13">
        <v>2</v>
      </c>
      <c r="BS88" s="13" t="s">
        <v>118</v>
      </c>
      <c r="BT88" s="13"/>
      <c r="BU88" s="13"/>
      <c r="BV88" s="13"/>
      <c r="BX88" s="13" t="s">
        <v>82</v>
      </c>
      <c r="BY88" s="13"/>
      <c r="BZ88" s="13" t="s">
        <v>84</v>
      </c>
      <c r="CA88" s="13"/>
      <c r="CB88" s="13" t="s">
        <v>82</v>
      </c>
      <c r="CC88" s="13"/>
      <c r="CD88" s="13" t="s">
        <v>82</v>
      </c>
      <c r="CE88" s="13"/>
      <c r="CF88" s="13"/>
      <c r="CG88" s="13"/>
      <c r="CI88" s="13" t="s">
        <v>84</v>
      </c>
      <c r="CJ88" s="13"/>
      <c r="CK88" s="13" t="s">
        <v>82</v>
      </c>
      <c r="CL88" s="13"/>
      <c r="CM88" s="13" t="s">
        <v>82</v>
      </c>
      <c r="CN88" s="13"/>
      <c r="CO88" s="13"/>
      <c r="CP88" s="13"/>
      <c r="CQ88" s="13" t="s">
        <v>97</v>
      </c>
      <c r="CR88" s="13" t="s">
        <v>84</v>
      </c>
      <c r="CS88" s="13" t="s">
        <v>97</v>
      </c>
      <c r="CT88" s="13"/>
      <c r="CU88" s="13" t="s">
        <v>81</v>
      </c>
      <c r="CV88" s="13"/>
      <c r="CW88" s="13" t="s">
        <v>82</v>
      </c>
      <c r="CX88" s="13"/>
      <c r="CY88" s="13" t="s">
        <v>81</v>
      </c>
      <c r="CZ88" s="13"/>
      <c r="DA88" s="13" t="s">
        <v>82</v>
      </c>
      <c r="DB88" s="13"/>
      <c r="DC88" s="13" t="s">
        <v>84</v>
      </c>
      <c r="DD88" s="13" t="s">
        <v>84</v>
      </c>
      <c r="DG88" s="13">
        <v>2</v>
      </c>
      <c r="DH88" s="13">
        <v>1</v>
      </c>
      <c r="DI88" s="13">
        <v>2</v>
      </c>
      <c r="DJ88" s="13">
        <v>1</v>
      </c>
      <c r="DK88" s="13">
        <v>1</v>
      </c>
      <c r="DL88" s="13">
        <v>2</v>
      </c>
      <c r="DM88" s="13">
        <v>2</v>
      </c>
      <c r="DN88" s="13">
        <v>1</v>
      </c>
      <c r="DO88" s="13">
        <v>3</v>
      </c>
      <c r="DP88" s="13">
        <v>1</v>
      </c>
      <c r="DQ88" s="13">
        <v>2</v>
      </c>
      <c r="DR88" s="13">
        <v>1</v>
      </c>
      <c r="DS88" s="13" t="s">
        <v>97</v>
      </c>
      <c r="DT88" s="13" t="s">
        <v>106</v>
      </c>
      <c r="DU88" s="13"/>
      <c r="DV88" s="13" t="s">
        <v>84</v>
      </c>
      <c r="DW88" s="13" t="s">
        <v>100</v>
      </c>
      <c r="DX88" s="13" t="s">
        <v>81</v>
      </c>
      <c r="DY88" s="13" t="s">
        <v>2310</v>
      </c>
      <c r="DZ88" s="13" t="s">
        <v>113</v>
      </c>
      <c r="EA88" s="13" t="s">
        <v>2311</v>
      </c>
      <c r="EB88" s="13" t="s">
        <v>84</v>
      </c>
      <c r="EC88" s="13"/>
      <c r="ED88" s="13"/>
      <c r="EE88" s="13"/>
      <c r="EF88" s="13" t="s">
        <v>84</v>
      </c>
      <c r="EG88" s="13" t="s">
        <v>84</v>
      </c>
      <c r="EH88" s="13" t="s">
        <v>82</v>
      </c>
      <c r="EI88" s="13"/>
      <c r="EJ88" s="13"/>
      <c r="EK88" s="13"/>
      <c r="EL88" s="13"/>
      <c r="EM88" s="9">
        <v>485.18</v>
      </c>
      <c r="EN88" s="9">
        <v>25.7</v>
      </c>
      <c r="EO88" s="9"/>
      <c r="EP88" s="9"/>
      <c r="EQ88" s="9">
        <v>82.39</v>
      </c>
      <c r="ER88" s="9"/>
      <c r="ES88" s="9"/>
      <c r="ET88" s="9"/>
      <c r="EU88" s="9"/>
      <c r="EV88" s="9"/>
      <c r="EW88" s="9">
        <v>33.25</v>
      </c>
      <c r="EX88" s="9"/>
      <c r="EY88" s="9"/>
      <c r="EZ88" s="9"/>
      <c r="FA88" s="9"/>
      <c r="FB88" s="9"/>
      <c r="FC88" s="9"/>
      <c r="FD88" s="9"/>
      <c r="FE88" s="9"/>
      <c r="FF88" s="9">
        <v>20.329999999999998</v>
      </c>
      <c r="FG88" s="9"/>
      <c r="FH88" s="9"/>
      <c r="FI88" s="9"/>
      <c r="FJ88" s="9">
        <v>12.31</v>
      </c>
      <c r="FK88" s="9"/>
      <c r="FL88" s="9"/>
      <c r="FM88" s="9"/>
      <c r="FN88" s="9"/>
      <c r="FO88" s="9"/>
      <c r="FP88" s="9">
        <v>22.43</v>
      </c>
      <c r="FQ88" s="9"/>
      <c r="FR88" s="9"/>
      <c r="FS88" s="9"/>
      <c r="FT88" s="9"/>
      <c r="FU88" s="9"/>
      <c r="FV88" s="9">
        <v>47.53</v>
      </c>
      <c r="FW88" s="9"/>
      <c r="FX88" s="9"/>
      <c r="FY88" s="9"/>
      <c r="FZ88" s="9"/>
      <c r="GA88" s="9"/>
      <c r="GB88" s="9"/>
      <c r="GC88" s="9">
        <v>113.62</v>
      </c>
      <c r="GD88" s="9"/>
      <c r="GE88" s="9"/>
      <c r="GF88" s="9"/>
      <c r="GG88" s="9"/>
      <c r="GH88" s="9"/>
      <c r="GI88" s="9"/>
      <c r="GJ88" s="9"/>
      <c r="GK88" s="9"/>
      <c r="GL88" s="9"/>
      <c r="GM88" s="9"/>
      <c r="GN88" s="9"/>
      <c r="GO88" s="9"/>
      <c r="GP88" s="9"/>
      <c r="GQ88" s="9"/>
      <c r="GR88" s="9"/>
      <c r="GS88" s="9"/>
      <c r="GT88" s="9">
        <v>12.96</v>
      </c>
      <c r="GU88" s="9"/>
      <c r="GV88" s="9"/>
      <c r="GW88" s="9"/>
      <c r="GX88" s="9">
        <v>50.93</v>
      </c>
      <c r="GY88" s="9"/>
      <c r="GZ88" s="9"/>
      <c r="HA88" s="9"/>
      <c r="HB88" s="9">
        <v>63.73</v>
      </c>
      <c r="HC88" s="9"/>
      <c r="HD88" s="9"/>
      <c r="HE88" s="9"/>
      <c r="HF88" s="9"/>
      <c r="HG88" s="9"/>
      <c r="HH88" s="9"/>
      <c r="HI88" s="9"/>
      <c r="HJ88" s="9"/>
      <c r="HK88" s="9"/>
      <c r="HL88" s="9"/>
      <c r="HM88" s="9"/>
      <c r="HN88" s="9"/>
      <c r="HO88" s="9"/>
      <c r="HP88" s="9"/>
      <c r="HQ88" s="62">
        <f t="shared" si="6"/>
        <v>485.18</v>
      </c>
      <c r="HR88" s="62">
        <f t="shared" si="7"/>
        <v>8.086333333333334</v>
      </c>
    </row>
    <row r="89" spans="1:226" ht="12.95" customHeight="1" x14ac:dyDescent="0.2">
      <c r="A89" s="11">
        <v>148</v>
      </c>
      <c r="B89" s="9">
        <v>131</v>
      </c>
      <c r="C89" s="9" t="s">
        <v>83</v>
      </c>
      <c r="D89" s="9">
        <v>11</v>
      </c>
      <c r="E89" s="9" t="s">
        <v>79</v>
      </c>
      <c r="F89" s="9">
        <v>469952666</v>
      </c>
      <c r="G89" s="9" t="s">
        <v>81</v>
      </c>
      <c r="H89" s="9" t="s">
        <v>84</v>
      </c>
      <c r="I89" s="13" t="s">
        <v>107</v>
      </c>
      <c r="J89" s="13"/>
      <c r="M89" s="13" t="s">
        <v>1309</v>
      </c>
      <c r="N89" s="13" t="s">
        <v>108</v>
      </c>
      <c r="O89" s="13" t="s">
        <v>2008</v>
      </c>
      <c r="P89" s="13" t="s">
        <v>87</v>
      </c>
      <c r="Q89" s="13" t="s">
        <v>1766</v>
      </c>
      <c r="S89" s="13" t="s">
        <v>84</v>
      </c>
      <c r="T89" s="13" t="s">
        <v>84</v>
      </c>
      <c r="U89" s="13" t="s">
        <v>84</v>
      </c>
      <c r="V89" s="13" t="s">
        <v>84</v>
      </c>
      <c r="W89" s="13" t="s">
        <v>82</v>
      </c>
      <c r="X89" s="13" t="s">
        <v>82</v>
      </c>
      <c r="Y89" s="13" t="s">
        <v>84</v>
      </c>
      <c r="Z89" s="13" t="s">
        <v>82</v>
      </c>
      <c r="AA89" s="13"/>
      <c r="AB89" s="13" t="s">
        <v>84</v>
      </c>
      <c r="AC89" s="13" t="s">
        <v>2032</v>
      </c>
      <c r="AD89" s="13" t="s">
        <v>82</v>
      </c>
      <c r="AE89" s="13"/>
      <c r="AF89" s="13"/>
      <c r="AG89" s="13" t="s">
        <v>82</v>
      </c>
      <c r="AH89" s="13"/>
      <c r="AI89" s="13" t="s">
        <v>84</v>
      </c>
      <c r="AJ89" s="13"/>
      <c r="AK89" s="13" t="s">
        <v>2033</v>
      </c>
      <c r="AL89" s="13" t="s">
        <v>126</v>
      </c>
      <c r="AM89" s="13" t="s">
        <v>111</v>
      </c>
      <c r="AN89" s="13"/>
      <c r="AO89" s="13" t="s">
        <v>80</v>
      </c>
      <c r="AQ89" s="13" t="s">
        <v>84</v>
      </c>
      <c r="AR89" s="13" t="s">
        <v>82</v>
      </c>
      <c r="AS89" s="13" t="s">
        <v>82</v>
      </c>
      <c r="AT89" s="13" t="s">
        <v>82</v>
      </c>
      <c r="AU89" s="13"/>
      <c r="AW89" s="13" t="s">
        <v>80</v>
      </c>
      <c r="AX89" s="13" t="s">
        <v>80</v>
      </c>
      <c r="AY89" s="13" t="s">
        <v>80</v>
      </c>
      <c r="AZ89" s="13" t="s">
        <v>80</v>
      </c>
      <c r="BA89" s="13"/>
      <c r="BB89" s="13" t="s">
        <v>84</v>
      </c>
      <c r="BC89" s="13" t="s">
        <v>80</v>
      </c>
      <c r="BD89" s="13" t="s">
        <v>100</v>
      </c>
      <c r="BE89" s="13" t="s">
        <v>100</v>
      </c>
      <c r="BF89" s="13" t="s">
        <v>113</v>
      </c>
      <c r="BG89" s="13" t="s">
        <v>82</v>
      </c>
      <c r="BH89" s="13" t="s">
        <v>84</v>
      </c>
      <c r="BI89" s="13" t="s">
        <v>1770</v>
      </c>
      <c r="BJ89" s="13" t="s">
        <v>84</v>
      </c>
      <c r="BK89" s="13" t="s">
        <v>80</v>
      </c>
      <c r="BL89" s="13">
        <v>4</v>
      </c>
      <c r="BM89" s="13">
        <v>4</v>
      </c>
      <c r="BN89" s="13">
        <v>2</v>
      </c>
      <c r="BO89" s="13">
        <v>1</v>
      </c>
      <c r="BP89" s="13">
        <v>4</v>
      </c>
      <c r="BQ89" s="13">
        <v>4</v>
      </c>
      <c r="BS89" s="13" t="s">
        <v>97</v>
      </c>
      <c r="BT89" s="13"/>
      <c r="BU89" s="13" t="s">
        <v>246</v>
      </c>
      <c r="BV89" s="13" t="s">
        <v>2162</v>
      </c>
      <c r="BX89" s="13" t="s">
        <v>80</v>
      </c>
      <c r="BY89" s="13"/>
      <c r="BZ89" s="13" t="s">
        <v>80</v>
      </c>
      <c r="CA89" s="13"/>
      <c r="CB89" s="13" t="s">
        <v>80</v>
      </c>
      <c r="CC89" s="13"/>
      <c r="CD89" s="13" t="s">
        <v>80</v>
      </c>
      <c r="CE89" s="13"/>
      <c r="CF89" s="13"/>
      <c r="CG89" s="13"/>
      <c r="CI89" s="13" t="s">
        <v>84</v>
      </c>
      <c r="CJ89" s="13" t="s">
        <v>2204</v>
      </c>
      <c r="CK89" s="13" t="s">
        <v>82</v>
      </c>
      <c r="CL89" s="13"/>
      <c r="CM89" s="13" t="s">
        <v>82</v>
      </c>
      <c r="CN89" s="13"/>
      <c r="CO89" s="13"/>
      <c r="CP89" s="13"/>
      <c r="CQ89" s="13" t="s">
        <v>97</v>
      </c>
      <c r="CR89" s="13" t="s">
        <v>84</v>
      </c>
      <c r="CS89" s="13" t="s">
        <v>97</v>
      </c>
      <c r="CT89" s="13" t="s">
        <v>2205</v>
      </c>
      <c r="CU89" s="13" t="s">
        <v>246</v>
      </c>
      <c r="CV89" s="13" t="s">
        <v>2206</v>
      </c>
      <c r="CW89" s="13" t="s">
        <v>82</v>
      </c>
      <c r="CX89" s="13"/>
      <c r="CY89" s="13" t="s">
        <v>246</v>
      </c>
      <c r="CZ89" s="13" t="s">
        <v>2207</v>
      </c>
      <c r="DA89" s="13" t="s">
        <v>82</v>
      </c>
      <c r="DB89" s="13"/>
      <c r="DC89" s="13" t="s">
        <v>84</v>
      </c>
      <c r="DD89" s="13" t="s">
        <v>82</v>
      </c>
      <c r="DG89" s="13">
        <v>4</v>
      </c>
      <c r="DH89" s="13">
        <v>2</v>
      </c>
      <c r="DI89" s="13">
        <v>5</v>
      </c>
      <c r="DJ89" s="13">
        <v>2</v>
      </c>
      <c r="DK89" s="13">
        <v>1</v>
      </c>
      <c r="DL89" s="13">
        <v>5</v>
      </c>
      <c r="DM89" s="13">
        <v>3</v>
      </c>
      <c r="DN89" s="13">
        <v>3</v>
      </c>
      <c r="DO89" s="13">
        <v>4</v>
      </c>
      <c r="DP89" s="13">
        <v>4</v>
      </c>
      <c r="DQ89" s="13">
        <v>3</v>
      </c>
      <c r="DR89" s="13">
        <v>3</v>
      </c>
      <c r="DS89" s="13" t="s">
        <v>97</v>
      </c>
      <c r="DT89" s="13" t="s">
        <v>84</v>
      </c>
      <c r="DU89" s="13"/>
      <c r="DV89" s="13" t="s">
        <v>84</v>
      </c>
      <c r="DW89" s="13" t="s">
        <v>100</v>
      </c>
      <c r="DX89" s="13" t="s">
        <v>81</v>
      </c>
      <c r="DY89" s="13" t="s">
        <v>2312</v>
      </c>
      <c r="DZ89" s="13" t="s">
        <v>93</v>
      </c>
      <c r="EA89" s="13"/>
      <c r="EB89" s="13" t="s">
        <v>82</v>
      </c>
      <c r="EC89" s="13"/>
      <c r="ED89" s="13" t="s">
        <v>246</v>
      </c>
      <c r="EE89" s="13" t="s">
        <v>2313</v>
      </c>
      <c r="EF89" s="13" t="s">
        <v>84</v>
      </c>
      <c r="EG89" s="13" t="s">
        <v>82</v>
      </c>
      <c r="EH89" s="13" t="s">
        <v>82</v>
      </c>
      <c r="EI89" s="13"/>
      <c r="EJ89" s="13" t="s">
        <v>2314</v>
      </c>
      <c r="EK89" s="13" t="s">
        <v>2315</v>
      </c>
      <c r="EL89" s="13" t="s">
        <v>2316</v>
      </c>
      <c r="EM89" s="9">
        <v>2567.6</v>
      </c>
      <c r="EN89" s="9">
        <v>22.72</v>
      </c>
      <c r="EO89" s="9"/>
      <c r="EP89" s="9"/>
      <c r="EQ89" s="9">
        <v>161.65</v>
      </c>
      <c r="ER89" s="9"/>
      <c r="ES89" s="9"/>
      <c r="ET89" s="9"/>
      <c r="EU89" s="9"/>
      <c r="EV89" s="9"/>
      <c r="EW89" s="9">
        <v>68.510000000000005</v>
      </c>
      <c r="EX89" s="9"/>
      <c r="EY89" s="9"/>
      <c r="EZ89" s="9"/>
      <c r="FA89" s="9"/>
      <c r="FB89" s="9"/>
      <c r="FC89" s="9"/>
      <c r="FD89" s="9"/>
      <c r="FE89" s="9"/>
      <c r="FF89" s="9">
        <v>80.099999999999994</v>
      </c>
      <c r="FG89" s="9"/>
      <c r="FH89" s="9"/>
      <c r="FI89" s="9"/>
      <c r="FJ89" s="9">
        <v>13.79</v>
      </c>
      <c r="FK89" s="9"/>
      <c r="FL89" s="9"/>
      <c r="FM89" s="9"/>
      <c r="FN89" s="9"/>
      <c r="FO89" s="9"/>
      <c r="FP89" s="9">
        <v>50.53</v>
      </c>
      <c r="FQ89" s="9"/>
      <c r="FR89" s="9"/>
      <c r="FS89" s="9"/>
      <c r="FT89" s="9"/>
      <c r="FU89" s="9"/>
      <c r="FV89" s="9">
        <v>129.76</v>
      </c>
      <c r="FW89" s="9"/>
      <c r="FX89" s="9"/>
      <c r="FY89" s="9"/>
      <c r="FZ89" s="9"/>
      <c r="GA89" s="9"/>
      <c r="GB89" s="9"/>
      <c r="GC89" s="9">
        <v>1752.84</v>
      </c>
      <c r="GD89" s="9"/>
      <c r="GE89" s="9"/>
      <c r="GF89" s="9"/>
      <c r="GG89" s="9"/>
      <c r="GH89" s="9"/>
      <c r="GI89" s="9"/>
      <c r="GJ89" s="9"/>
      <c r="GK89" s="9"/>
      <c r="GL89" s="9"/>
      <c r="GM89" s="9"/>
      <c r="GN89" s="9"/>
      <c r="GO89" s="9"/>
      <c r="GP89" s="9"/>
      <c r="GQ89" s="9"/>
      <c r="GR89" s="9"/>
      <c r="GS89" s="9"/>
      <c r="GT89" s="9">
        <v>37.42</v>
      </c>
      <c r="GU89" s="9"/>
      <c r="GV89" s="9"/>
      <c r="GW89" s="9"/>
      <c r="GX89" s="9">
        <v>96.39</v>
      </c>
      <c r="GY89" s="9"/>
      <c r="GZ89" s="9"/>
      <c r="HA89" s="9"/>
      <c r="HB89" s="9">
        <v>153.88999999999999</v>
      </c>
      <c r="HC89" s="9"/>
      <c r="HD89" s="9"/>
      <c r="HE89" s="9"/>
      <c r="HF89" s="9"/>
      <c r="HG89" s="9"/>
      <c r="HH89" s="9"/>
      <c r="HI89" s="9"/>
      <c r="HJ89" s="9"/>
      <c r="HK89" s="9"/>
      <c r="HL89" s="9"/>
      <c r="HM89" s="9"/>
      <c r="HN89" s="9"/>
      <c r="HO89" s="9"/>
      <c r="HP89" s="9"/>
      <c r="HQ89" s="62">
        <f t="shared" si="6"/>
        <v>2567.6</v>
      </c>
      <c r="HR89" s="62">
        <f t="shared" si="7"/>
        <v>42.793333333333329</v>
      </c>
    </row>
    <row r="90" spans="1:226" ht="12.95" customHeight="1" x14ac:dyDescent="0.2">
      <c r="A90" s="11">
        <v>149</v>
      </c>
      <c r="B90" s="9">
        <v>132</v>
      </c>
      <c r="C90" s="9" t="s">
        <v>83</v>
      </c>
      <c r="D90" s="9">
        <v>11</v>
      </c>
      <c r="E90" s="9" t="s">
        <v>79</v>
      </c>
      <c r="F90" s="9">
        <v>1727847457</v>
      </c>
      <c r="G90" s="9" t="s">
        <v>81</v>
      </c>
      <c r="H90" s="9" t="s">
        <v>84</v>
      </c>
      <c r="I90" s="13" t="s">
        <v>630</v>
      </c>
      <c r="J90" s="13"/>
      <c r="M90" s="13" t="s">
        <v>1319</v>
      </c>
      <c r="N90" s="13" t="s">
        <v>86</v>
      </c>
      <c r="O90" s="13"/>
      <c r="P90" s="13" t="s">
        <v>87</v>
      </c>
      <c r="Q90" s="13" t="s">
        <v>1296</v>
      </c>
      <c r="S90" s="13" t="s">
        <v>84</v>
      </c>
      <c r="T90" s="13" t="s">
        <v>84</v>
      </c>
      <c r="U90" s="13" t="s">
        <v>84</v>
      </c>
      <c r="V90" s="13" t="s">
        <v>82</v>
      </c>
      <c r="W90" s="13" t="s">
        <v>82</v>
      </c>
      <c r="X90" s="13" t="s">
        <v>82</v>
      </c>
      <c r="Y90" s="13" t="s">
        <v>84</v>
      </c>
      <c r="Z90" s="13" t="s">
        <v>84</v>
      </c>
      <c r="AA90" s="13"/>
      <c r="AB90" s="13" t="s">
        <v>82</v>
      </c>
      <c r="AC90" s="13"/>
      <c r="AD90" s="13" t="s">
        <v>82</v>
      </c>
      <c r="AE90" s="13"/>
      <c r="AF90" s="13"/>
      <c r="AG90" s="13" t="s">
        <v>82</v>
      </c>
      <c r="AH90" s="13"/>
      <c r="AI90" s="13" t="s">
        <v>84</v>
      </c>
      <c r="AJ90" s="13"/>
      <c r="AK90" s="13" t="s">
        <v>2034</v>
      </c>
      <c r="AL90" s="13" t="s">
        <v>90</v>
      </c>
      <c r="AM90" s="13" t="s">
        <v>91</v>
      </c>
      <c r="AN90" s="13"/>
      <c r="AO90" s="13" t="s">
        <v>80</v>
      </c>
      <c r="AQ90" s="13" t="s">
        <v>80</v>
      </c>
      <c r="AR90" s="13" t="s">
        <v>80</v>
      </c>
      <c r="AS90" s="13" t="s">
        <v>80</v>
      </c>
      <c r="AT90" s="13" t="s">
        <v>80</v>
      </c>
      <c r="AU90" s="13"/>
      <c r="AW90" s="13" t="s">
        <v>84</v>
      </c>
      <c r="AX90" s="13" t="s">
        <v>82</v>
      </c>
      <c r="AY90" s="13" t="s">
        <v>82</v>
      </c>
      <c r="AZ90" s="13" t="s">
        <v>82</v>
      </c>
      <c r="BA90" s="13"/>
      <c r="BB90" s="13" t="s">
        <v>84</v>
      </c>
      <c r="BC90" s="13" t="s">
        <v>80</v>
      </c>
      <c r="BD90" s="13" t="s">
        <v>93</v>
      </c>
      <c r="BE90" s="13" t="s">
        <v>93</v>
      </c>
      <c r="BF90" s="13" t="s">
        <v>112</v>
      </c>
      <c r="BG90" s="13" t="s">
        <v>84</v>
      </c>
      <c r="BH90" s="13" t="s">
        <v>84</v>
      </c>
      <c r="BI90" s="13" t="s">
        <v>2134</v>
      </c>
      <c r="BJ90" s="13" t="s">
        <v>84</v>
      </c>
      <c r="BK90" s="13" t="s">
        <v>80</v>
      </c>
      <c r="BL90" s="13">
        <v>5</v>
      </c>
      <c r="BM90" s="13">
        <v>5</v>
      </c>
      <c r="BN90" s="13">
        <v>5</v>
      </c>
      <c r="BO90" s="13">
        <v>5</v>
      </c>
      <c r="BP90" s="13">
        <v>5</v>
      </c>
      <c r="BQ90" s="13">
        <v>5</v>
      </c>
      <c r="BS90" s="13" t="s">
        <v>119</v>
      </c>
      <c r="BT90" s="13" t="s">
        <v>2163</v>
      </c>
      <c r="BU90" s="13" t="s">
        <v>81</v>
      </c>
      <c r="BV90" s="13" t="s">
        <v>2164</v>
      </c>
      <c r="BX90" s="13" t="s">
        <v>84</v>
      </c>
      <c r="BY90" s="13"/>
      <c r="BZ90" s="13" t="s">
        <v>84</v>
      </c>
      <c r="CA90" s="13"/>
      <c r="CB90" s="13" t="s">
        <v>82</v>
      </c>
      <c r="CC90" s="13"/>
      <c r="CD90" s="13" t="s">
        <v>82</v>
      </c>
      <c r="CE90" s="13"/>
      <c r="CF90" s="13"/>
      <c r="CG90" s="13"/>
      <c r="CI90" s="13" t="s">
        <v>84</v>
      </c>
      <c r="CJ90" s="13"/>
      <c r="CK90" s="13" t="s">
        <v>82</v>
      </c>
      <c r="CL90" s="13"/>
      <c r="CM90" s="13" t="s">
        <v>82</v>
      </c>
      <c r="CN90" s="13"/>
      <c r="CO90" s="13"/>
      <c r="CP90" s="13"/>
      <c r="CQ90" s="13" t="s">
        <v>118</v>
      </c>
      <c r="CR90" s="13" t="s">
        <v>84</v>
      </c>
      <c r="CS90" s="13" t="s">
        <v>1312</v>
      </c>
      <c r="CT90" s="13" t="s">
        <v>2208</v>
      </c>
      <c r="CU90" s="13" t="s">
        <v>246</v>
      </c>
      <c r="CV90" s="13"/>
      <c r="CW90" s="13" t="s">
        <v>84</v>
      </c>
      <c r="CX90" s="13" t="s">
        <v>2209</v>
      </c>
      <c r="CY90" s="13"/>
      <c r="CZ90" s="13"/>
      <c r="DA90" s="13" t="s">
        <v>82</v>
      </c>
      <c r="DB90" s="13"/>
      <c r="DC90" s="13" t="s">
        <v>84</v>
      </c>
      <c r="DD90" s="13" t="s">
        <v>84</v>
      </c>
      <c r="DG90" s="13">
        <v>5</v>
      </c>
      <c r="DH90" s="13">
        <v>3</v>
      </c>
      <c r="DI90" s="13">
        <v>5</v>
      </c>
      <c r="DJ90" s="13">
        <v>3</v>
      </c>
      <c r="DK90" s="13">
        <v>4</v>
      </c>
      <c r="DL90" s="13">
        <v>3</v>
      </c>
      <c r="DM90" s="13">
        <v>4</v>
      </c>
      <c r="DN90" s="13">
        <v>3</v>
      </c>
      <c r="DO90" s="13">
        <v>5</v>
      </c>
      <c r="DP90" s="13">
        <v>3</v>
      </c>
      <c r="DQ90" s="13">
        <v>5</v>
      </c>
      <c r="DR90" s="13">
        <v>3</v>
      </c>
      <c r="DS90" s="13" t="s">
        <v>118</v>
      </c>
      <c r="DT90" s="13" t="s">
        <v>84</v>
      </c>
      <c r="DU90" s="13"/>
      <c r="DV90" s="13" t="s">
        <v>84</v>
      </c>
      <c r="DW90" s="13" t="s">
        <v>93</v>
      </c>
      <c r="DX90" s="13" t="s">
        <v>81</v>
      </c>
      <c r="DY90" s="13" t="s">
        <v>2317</v>
      </c>
      <c r="DZ90" s="13" t="s">
        <v>93</v>
      </c>
      <c r="EA90" s="13" t="s">
        <v>2318</v>
      </c>
      <c r="EB90" s="13" t="s">
        <v>82</v>
      </c>
      <c r="EC90" s="13"/>
      <c r="ED90" s="13" t="s">
        <v>246</v>
      </c>
      <c r="EE90" s="13"/>
      <c r="EF90" s="13" t="s">
        <v>84</v>
      </c>
      <c r="EG90" s="13" t="s">
        <v>84</v>
      </c>
      <c r="EH90" s="13" t="s">
        <v>82</v>
      </c>
      <c r="EI90" s="13"/>
      <c r="EJ90" s="13" t="s">
        <v>2319</v>
      </c>
      <c r="EK90" s="13" t="s">
        <v>2320</v>
      </c>
      <c r="EL90" s="13" t="s">
        <v>2321</v>
      </c>
      <c r="EM90" s="9">
        <v>1486.48</v>
      </c>
      <c r="EN90" s="9">
        <v>14.73</v>
      </c>
      <c r="EO90" s="9"/>
      <c r="EP90" s="9"/>
      <c r="EQ90" s="9">
        <v>37.049999999999997</v>
      </c>
      <c r="ER90" s="9"/>
      <c r="ES90" s="9"/>
      <c r="ET90" s="9"/>
      <c r="EU90" s="9"/>
      <c r="EV90" s="9"/>
      <c r="EW90" s="9">
        <v>33.99</v>
      </c>
      <c r="EX90" s="9"/>
      <c r="EY90" s="9"/>
      <c r="EZ90" s="9"/>
      <c r="FA90" s="9"/>
      <c r="FB90" s="9"/>
      <c r="FC90" s="9"/>
      <c r="FD90" s="9"/>
      <c r="FE90" s="9"/>
      <c r="FF90" s="9">
        <v>89.15</v>
      </c>
      <c r="FG90" s="9"/>
      <c r="FH90" s="9"/>
      <c r="FI90" s="9"/>
      <c r="FJ90" s="9">
        <v>12.72</v>
      </c>
      <c r="FK90" s="9"/>
      <c r="FL90" s="9"/>
      <c r="FM90" s="9"/>
      <c r="FN90" s="9"/>
      <c r="FO90" s="9"/>
      <c r="FP90" s="9">
        <v>27.44</v>
      </c>
      <c r="FQ90" s="9"/>
      <c r="FR90" s="9"/>
      <c r="FS90" s="9"/>
      <c r="FT90" s="9"/>
      <c r="FU90" s="9"/>
      <c r="FV90" s="9">
        <v>168.02</v>
      </c>
      <c r="FW90" s="9"/>
      <c r="FX90" s="9"/>
      <c r="FY90" s="9"/>
      <c r="FZ90" s="9"/>
      <c r="GA90" s="9"/>
      <c r="GB90" s="9"/>
      <c r="GC90" s="9">
        <v>593.83000000000004</v>
      </c>
      <c r="GD90" s="9"/>
      <c r="GE90" s="9"/>
      <c r="GF90" s="9"/>
      <c r="GG90" s="9"/>
      <c r="GH90" s="9"/>
      <c r="GI90" s="9"/>
      <c r="GJ90" s="9"/>
      <c r="GK90" s="9"/>
      <c r="GL90" s="9"/>
      <c r="GM90" s="9"/>
      <c r="GN90" s="9"/>
      <c r="GO90" s="9"/>
      <c r="GP90" s="9"/>
      <c r="GQ90" s="9"/>
      <c r="GR90" s="9"/>
      <c r="GS90" s="9"/>
      <c r="GT90" s="9">
        <v>24.52</v>
      </c>
      <c r="GU90" s="9"/>
      <c r="GV90" s="9"/>
      <c r="GW90" s="9"/>
      <c r="GX90" s="9">
        <v>97.87</v>
      </c>
      <c r="GY90" s="9"/>
      <c r="GZ90" s="9"/>
      <c r="HA90" s="9"/>
      <c r="HB90" s="9">
        <v>387.16</v>
      </c>
      <c r="HC90" s="9"/>
      <c r="HD90" s="9"/>
      <c r="HE90" s="9"/>
      <c r="HF90" s="9"/>
      <c r="HG90" s="9"/>
      <c r="HH90" s="9"/>
      <c r="HI90" s="9"/>
      <c r="HJ90" s="9"/>
      <c r="HK90" s="9"/>
      <c r="HL90" s="9"/>
      <c r="HM90" s="9"/>
      <c r="HN90" s="9"/>
      <c r="HO90" s="9"/>
      <c r="HP90" s="9"/>
      <c r="HQ90" s="62">
        <f t="shared" si="6"/>
        <v>1486.48</v>
      </c>
      <c r="HR90" s="62">
        <f t="shared" si="7"/>
        <v>24.774666666666668</v>
      </c>
    </row>
    <row r="91" spans="1:226" ht="12.95" customHeight="1" x14ac:dyDescent="0.2">
      <c r="A91" s="11">
        <v>150</v>
      </c>
      <c r="B91" s="9">
        <v>134</v>
      </c>
      <c r="C91" s="9" t="s">
        <v>83</v>
      </c>
      <c r="D91" s="9">
        <v>11</v>
      </c>
      <c r="E91" s="9" t="s">
        <v>79</v>
      </c>
      <c r="F91" s="9">
        <v>1033307334</v>
      </c>
      <c r="G91" s="9" t="s">
        <v>81</v>
      </c>
      <c r="H91" s="9" t="s">
        <v>84</v>
      </c>
      <c r="I91" s="13" t="s">
        <v>107</v>
      </c>
      <c r="J91" s="13"/>
      <c r="M91" s="13" t="s">
        <v>1319</v>
      </c>
      <c r="N91" s="13" t="s">
        <v>106</v>
      </c>
      <c r="O91" s="13"/>
      <c r="P91" s="13" t="s">
        <v>87</v>
      </c>
      <c r="Q91" s="13" t="s">
        <v>1296</v>
      </c>
      <c r="S91" s="13" t="s">
        <v>84</v>
      </c>
      <c r="T91" s="13" t="s">
        <v>84</v>
      </c>
      <c r="U91" s="13" t="s">
        <v>82</v>
      </c>
      <c r="V91" s="13" t="s">
        <v>82</v>
      </c>
      <c r="W91" s="13" t="s">
        <v>82</v>
      </c>
      <c r="X91" s="13" t="s">
        <v>82</v>
      </c>
      <c r="Y91" s="13" t="s">
        <v>82</v>
      </c>
      <c r="Z91" s="13" t="s">
        <v>84</v>
      </c>
      <c r="AA91" s="13"/>
      <c r="AB91" s="13" t="s">
        <v>84</v>
      </c>
      <c r="AC91" s="13" t="s">
        <v>2035</v>
      </c>
      <c r="AD91" s="13" t="s">
        <v>82</v>
      </c>
      <c r="AE91" s="13"/>
      <c r="AF91" s="13"/>
      <c r="AG91" s="13" t="s">
        <v>84</v>
      </c>
      <c r="AH91" s="13"/>
      <c r="AI91" s="13" t="s">
        <v>84</v>
      </c>
      <c r="AJ91" s="13"/>
      <c r="AK91" s="13" t="s">
        <v>2036</v>
      </c>
      <c r="AL91" s="13" t="s">
        <v>126</v>
      </c>
      <c r="AM91" s="13" t="s">
        <v>111</v>
      </c>
      <c r="AN91" s="13"/>
      <c r="AO91" s="13" t="s">
        <v>80</v>
      </c>
      <c r="AQ91" s="13" t="s">
        <v>84</v>
      </c>
      <c r="AR91" s="13" t="s">
        <v>82</v>
      </c>
      <c r="AS91" s="13" t="s">
        <v>82</v>
      </c>
      <c r="AT91" s="13" t="s">
        <v>82</v>
      </c>
      <c r="AU91" s="13"/>
      <c r="AW91" s="13" t="s">
        <v>80</v>
      </c>
      <c r="AX91" s="13" t="s">
        <v>80</v>
      </c>
      <c r="AY91" s="13" t="s">
        <v>80</v>
      </c>
      <c r="AZ91" s="13" t="s">
        <v>80</v>
      </c>
      <c r="BA91" s="13"/>
      <c r="BB91" s="13" t="s">
        <v>84</v>
      </c>
      <c r="BC91" s="13" t="s">
        <v>80</v>
      </c>
      <c r="BD91" s="13" t="s">
        <v>100</v>
      </c>
      <c r="BE91" s="13" t="s">
        <v>100</v>
      </c>
      <c r="BF91" s="13" t="s">
        <v>112</v>
      </c>
      <c r="BG91" s="13" t="s">
        <v>84</v>
      </c>
      <c r="BH91" s="13" t="s">
        <v>82</v>
      </c>
      <c r="BI91" s="13"/>
      <c r="BJ91" s="13" t="s">
        <v>84</v>
      </c>
      <c r="BK91" s="13" t="s">
        <v>80</v>
      </c>
      <c r="BL91" s="13">
        <v>3</v>
      </c>
      <c r="BM91" s="13">
        <v>3</v>
      </c>
      <c r="BN91" s="13">
        <v>4</v>
      </c>
      <c r="BO91" s="13">
        <v>2</v>
      </c>
      <c r="BP91" s="13">
        <v>2</v>
      </c>
      <c r="BQ91" s="13">
        <v>1</v>
      </c>
      <c r="BS91" s="13" t="s">
        <v>118</v>
      </c>
      <c r="BT91" s="13"/>
      <c r="BU91" s="13"/>
      <c r="BV91" s="13"/>
      <c r="BX91" s="13" t="s">
        <v>84</v>
      </c>
      <c r="BY91" s="13"/>
      <c r="BZ91" s="13" t="s">
        <v>84</v>
      </c>
      <c r="CA91" s="13"/>
      <c r="CB91" s="13" t="s">
        <v>82</v>
      </c>
      <c r="CC91" s="13"/>
      <c r="CD91" s="13" t="s">
        <v>82</v>
      </c>
      <c r="CE91" s="13"/>
      <c r="CF91" s="13"/>
      <c r="CG91" s="13"/>
      <c r="CI91" s="13" t="s">
        <v>84</v>
      </c>
      <c r="CJ91" s="13"/>
      <c r="CK91" s="13" t="s">
        <v>84</v>
      </c>
      <c r="CL91" s="13"/>
      <c r="CM91" s="13" t="s">
        <v>82</v>
      </c>
      <c r="CN91" s="13"/>
      <c r="CO91" s="13"/>
      <c r="CP91" s="13"/>
      <c r="CQ91" s="13" t="s">
        <v>118</v>
      </c>
      <c r="CR91" s="13" t="s">
        <v>82</v>
      </c>
      <c r="CS91" s="13" t="s">
        <v>97</v>
      </c>
      <c r="CT91" s="13" t="s">
        <v>2210</v>
      </c>
      <c r="CU91" s="13" t="s">
        <v>81</v>
      </c>
      <c r="CV91" s="13" t="s">
        <v>2211</v>
      </c>
      <c r="CW91" s="13" t="s">
        <v>82</v>
      </c>
      <c r="CX91" s="13"/>
      <c r="CY91" s="13" t="s">
        <v>81</v>
      </c>
      <c r="CZ91" s="13"/>
      <c r="DA91" s="13" t="s">
        <v>82</v>
      </c>
      <c r="DB91" s="13"/>
      <c r="DC91" s="13" t="s">
        <v>84</v>
      </c>
      <c r="DD91" s="13" t="s">
        <v>82</v>
      </c>
      <c r="DG91" s="13">
        <v>2</v>
      </c>
      <c r="DH91" s="13">
        <v>1</v>
      </c>
      <c r="DI91" s="13">
        <v>2</v>
      </c>
      <c r="DJ91" s="13">
        <v>1</v>
      </c>
      <c r="DK91" s="13">
        <v>4</v>
      </c>
      <c r="DL91" s="13">
        <v>3</v>
      </c>
      <c r="DM91" s="13">
        <v>2</v>
      </c>
      <c r="DN91" s="13">
        <v>2</v>
      </c>
      <c r="DO91" s="13">
        <v>5</v>
      </c>
      <c r="DP91" s="13">
        <v>1</v>
      </c>
      <c r="DQ91" s="13">
        <v>3</v>
      </c>
      <c r="DR91" s="13">
        <v>1</v>
      </c>
      <c r="DS91" s="13" t="s">
        <v>97</v>
      </c>
      <c r="DT91" s="13" t="s">
        <v>106</v>
      </c>
      <c r="DU91" s="13"/>
      <c r="DV91" s="13" t="s">
        <v>84</v>
      </c>
      <c r="DW91" s="13" t="s">
        <v>100</v>
      </c>
      <c r="DX91" s="13" t="s">
        <v>81</v>
      </c>
      <c r="DY91" s="13"/>
      <c r="DZ91" s="13" t="s">
        <v>93</v>
      </c>
      <c r="EA91" s="13" t="s">
        <v>2322</v>
      </c>
      <c r="EB91" s="13" t="s">
        <v>82</v>
      </c>
      <c r="EC91" s="13"/>
      <c r="ED91" s="13" t="s">
        <v>81</v>
      </c>
      <c r="EE91" s="13"/>
      <c r="EF91" s="13" t="s">
        <v>82</v>
      </c>
      <c r="EG91" s="13" t="s">
        <v>82</v>
      </c>
      <c r="EH91" s="13" t="s">
        <v>82</v>
      </c>
      <c r="EI91" s="13"/>
      <c r="EJ91" s="13" t="s">
        <v>2323</v>
      </c>
      <c r="EK91" s="13" t="s">
        <v>899</v>
      </c>
      <c r="EL91" s="13" t="s">
        <v>2324</v>
      </c>
      <c r="EM91" s="9">
        <v>1655.81</v>
      </c>
      <c r="EN91" s="9">
        <v>40.57</v>
      </c>
      <c r="EO91" s="9"/>
      <c r="EP91" s="9"/>
      <c r="EQ91" s="9">
        <v>86.59</v>
      </c>
      <c r="ER91" s="9"/>
      <c r="ES91" s="9"/>
      <c r="ET91" s="9"/>
      <c r="EU91" s="9"/>
      <c r="EV91" s="9"/>
      <c r="EW91" s="9">
        <v>106.17</v>
      </c>
      <c r="EX91" s="9"/>
      <c r="EY91" s="9"/>
      <c r="EZ91" s="9"/>
      <c r="FA91" s="9"/>
      <c r="FB91" s="9"/>
      <c r="FC91" s="9"/>
      <c r="FD91" s="9"/>
      <c r="FE91" s="9"/>
      <c r="FF91" s="9">
        <v>98.5</v>
      </c>
      <c r="FG91" s="9"/>
      <c r="FH91" s="9"/>
      <c r="FI91" s="9"/>
      <c r="FJ91" s="9">
        <v>27.69</v>
      </c>
      <c r="FK91" s="9"/>
      <c r="FL91" s="9"/>
      <c r="FM91" s="9"/>
      <c r="FN91" s="9"/>
      <c r="FO91" s="9"/>
      <c r="FP91" s="9">
        <v>80.95</v>
      </c>
      <c r="FQ91" s="9"/>
      <c r="FR91" s="9"/>
      <c r="FS91" s="9"/>
      <c r="FT91" s="9"/>
      <c r="FU91" s="9"/>
      <c r="FV91" s="9">
        <v>153.87</v>
      </c>
      <c r="FW91" s="9"/>
      <c r="FX91" s="9"/>
      <c r="FY91" s="9"/>
      <c r="FZ91" s="9"/>
      <c r="GA91" s="9"/>
      <c r="GB91" s="9"/>
      <c r="GC91" s="9">
        <v>513.57000000000005</v>
      </c>
      <c r="GD91" s="9"/>
      <c r="GE91" s="9"/>
      <c r="GF91" s="9"/>
      <c r="GG91" s="9"/>
      <c r="GH91" s="9"/>
      <c r="GI91" s="9"/>
      <c r="GJ91" s="9"/>
      <c r="GK91" s="9"/>
      <c r="GL91" s="9"/>
      <c r="GM91" s="9"/>
      <c r="GN91" s="9"/>
      <c r="GO91" s="9"/>
      <c r="GP91" s="9"/>
      <c r="GQ91" s="9"/>
      <c r="GR91" s="9"/>
      <c r="GS91" s="9"/>
      <c r="GT91" s="9">
        <v>37.369999999999997</v>
      </c>
      <c r="GU91" s="9"/>
      <c r="GV91" s="9"/>
      <c r="GW91" s="9"/>
      <c r="GX91" s="9">
        <v>171.83</v>
      </c>
      <c r="GY91" s="9"/>
      <c r="GZ91" s="9"/>
      <c r="HA91" s="9"/>
      <c r="HB91" s="9">
        <v>338.7</v>
      </c>
      <c r="HC91" s="9"/>
      <c r="HD91" s="9"/>
      <c r="HE91" s="9"/>
      <c r="HF91" s="9"/>
      <c r="HG91" s="9"/>
      <c r="HH91" s="9"/>
      <c r="HI91" s="9"/>
      <c r="HJ91" s="9"/>
      <c r="HK91" s="9"/>
      <c r="HL91" s="9"/>
      <c r="HM91" s="9"/>
      <c r="HN91" s="9"/>
      <c r="HO91" s="9"/>
      <c r="HP91" s="9"/>
      <c r="HQ91" s="62">
        <f t="shared" si="6"/>
        <v>1655.81</v>
      </c>
      <c r="HR91" s="62">
        <f t="shared" si="7"/>
        <v>27.596833333333333</v>
      </c>
    </row>
    <row r="92" spans="1:226" s="33" customFormat="1" ht="12.95" customHeight="1" x14ac:dyDescent="0.2">
      <c r="A92" s="33">
        <v>151</v>
      </c>
      <c r="B92" s="32">
        <v>135</v>
      </c>
      <c r="C92" s="32"/>
      <c r="D92" s="32">
        <v>10</v>
      </c>
      <c r="E92" s="32" t="s">
        <v>79</v>
      </c>
      <c r="F92" s="32">
        <v>336398433</v>
      </c>
      <c r="G92" s="32" t="s">
        <v>81</v>
      </c>
      <c r="H92" s="32" t="s">
        <v>84</v>
      </c>
      <c r="I92" s="32" t="s">
        <v>105</v>
      </c>
      <c r="J92" s="32"/>
      <c r="K92" s="24"/>
      <c r="L92" s="24"/>
      <c r="M92" s="32" t="s">
        <v>1319</v>
      </c>
      <c r="N92" s="32" t="s">
        <v>618</v>
      </c>
      <c r="O92" s="32"/>
      <c r="P92" s="32" t="s">
        <v>87</v>
      </c>
      <c r="Q92" s="32" t="s">
        <v>1320</v>
      </c>
      <c r="R92" s="24"/>
      <c r="S92" s="32" t="s">
        <v>84</v>
      </c>
      <c r="T92" s="32" t="s">
        <v>84</v>
      </c>
      <c r="U92" s="32" t="s">
        <v>82</v>
      </c>
      <c r="V92" s="32" t="s">
        <v>84</v>
      </c>
      <c r="W92" s="32" t="s">
        <v>82</v>
      </c>
      <c r="X92" s="32" t="s">
        <v>82</v>
      </c>
      <c r="Y92" s="32" t="s">
        <v>84</v>
      </c>
      <c r="Z92" s="32" t="s">
        <v>82</v>
      </c>
      <c r="AA92" s="32"/>
      <c r="AB92" s="32" t="s">
        <v>82</v>
      </c>
      <c r="AC92" s="32"/>
      <c r="AD92" s="32" t="s">
        <v>82</v>
      </c>
      <c r="AE92" s="32"/>
      <c r="AF92" s="32"/>
      <c r="AG92" s="32" t="s">
        <v>82</v>
      </c>
      <c r="AH92" s="32"/>
      <c r="AI92" s="32" t="s">
        <v>84</v>
      </c>
      <c r="AJ92" s="32"/>
      <c r="AK92" s="32"/>
      <c r="AL92" s="32" t="s">
        <v>126</v>
      </c>
      <c r="AM92" s="32" t="s">
        <v>91</v>
      </c>
      <c r="AN92" s="32"/>
      <c r="AO92" s="32" t="s">
        <v>80</v>
      </c>
      <c r="AP92" s="24"/>
      <c r="AQ92" s="32" t="s">
        <v>80</v>
      </c>
      <c r="AR92" s="32" t="s">
        <v>80</v>
      </c>
      <c r="AS92" s="32" t="s">
        <v>80</v>
      </c>
      <c r="AT92" s="32" t="s">
        <v>80</v>
      </c>
      <c r="AU92" s="32"/>
      <c r="AV92" s="24"/>
      <c r="AW92" s="32" t="s">
        <v>84</v>
      </c>
      <c r="AX92" s="32" t="s">
        <v>82</v>
      </c>
      <c r="AY92" s="32" t="s">
        <v>84</v>
      </c>
      <c r="AZ92" s="32" t="s">
        <v>84</v>
      </c>
      <c r="BA92" s="32"/>
      <c r="BB92" s="32" t="s">
        <v>84</v>
      </c>
      <c r="BC92" s="32" t="s">
        <v>80</v>
      </c>
      <c r="BD92" s="32" t="s">
        <v>113</v>
      </c>
      <c r="BE92" s="32" t="s">
        <v>113</v>
      </c>
      <c r="BF92" s="32" t="s">
        <v>340</v>
      </c>
      <c r="BG92" s="32" t="s">
        <v>84</v>
      </c>
      <c r="BH92" s="32" t="s">
        <v>82</v>
      </c>
      <c r="BI92" s="32"/>
      <c r="BJ92" s="32" t="s">
        <v>84</v>
      </c>
      <c r="BK92" s="32" t="s">
        <v>80</v>
      </c>
      <c r="BL92" s="32">
        <v>3</v>
      </c>
      <c r="BM92" s="32">
        <v>1</v>
      </c>
      <c r="BN92" s="32">
        <v>1</v>
      </c>
      <c r="BO92" s="32">
        <v>1</v>
      </c>
      <c r="BP92" s="32">
        <v>3</v>
      </c>
      <c r="BQ92" s="32">
        <v>1</v>
      </c>
      <c r="BR92" s="24"/>
      <c r="BS92" s="32" t="s">
        <v>118</v>
      </c>
      <c r="BT92" s="32"/>
      <c r="BU92" s="32"/>
      <c r="BV92" s="32"/>
      <c r="BW92" s="24"/>
      <c r="BX92" s="32" t="s">
        <v>84</v>
      </c>
      <c r="BY92" s="32"/>
      <c r="BZ92" s="32" t="s">
        <v>84</v>
      </c>
      <c r="CA92" s="32"/>
      <c r="CB92" s="32" t="s">
        <v>82</v>
      </c>
      <c r="CC92" s="32"/>
      <c r="CD92" s="32" t="s">
        <v>82</v>
      </c>
      <c r="CE92" s="32"/>
      <c r="CF92" s="32"/>
      <c r="CG92" s="32"/>
      <c r="CH92" s="24"/>
      <c r="CI92" s="32" t="s">
        <v>84</v>
      </c>
      <c r="CJ92" s="32"/>
      <c r="CK92" s="32" t="s">
        <v>82</v>
      </c>
      <c r="CL92" s="32"/>
      <c r="CM92" s="32" t="s">
        <v>82</v>
      </c>
      <c r="CN92" s="32"/>
      <c r="CO92" s="32"/>
      <c r="CP92" s="32"/>
      <c r="CQ92" s="32" t="s">
        <v>97</v>
      </c>
      <c r="CR92" s="32" t="s">
        <v>82</v>
      </c>
      <c r="CS92" s="32" t="s">
        <v>97</v>
      </c>
      <c r="CT92" s="32"/>
      <c r="CU92" s="32" t="s">
        <v>246</v>
      </c>
      <c r="CV92" s="32"/>
      <c r="CW92" s="32" t="s">
        <v>82</v>
      </c>
      <c r="CX92" s="32"/>
      <c r="CY92" s="32" t="s">
        <v>81</v>
      </c>
      <c r="CZ92" s="32"/>
      <c r="DA92" s="32" t="s">
        <v>82</v>
      </c>
      <c r="DB92" s="32"/>
      <c r="DC92" s="32" t="s">
        <v>84</v>
      </c>
      <c r="DD92" s="32" t="s">
        <v>84</v>
      </c>
      <c r="DE92" s="24"/>
      <c r="DF92" s="24"/>
      <c r="DG92" s="32">
        <v>2</v>
      </c>
      <c r="DH92" s="32">
        <v>1</v>
      </c>
      <c r="DI92" s="32">
        <v>2</v>
      </c>
      <c r="DJ92" s="32">
        <v>1</v>
      </c>
      <c r="DK92" s="32">
        <v>3</v>
      </c>
      <c r="DL92" s="32">
        <v>2</v>
      </c>
      <c r="DM92" s="32">
        <v>3</v>
      </c>
      <c r="DN92" s="32">
        <v>2</v>
      </c>
      <c r="DO92" s="32">
        <v>2</v>
      </c>
      <c r="DP92" s="32">
        <v>1</v>
      </c>
      <c r="DQ92" s="32">
        <v>3</v>
      </c>
      <c r="DR92" s="32">
        <v>1</v>
      </c>
      <c r="DS92" s="32" t="s">
        <v>97</v>
      </c>
      <c r="DT92" s="32" t="s">
        <v>106</v>
      </c>
      <c r="DU92" s="32"/>
      <c r="DV92" s="32" t="s">
        <v>82</v>
      </c>
      <c r="DW92" s="32" t="s">
        <v>112</v>
      </c>
      <c r="DX92" s="32" t="s">
        <v>81</v>
      </c>
      <c r="DY92" s="32"/>
      <c r="DZ92" s="32"/>
      <c r="EA92" s="32"/>
      <c r="EB92" s="32" t="s">
        <v>80</v>
      </c>
      <c r="EC92" s="32"/>
      <c r="ED92" s="32"/>
      <c r="EE92" s="32"/>
      <c r="EF92" s="32" t="s">
        <v>80</v>
      </c>
      <c r="EG92" s="32" t="s">
        <v>80</v>
      </c>
      <c r="EH92" s="32" t="s">
        <v>80</v>
      </c>
      <c r="EI92" s="32"/>
      <c r="EJ92" s="32"/>
      <c r="EK92" s="32"/>
      <c r="EL92" s="32"/>
      <c r="EM92" s="32">
        <v>435.31</v>
      </c>
      <c r="EN92" s="32">
        <v>50.24</v>
      </c>
      <c r="EO92" s="32"/>
      <c r="EP92" s="32"/>
      <c r="EQ92" s="32">
        <v>43.09</v>
      </c>
      <c r="ER92" s="32"/>
      <c r="ES92" s="32"/>
      <c r="ET92" s="32"/>
      <c r="EU92" s="32"/>
      <c r="EV92" s="32"/>
      <c r="EW92" s="32">
        <v>30.36</v>
      </c>
      <c r="EX92" s="32"/>
      <c r="EY92" s="32"/>
      <c r="EZ92" s="32"/>
      <c r="FA92" s="32"/>
      <c r="FB92" s="32"/>
      <c r="FC92" s="32"/>
      <c r="FD92" s="32"/>
      <c r="FE92" s="32"/>
      <c r="FF92" s="32">
        <v>18.670000000000002</v>
      </c>
      <c r="FG92" s="32"/>
      <c r="FH92" s="32"/>
      <c r="FI92" s="32"/>
      <c r="FJ92" s="32">
        <v>12.03</v>
      </c>
      <c r="FK92" s="32"/>
      <c r="FL92" s="32"/>
      <c r="FM92" s="32"/>
      <c r="FN92" s="32"/>
      <c r="FO92" s="32"/>
      <c r="FP92" s="32">
        <v>24.77</v>
      </c>
      <c r="FQ92" s="32"/>
      <c r="FR92" s="32"/>
      <c r="FS92" s="32"/>
      <c r="FT92" s="32"/>
      <c r="FU92" s="32"/>
      <c r="FV92" s="32">
        <v>57.94</v>
      </c>
      <c r="FW92" s="32"/>
      <c r="FX92" s="32"/>
      <c r="FY92" s="32"/>
      <c r="FZ92" s="32"/>
      <c r="GA92" s="32"/>
      <c r="GB92" s="32"/>
      <c r="GC92" s="32">
        <v>167.16</v>
      </c>
      <c r="GD92" s="32"/>
      <c r="GE92" s="32"/>
      <c r="GF92" s="32"/>
      <c r="GG92" s="32"/>
      <c r="GH92" s="32"/>
      <c r="GI92" s="32"/>
      <c r="GJ92" s="32"/>
      <c r="GK92" s="32"/>
      <c r="GL92" s="32"/>
      <c r="GM92" s="32"/>
      <c r="GN92" s="32"/>
      <c r="GO92" s="32"/>
      <c r="GP92" s="32"/>
      <c r="GQ92" s="32"/>
      <c r="GR92" s="32"/>
      <c r="GS92" s="32"/>
      <c r="GT92" s="32">
        <v>9.99</v>
      </c>
      <c r="GU92" s="32"/>
      <c r="GV92" s="32"/>
      <c r="GW92" s="32"/>
      <c r="GX92" s="32">
        <v>21.06</v>
      </c>
      <c r="GY92" s="32"/>
      <c r="GZ92" s="32"/>
      <c r="HA92" s="32"/>
      <c r="HB92" s="32"/>
      <c r="HC92" s="32"/>
      <c r="HD92" s="32"/>
      <c r="HE92" s="32"/>
      <c r="HF92" s="32"/>
      <c r="HG92" s="32"/>
      <c r="HH92" s="32"/>
      <c r="HI92" s="32"/>
      <c r="HJ92" s="32"/>
      <c r="HK92" s="32"/>
      <c r="HL92" s="32"/>
      <c r="HM92" s="32"/>
      <c r="HN92" s="32"/>
      <c r="HO92" s="32"/>
      <c r="HP92" s="32"/>
      <c r="HQ92" s="63">
        <f t="shared" si="6"/>
        <v>435.31</v>
      </c>
      <c r="HR92" s="63"/>
    </row>
    <row r="93" spans="1:226" ht="12.95" customHeight="1" x14ac:dyDescent="0.2">
      <c r="A93" s="11">
        <v>152</v>
      </c>
      <c r="B93" s="9">
        <v>137</v>
      </c>
      <c r="C93" s="9" t="s">
        <v>83</v>
      </c>
      <c r="D93" s="9">
        <v>11</v>
      </c>
      <c r="E93" s="9" t="s">
        <v>79</v>
      </c>
      <c r="F93" s="9">
        <v>1994844325</v>
      </c>
      <c r="G93" s="9" t="s">
        <v>81</v>
      </c>
      <c r="H93" s="9" t="s">
        <v>84</v>
      </c>
      <c r="I93" s="13" t="s">
        <v>105</v>
      </c>
      <c r="J93" s="13"/>
      <c r="M93" s="13" t="s">
        <v>1319</v>
      </c>
      <c r="N93" s="13" t="s">
        <v>618</v>
      </c>
      <c r="O93" s="13"/>
      <c r="P93" s="13" t="s">
        <v>87</v>
      </c>
      <c r="Q93" s="13" t="s">
        <v>1296</v>
      </c>
      <c r="S93" s="13" t="s">
        <v>84</v>
      </c>
      <c r="T93" s="13" t="s">
        <v>84</v>
      </c>
      <c r="U93" s="13" t="s">
        <v>82</v>
      </c>
      <c r="V93" s="13" t="s">
        <v>82</v>
      </c>
      <c r="W93" s="13" t="s">
        <v>82</v>
      </c>
      <c r="X93" s="13" t="s">
        <v>82</v>
      </c>
      <c r="Y93" s="13" t="s">
        <v>84</v>
      </c>
      <c r="Z93" s="13" t="s">
        <v>82</v>
      </c>
      <c r="AA93" s="13" t="s">
        <v>2037</v>
      </c>
      <c r="AB93" s="13" t="s">
        <v>84</v>
      </c>
      <c r="AC93" s="13" t="s">
        <v>2038</v>
      </c>
      <c r="AD93" s="13" t="s">
        <v>82</v>
      </c>
      <c r="AE93" s="13"/>
      <c r="AF93" s="13"/>
      <c r="AG93" s="13" t="s">
        <v>82</v>
      </c>
      <c r="AH93" s="13" t="s">
        <v>2039</v>
      </c>
      <c r="AI93" s="13" t="s">
        <v>84</v>
      </c>
      <c r="AJ93" s="13"/>
      <c r="AK93" s="13" t="s">
        <v>2040</v>
      </c>
      <c r="AL93" s="13" t="s">
        <v>126</v>
      </c>
      <c r="AM93" s="13" t="s">
        <v>111</v>
      </c>
      <c r="AN93" s="13"/>
      <c r="AO93" s="13" t="s">
        <v>80</v>
      </c>
      <c r="AQ93" s="13" t="s">
        <v>84</v>
      </c>
      <c r="AR93" s="13" t="s">
        <v>82</v>
      </c>
      <c r="AS93" s="13" t="s">
        <v>82</v>
      </c>
      <c r="AT93" s="13" t="s">
        <v>84</v>
      </c>
      <c r="AU93" s="13"/>
      <c r="AW93" s="13" t="s">
        <v>80</v>
      </c>
      <c r="AX93" s="13" t="s">
        <v>80</v>
      </c>
      <c r="AY93" s="13" t="s">
        <v>80</v>
      </c>
      <c r="AZ93" s="13" t="s">
        <v>80</v>
      </c>
      <c r="BA93" s="13"/>
      <c r="BB93" s="13" t="s">
        <v>84</v>
      </c>
      <c r="BC93" s="13" t="s">
        <v>80</v>
      </c>
      <c r="BD93" s="13" t="s">
        <v>100</v>
      </c>
      <c r="BE93" s="13" t="s">
        <v>100</v>
      </c>
      <c r="BF93" s="13" t="s">
        <v>100</v>
      </c>
      <c r="BG93" s="13" t="s">
        <v>82</v>
      </c>
      <c r="BH93" s="13" t="s">
        <v>84</v>
      </c>
      <c r="BI93" s="13" t="s">
        <v>2135</v>
      </c>
      <c r="BJ93" s="13" t="s">
        <v>84</v>
      </c>
      <c r="BK93" s="13" t="s">
        <v>80</v>
      </c>
      <c r="BL93" s="13">
        <v>2</v>
      </c>
      <c r="BM93" s="13">
        <v>3</v>
      </c>
      <c r="BN93" s="13">
        <v>4</v>
      </c>
      <c r="BO93" s="13">
        <v>5</v>
      </c>
      <c r="BP93" s="13">
        <v>2</v>
      </c>
      <c r="BQ93" s="13">
        <v>3</v>
      </c>
      <c r="BS93" s="13" t="s">
        <v>97</v>
      </c>
      <c r="BT93" s="13"/>
      <c r="BU93" s="13" t="s">
        <v>81</v>
      </c>
      <c r="BV93" s="13"/>
      <c r="BX93" s="13" t="s">
        <v>80</v>
      </c>
      <c r="BY93" s="13"/>
      <c r="BZ93" s="13" t="s">
        <v>80</v>
      </c>
      <c r="CA93" s="13"/>
      <c r="CB93" s="13" t="s">
        <v>80</v>
      </c>
      <c r="CC93" s="13"/>
      <c r="CD93" s="13" t="s">
        <v>80</v>
      </c>
      <c r="CE93" s="13"/>
      <c r="CF93" s="13"/>
      <c r="CG93" s="13"/>
      <c r="CI93" s="13" t="s">
        <v>84</v>
      </c>
      <c r="CJ93" s="13"/>
      <c r="CK93" s="13" t="s">
        <v>82</v>
      </c>
      <c r="CL93" s="13"/>
      <c r="CM93" s="13" t="s">
        <v>82</v>
      </c>
      <c r="CN93" s="13"/>
      <c r="CO93" s="13"/>
      <c r="CP93" s="13"/>
      <c r="CQ93" s="13" t="s">
        <v>97</v>
      </c>
      <c r="CR93" s="13" t="s">
        <v>84</v>
      </c>
      <c r="CS93" s="13" t="s">
        <v>97</v>
      </c>
      <c r="CT93" s="13" t="s">
        <v>2212</v>
      </c>
      <c r="CU93" s="13" t="s">
        <v>81</v>
      </c>
      <c r="CV93" s="13" t="s">
        <v>2213</v>
      </c>
      <c r="CW93" s="13" t="s">
        <v>82</v>
      </c>
      <c r="CX93" s="13"/>
      <c r="CY93" s="13" t="s">
        <v>81</v>
      </c>
      <c r="CZ93" s="13"/>
      <c r="DA93" s="13" t="s">
        <v>82</v>
      </c>
      <c r="DB93" s="13"/>
      <c r="DC93" s="13" t="s">
        <v>84</v>
      </c>
      <c r="DD93" s="13" t="s">
        <v>84</v>
      </c>
      <c r="DG93" s="13">
        <v>3</v>
      </c>
      <c r="DH93" s="13">
        <v>2</v>
      </c>
      <c r="DI93" s="13">
        <v>2</v>
      </c>
      <c r="DJ93" s="13">
        <v>2</v>
      </c>
      <c r="DK93" s="13">
        <v>2</v>
      </c>
      <c r="DL93" s="13">
        <v>2</v>
      </c>
      <c r="DM93" s="13">
        <v>2</v>
      </c>
      <c r="DN93" s="13">
        <v>2</v>
      </c>
      <c r="DO93" s="13">
        <v>3</v>
      </c>
      <c r="DP93" s="13">
        <v>1</v>
      </c>
      <c r="DQ93" s="13">
        <v>4</v>
      </c>
      <c r="DR93" s="13">
        <v>1</v>
      </c>
      <c r="DS93" s="13" t="s">
        <v>97</v>
      </c>
      <c r="DT93" s="13" t="s">
        <v>106</v>
      </c>
      <c r="DU93" s="13"/>
      <c r="DV93" s="13" t="s">
        <v>84</v>
      </c>
      <c r="DW93" s="13" t="s">
        <v>112</v>
      </c>
      <c r="DX93" s="13" t="s">
        <v>81</v>
      </c>
      <c r="DY93" s="13" t="s">
        <v>2325</v>
      </c>
      <c r="DZ93" s="13" t="s">
        <v>113</v>
      </c>
      <c r="EA93" s="13" t="s">
        <v>2326</v>
      </c>
      <c r="EB93" s="13" t="s">
        <v>82</v>
      </c>
      <c r="EC93" s="13"/>
      <c r="ED93" s="13" t="s">
        <v>246</v>
      </c>
      <c r="EE93" s="13" t="s">
        <v>2327</v>
      </c>
      <c r="EF93" s="13" t="s">
        <v>84</v>
      </c>
      <c r="EG93" s="13" t="s">
        <v>84</v>
      </c>
      <c r="EH93" s="13" t="s">
        <v>82</v>
      </c>
      <c r="EI93" s="13"/>
      <c r="EJ93" s="13" t="s">
        <v>2328</v>
      </c>
      <c r="EK93" s="13" t="s">
        <v>2329</v>
      </c>
      <c r="EL93" s="13" t="s">
        <v>2330</v>
      </c>
      <c r="EM93" s="9">
        <v>1272.21</v>
      </c>
      <c r="EN93" s="9">
        <v>30.14</v>
      </c>
      <c r="EO93" s="9"/>
      <c r="EP93" s="9"/>
      <c r="EQ93" s="9">
        <v>30.46</v>
      </c>
      <c r="ER93" s="9"/>
      <c r="ES93" s="9"/>
      <c r="ET93" s="9"/>
      <c r="EU93" s="9"/>
      <c r="EV93" s="9"/>
      <c r="EW93" s="9">
        <v>231.88</v>
      </c>
      <c r="EX93" s="9"/>
      <c r="EY93" s="9"/>
      <c r="EZ93" s="9"/>
      <c r="FA93" s="9"/>
      <c r="FB93" s="9"/>
      <c r="FC93" s="9"/>
      <c r="FD93" s="9"/>
      <c r="FE93" s="9"/>
      <c r="FF93" s="9">
        <v>41.47</v>
      </c>
      <c r="FG93" s="9"/>
      <c r="FH93" s="9"/>
      <c r="FI93" s="9"/>
      <c r="FJ93" s="9">
        <v>271.98</v>
      </c>
      <c r="FK93" s="9"/>
      <c r="FL93" s="9"/>
      <c r="FM93" s="9"/>
      <c r="FN93" s="9"/>
      <c r="FO93" s="9"/>
      <c r="FP93" s="9">
        <v>36.76</v>
      </c>
      <c r="FQ93" s="9"/>
      <c r="FR93" s="9"/>
      <c r="FS93" s="9"/>
      <c r="FT93" s="9"/>
      <c r="FU93" s="9"/>
      <c r="FV93" s="9">
        <v>164.24</v>
      </c>
      <c r="FW93" s="9"/>
      <c r="FX93" s="9"/>
      <c r="FY93" s="9"/>
      <c r="FZ93" s="9"/>
      <c r="GA93" s="9"/>
      <c r="GB93" s="9"/>
      <c r="GC93" s="9">
        <v>158.79</v>
      </c>
      <c r="GD93" s="9"/>
      <c r="GE93" s="9"/>
      <c r="GF93" s="9"/>
      <c r="GG93" s="9"/>
      <c r="GH93" s="9"/>
      <c r="GI93" s="9"/>
      <c r="GJ93" s="9"/>
      <c r="GK93" s="9"/>
      <c r="GL93" s="9"/>
      <c r="GM93" s="9"/>
      <c r="GN93" s="9"/>
      <c r="GO93" s="9"/>
      <c r="GP93" s="9"/>
      <c r="GQ93" s="9"/>
      <c r="GR93" s="9"/>
      <c r="GS93" s="9"/>
      <c r="GT93" s="9">
        <v>18.71</v>
      </c>
      <c r="GU93" s="9"/>
      <c r="GV93" s="9"/>
      <c r="GW93" s="9"/>
      <c r="GX93" s="9">
        <v>85.69</v>
      </c>
      <c r="GY93" s="9"/>
      <c r="GZ93" s="9"/>
      <c r="HA93" s="9"/>
      <c r="HB93" s="9">
        <v>202.09</v>
      </c>
      <c r="HC93" s="9"/>
      <c r="HD93" s="9"/>
      <c r="HE93" s="9"/>
      <c r="HF93" s="9"/>
      <c r="HG93" s="9"/>
      <c r="HH93" s="9"/>
      <c r="HI93" s="9"/>
      <c r="HJ93" s="9"/>
      <c r="HK93" s="9"/>
      <c r="HL93" s="9"/>
      <c r="HM93" s="9"/>
      <c r="HN93" s="9"/>
      <c r="HO93" s="9"/>
      <c r="HP93" s="9"/>
      <c r="HQ93" s="62">
        <f t="shared" si="6"/>
        <v>1272.21</v>
      </c>
      <c r="HR93" s="62">
        <f t="shared" ref="HR93:HR137" si="8">HQ93/60</f>
        <v>21.203500000000002</v>
      </c>
    </row>
    <row r="94" spans="1:226" ht="12.95" customHeight="1" x14ac:dyDescent="0.2">
      <c r="A94" s="11">
        <v>153</v>
      </c>
      <c r="B94" s="9">
        <v>138</v>
      </c>
      <c r="C94" s="9" t="s">
        <v>83</v>
      </c>
      <c r="D94" s="9">
        <v>11</v>
      </c>
      <c r="E94" s="9" t="s">
        <v>79</v>
      </c>
      <c r="F94" s="9">
        <v>2034292187</v>
      </c>
      <c r="G94" s="9" t="s">
        <v>81</v>
      </c>
      <c r="H94" s="9" t="s">
        <v>84</v>
      </c>
      <c r="I94" s="13" t="s">
        <v>161</v>
      </c>
      <c r="J94" s="13"/>
      <c r="M94" s="13" t="s">
        <v>1294</v>
      </c>
      <c r="N94" s="13" t="s">
        <v>618</v>
      </c>
      <c r="O94" s="13"/>
      <c r="P94" s="13" t="s">
        <v>87</v>
      </c>
      <c r="Q94" s="13" t="s">
        <v>1358</v>
      </c>
      <c r="S94" s="13" t="s">
        <v>84</v>
      </c>
      <c r="T94" s="13" t="s">
        <v>84</v>
      </c>
      <c r="U94" s="13" t="s">
        <v>84</v>
      </c>
      <c r="V94" s="13" t="s">
        <v>84</v>
      </c>
      <c r="W94" s="13" t="s">
        <v>82</v>
      </c>
      <c r="X94" s="13" t="s">
        <v>82</v>
      </c>
      <c r="Y94" s="13" t="s">
        <v>84</v>
      </c>
      <c r="Z94" s="13" t="s">
        <v>82</v>
      </c>
      <c r="AA94" s="13"/>
      <c r="AB94" s="13" t="s">
        <v>84</v>
      </c>
      <c r="AC94" s="13"/>
      <c r="AD94" s="13" t="s">
        <v>82</v>
      </c>
      <c r="AE94" s="13"/>
      <c r="AF94" s="13"/>
      <c r="AG94" s="13" t="s">
        <v>84</v>
      </c>
      <c r="AH94" s="13"/>
      <c r="AI94" s="13" t="s">
        <v>84</v>
      </c>
      <c r="AJ94" s="13"/>
      <c r="AK94" s="13"/>
      <c r="AL94" s="13" t="s">
        <v>140</v>
      </c>
      <c r="AM94" s="13" t="s">
        <v>91</v>
      </c>
      <c r="AN94" s="13"/>
      <c r="AO94" s="13" t="s">
        <v>80</v>
      </c>
      <c r="AQ94" s="13" t="s">
        <v>80</v>
      </c>
      <c r="AR94" s="13" t="s">
        <v>80</v>
      </c>
      <c r="AS94" s="13" t="s">
        <v>80</v>
      </c>
      <c r="AT94" s="13" t="s">
        <v>80</v>
      </c>
      <c r="AU94" s="13"/>
      <c r="AW94" s="13" t="s">
        <v>84</v>
      </c>
      <c r="AX94" s="13" t="s">
        <v>84</v>
      </c>
      <c r="AY94" s="13" t="s">
        <v>84</v>
      </c>
      <c r="AZ94" s="13" t="s">
        <v>84</v>
      </c>
      <c r="BA94" s="13"/>
      <c r="BB94" s="13" t="s">
        <v>84</v>
      </c>
      <c r="BC94" s="13" t="s">
        <v>80</v>
      </c>
      <c r="BD94" s="13" t="s">
        <v>93</v>
      </c>
      <c r="BE94" s="13" t="s">
        <v>113</v>
      </c>
      <c r="BF94" s="13" t="s">
        <v>112</v>
      </c>
      <c r="BG94" s="13" t="s">
        <v>84</v>
      </c>
      <c r="BH94" s="13" t="s">
        <v>84</v>
      </c>
      <c r="BI94" s="13"/>
      <c r="BJ94" s="13" t="s">
        <v>84</v>
      </c>
      <c r="BK94" s="13" t="s">
        <v>80</v>
      </c>
      <c r="BL94" s="13">
        <v>4</v>
      </c>
      <c r="BM94" s="13">
        <v>4</v>
      </c>
      <c r="BN94" s="13">
        <v>4</v>
      </c>
      <c r="BO94" s="13">
        <v>5</v>
      </c>
      <c r="BP94" s="13">
        <v>1</v>
      </c>
      <c r="BQ94" s="13">
        <v>2</v>
      </c>
      <c r="BS94" s="13" t="s">
        <v>99</v>
      </c>
      <c r="BT94" s="13"/>
      <c r="BU94" s="13"/>
      <c r="BV94" s="13"/>
      <c r="BX94" s="13" t="s">
        <v>84</v>
      </c>
      <c r="BY94" s="13" t="s">
        <v>2177</v>
      </c>
      <c r="BZ94" s="13" t="s">
        <v>82</v>
      </c>
      <c r="CA94" s="13"/>
      <c r="CB94" s="13" t="s">
        <v>82</v>
      </c>
      <c r="CC94" s="13"/>
      <c r="CD94" s="13" t="s">
        <v>82</v>
      </c>
      <c r="CE94" s="13"/>
      <c r="CF94" s="13"/>
      <c r="CG94" s="13"/>
      <c r="CI94" s="13" t="s">
        <v>82</v>
      </c>
      <c r="CJ94" s="13"/>
      <c r="CK94" s="13" t="s">
        <v>84</v>
      </c>
      <c r="CL94" s="13" t="s">
        <v>2214</v>
      </c>
      <c r="CM94" s="13" t="s">
        <v>82</v>
      </c>
      <c r="CN94" s="13"/>
      <c r="CO94" s="13"/>
      <c r="CP94" s="13"/>
      <c r="CQ94" s="13" t="s">
        <v>118</v>
      </c>
      <c r="CR94" s="13" t="s">
        <v>84</v>
      </c>
      <c r="CS94" s="13" t="s">
        <v>1312</v>
      </c>
      <c r="CT94" s="13"/>
      <c r="CU94" s="13" t="s">
        <v>81</v>
      </c>
      <c r="CV94" s="13"/>
      <c r="CW94" s="13" t="s">
        <v>84</v>
      </c>
      <c r="CX94" s="13"/>
      <c r="CY94" s="13"/>
      <c r="CZ94" s="13"/>
      <c r="DA94" s="13" t="s">
        <v>84</v>
      </c>
      <c r="DB94" s="13"/>
      <c r="DC94" s="13" t="s">
        <v>84</v>
      </c>
      <c r="DD94" s="13" t="s">
        <v>84</v>
      </c>
      <c r="DG94" s="13">
        <v>3</v>
      </c>
      <c r="DH94" s="13">
        <v>4</v>
      </c>
      <c r="DI94" s="13">
        <v>4</v>
      </c>
      <c r="DJ94" s="13">
        <v>4</v>
      </c>
      <c r="DK94" s="13">
        <v>2</v>
      </c>
      <c r="DL94" s="13">
        <v>4</v>
      </c>
      <c r="DM94" s="13">
        <v>5</v>
      </c>
      <c r="DN94" s="13">
        <v>2</v>
      </c>
      <c r="DO94" s="13">
        <v>4</v>
      </c>
      <c r="DP94" s="13">
        <v>3</v>
      </c>
      <c r="DQ94" s="13">
        <v>4</v>
      </c>
      <c r="DR94" s="13">
        <v>3</v>
      </c>
      <c r="DS94" s="13" t="s">
        <v>99</v>
      </c>
      <c r="DT94" s="13" t="s">
        <v>84</v>
      </c>
      <c r="DU94" s="13"/>
      <c r="DV94" s="13" t="s">
        <v>84</v>
      </c>
      <c r="DW94" s="13" t="s">
        <v>113</v>
      </c>
      <c r="DX94" s="13" t="s">
        <v>81</v>
      </c>
      <c r="DY94" s="13"/>
      <c r="DZ94" s="13" t="s">
        <v>113</v>
      </c>
      <c r="EA94" s="13"/>
      <c r="EB94" s="13" t="s">
        <v>84</v>
      </c>
      <c r="EC94" s="13"/>
      <c r="ED94" s="13"/>
      <c r="EE94" s="13"/>
      <c r="EF94" s="13" t="s">
        <v>84</v>
      </c>
      <c r="EG94" s="13" t="s">
        <v>84</v>
      </c>
      <c r="EH94" s="13" t="s">
        <v>82</v>
      </c>
      <c r="EI94" s="13"/>
      <c r="EJ94" s="13"/>
      <c r="EK94" s="13"/>
      <c r="EL94" s="13" t="s">
        <v>2331</v>
      </c>
      <c r="EM94" s="9">
        <v>1016.96</v>
      </c>
      <c r="EN94" s="9">
        <v>65.400000000000006</v>
      </c>
      <c r="EO94" s="9"/>
      <c r="EP94" s="9"/>
      <c r="EQ94" s="9">
        <v>155.1</v>
      </c>
      <c r="ER94" s="9"/>
      <c r="ES94" s="9"/>
      <c r="ET94" s="9"/>
      <c r="EU94" s="9"/>
      <c r="EV94" s="9"/>
      <c r="EW94" s="9">
        <v>61.67</v>
      </c>
      <c r="EX94" s="9"/>
      <c r="EY94" s="9"/>
      <c r="EZ94" s="9"/>
      <c r="FA94" s="9"/>
      <c r="FB94" s="9"/>
      <c r="FC94" s="9"/>
      <c r="FD94" s="9"/>
      <c r="FE94" s="9"/>
      <c r="FF94" s="9">
        <v>47.25</v>
      </c>
      <c r="FG94" s="9"/>
      <c r="FH94" s="9"/>
      <c r="FI94" s="9"/>
      <c r="FJ94" s="9">
        <v>73.930000000000007</v>
      </c>
      <c r="FK94" s="9"/>
      <c r="FL94" s="9"/>
      <c r="FM94" s="9"/>
      <c r="FN94" s="9"/>
      <c r="FO94" s="9"/>
      <c r="FP94" s="9">
        <v>62.15</v>
      </c>
      <c r="FQ94" s="9"/>
      <c r="FR94" s="9"/>
      <c r="FS94" s="9"/>
      <c r="FT94" s="9"/>
      <c r="FU94" s="9"/>
      <c r="FV94" s="9">
        <v>127.61</v>
      </c>
      <c r="FW94" s="9"/>
      <c r="FX94" s="9"/>
      <c r="FY94" s="9"/>
      <c r="FZ94" s="9"/>
      <c r="GA94" s="9"/>
      <c r="GB94" s="9"/>
      <c r="GC94" s="9">
        <v>217.1</v>
      </c>
      <c r="GD94" s="9"/>
      <c r="GE94" s="9"/>
      <c r="GF94" s="9"/>
      <c r="GG94" s="9"/>
      <c r="GH94" s="9"/>
      <c r="GI94" s="9"/>
      <c r="GJ94" s="9"/>
      <c r="GK94" s="9"/>
      <c r="GL94" s="9"/>
      <c r="GM94" s="9"/>
      <c r="GN94" s="9"/>
      <c r="GO94" s="9"/>
      <c r="GP94" s="9"/>
      <c r="GQ94" s="9"/>
      <c r="GR94" s="9"/>
      <c r="GS94" s="9"/>
      <c r="GT94" s="9">
        <v>35.11</v>
      </c>
      <c r="GU94" s="9"/>
      <c r="GV94" s="9"/>
      <c r="GW94" s="9"/>
      <c r="GX94" s="9">
        <v>47.88</v>
      </c>
      <c r="GY94" s="9"/>
      <c r="GZ94" s="9"/>
      <c r="HA94" s="9"/>
      <c r="HB94" s="9">
        <v>123.76</v>
      </c>
      <c r="HC94" s="9"/>
      <c r="HD94" s="9"/>
      <c r="HE94" s="9"/>
      <c r="HF94" s="9"/>
      <c r="HG94" s="9"/>
      <c r="HH94" s="9"/>
      <c r="HI94" s="9"/>
      <c r="HJ94" s="9"/>
      <c r="HK94" s="9"/>
      <c r="HL94" s="9"/>
      <c r="HM94" s="9"/>
      <c r="HN94" s="9"/>
      <c r="HO94" s="9"/>
      <c r="HP94" s="9"/>
      <c r="HQ94" s="62">
        <f t="shared" si="6"/>
        <v>1016.96</v>
      </c>
      <c r="HR94" s="62">
        <f t="shared" si="8"/>
        <v>16.949333333333335</v>
      </c>
    </row>
    <row r="95" spans="1:226" ht="12.95" customHeight="1" x14ac:dyDescent="0.2">
      <c r="A95" s="11">
        <v>154</v>
      </c>
      <c r="B95" s="9">
        <v>139</v>
      </c>
      <c r="C95" s="9" t="s">
        <v>83</v>
      </c>
      <c r="D95" s="9">
        <v>11</v>
      </c>
      <c r="E95" s="9" t="s">
        <v>79</v>
      </c>
      <c r="F95" s="9">
        <v>469107680</v>
      </c>
      <c r="G95" s="9" t="s">
        <v>81</v>
      </c>
      <c r="H95" s="9" t="s">
        <v>84</v>
      </c>
      <c r="I95" s="13" t="s">
        <v>105</v>
      </c>
      <c r="J95" s="13"/>
      <c r="M95" s="13" t="s">
        <v>1319</v>
      </c>
      <c r="N95" s="13" t="s">
        <v>106</v>
      </c>
      <c r="O95" s="13"/>
      <c r="P95" s="13" t="s">
        <v>253</v>
      </c>
      <c r="Q95" s="13" t="s">
        <v>1296</v>
      </c>
      <c r="S95" s="13" t="s">
        <v>84</v>
      </c>
      <c r="T95" s="13" t="s">
        <v>84</v>
      </c>
      <c r="U95" s="13" t="s">
        <v>82</v>
      </c>
      <c r="V95" s="13" t="s">
        <v>82</v>
      </c>
      <c r="W95" s="13" t="s">
        <v>82</v>
      </c>
      <c r="X95" s="13" t="s">
        <v>82</v>
      </c>
      <c r="Y95" s="13" t="s">
        <v>82</v>
      </c>
      <c r="Z95" s="13" t="s">
        <v>82</v>
      </c>
      <c r="AA95" s="13"/>
      <c r="AB95" s="13" t="s">
        <v>84</v>
      </c>
      <c r="AC95" s="13"/>
      <c r="AD95" s="13" t="s">
        <v>82</v>
      </c>
      <c r="AE95" s="13"/>
      <c r="AF95" s="13"/>
      <c r="AG95" s="13" t="s">
        <v>84</v>
      </c>
      <c r="AH95" s="13" t="s">
        <v>1903</v>
      </c>
      <c r="AI95" s="13" t="s">
        <v>84</v>
      </c>
      <c r="AJ95" s="13"/>
      <c r="AK95" s="13"/>
      <c r="AL95" s="13" t="s">
        <v>140</v>
      </c>
      <c r="AM95" s="13" t="s">
        <v>111</v>
      </c>
      <c r="AN95" s="13"/>
      <c r="AO95" s="13" t="s">
        <v>80</v>
      </c>
      <c r="AQ95" s="13" t="s">
        <v>84</v>
      </c>
      <c r="AR95" s="13" t="s">
        <v>84</v>
      </c>
      <c r="AS95" s="13" t="s">
        <v>82</v>
      </c>
      <c r="AT95" s="13" t="s">
        <v>82</v>
      </c>
      <c r="AU95" s="13"/>
      <c r="AW95" s="13" t="s">
        <v>80</v>
      </c>
      <c r="AX95" s="13" t="s">
        <v>80</v>
      </c>
      <c r="AY95" s="13" t="s">
        <v>80</v>
      </c>
      <c r="AZ95" s="13" t="s">
        <v>80</v>
      </c>
      <c r="BA95" s="13"/>
      <c r="BB95" s="13" t="s">
        <v>84</v>
      </c>
      <c r="BC95" s="13" t="s">
        <v>80</v>
      </c>
      <c r="BD95" s="13" t="s">
        <v>100</v>
      </c>
      <c r="BE95" s="13" t="s">
        <v>113</v>
      </c>
      <c r="BF95" s="13" t="s">
        <v>112</v>
      </c>
      <c r="BG95" s="13" t="s">
        <v>82</v>
      </c>
      <c r="BH95" s="13" t="s">
        <v>84</v>
      </c>
      <c r="BI95" s="13"/>
      <c r="BJ95" s="13" t="s">
        <v>84</v>
      </c>
      <c r="BK95" s="13" t="s">
        <v>80</v>
      </c>
      <c r="BL95" s="13">
        <v>2</v>
      </c>
      <c r="BM95" s="13">
        <v>4</v>
      </c>
      <c r="BN95" s="13">
        <v>4</v>
      </c>
      <c r="BO95" s="13">
        <v>4</v>
      </c>
      <c r="BP95" s="13">
        <v>4</v>
      </c>
      <c r="BQ95" s="13">
        <v>4</v>
      </c>
      <c r="BS95" s="13" t="s">
        <v>118</v>
      </c>
      <c r="BT95" s="13"/>
      <c r="BU95" s="13"/>
      <c r="BV95" s="13"/>
      <c r="BX95" s="13" t="s">
        <v>84</v>
      </c>
      <c r="BY95" s="13"/>
      <c r="BZ95" s="13" t="s">
        <v>82</v>
      </c>
      <c r="CA95" s="13"/>
      <c r="CB95" s="13" t="s">
        <v>84</v>
      </c>
      <c r="CC95" s="13"/>
      <c r="CD95" s="13" t="s">
        <v>82</v>
      </c>
      <c r="CE95" s="13"/>
      <c r="CF95" s="13"/>
      <c r="CG95" s="13"/>
      <c r="CI95" s="13" t="s">
        <v>82</v>
      </c>
      <c r="CJ95" s="13"/>
      <c r="CK95" s="13" t="s">
        <v>84</v>
      </c>
      <c r="CL95" s="13"/>
      <c r="CM95" s="13" t="s">
        <v>84</v>
      </c>
      <c r="CN95" s="13"/>
      <c r="CO95" s="13"/>
      <c r="CP95" s="13"/>
      <c r="CQ95" s="13" t="s">
        <v>118</v>
      </c>
      <c r="CR95" s="13" t="s">
        <v>84</v>
      </c>
      <c r="CS95" s="13" t="s">
        <v>97</v>
      </c>
      <c r="CT95" s="13"/>
      <c r="CU95" s="13" t="s">
        <v>246</v>
      </c>
      <c r="CV95" s="13"/>
      <c r="CW95" s="13" t="s">
        <v>84</v>
      </c>
      <c r="CX95" s="13"/>
      <c r="CY95" s="13"/>
      <c r="CZ95" s="13"/>
      <c r="DA95" s="13" t="s">
        <v>82</v>
      </c>
      <c r="DB95" s="13"/>
      <c r="DC95" s="13" t="s">
        <v>84</v>
      </c>
      <c r="DD95" s="13" t="s">
        <v>84</v>
      </c>
      <c r="DG95" s="13">
        <v>5</v>
      </c>
      <c r="DH95" s="13">
        <v>4</v>
      </c>
      <c r="DI95" s="13">
        <v>4</v>
      </c>
      <c r="DJ95" s="13">
        <v>5</v>
      </c>
      <c r="DK95" s="13">
        <v>5</v>
      </c>
      <c r="DL95" s="13">
        <v>5</v>
      </c>
      <c r="DM95" s="13">
        <v>5</v>
      </c>
      <c r="DN95" s="13">
        <v>5</v>
      </c>
      <c r="DO95" s="13">
        <v>4</v>
      </c>
      <c r="DP95" s="13">
        <v>5</v>
      </c>
      <c r="DQ95" s="13">
        <v>4</v>
      </c>
      <c r="DR95" s="13">
        <v>5</v>
      </c>
      <c r="DS95" s="13" t="s">
        <v>99</v>
      </c>
      <c r="DT95" s="13" t="s">
        <v>82</v>
      </c>
      <c r="DU95" s="13"/>
      <c r="DV95" s="13" t="s">
        <v>82</v>
      </c>
      <c r="DW95" s="13" t="s">
        <v>340</v>
      </c>
      <c r="DX95" s="13" t="s">
        <v>81</v>
      </c>
      <c r="DY95" s="13"/>
      <c r="DZ95" s="13" t="s">
        <v>113</v>
      </c>
      <c r="EA95" s="13"/>
      <c r="EB95" s="13" t="s">
        <v>82</v>
      </c>
      <c r="EC95" s="13"/>
      <c r="ED95" s="13" t="s">
        <v>81</v>
      </c>
      <c r="EE95" s="13"/>
      <c r="EF95" s="13" t="s">
        <v>82</v>
      </c>
      <c r="EG95" s="13" t="s">
        <v>84</v>
      </c>
      <c r="EH95" s="13" t="s">
        <v>84</v>
      </c>
      <c r="EI95" s="13" t="s">
        <v>2332</v>
      </c>
      <c r="EJ95" s="13"/>
      <c r="EK95" s="13"/>
      <c r="EL95" s="13"/>
      <c r="EM95" s="9">
        <v>676.64</v>
      </c>
      <c r="EN95" s="9">
        <v>18.43</v>
      </c>
      <c r="EO95" s="9"/>
      <c r="EP95" s="9"/>
      <c r="EQ95" s="9">
        <v>142.06</v>
      </c>
      <c r="ER95" s="9"/>
      <c r="ES95" s="9"/>
      <c r="ET95" s="9"/>
      <c r="EU95" s="9"/>
      <c r="EV95" s="9"/>
      <c r="EW95" s="9">
        <v>41.97</v>
      </c>
      <c r="EX95" s="9"/>
      <c r="EY95" s="9"/>
      <c r="EZ95" s="9"/>
      <c r="FA95" s="9"/>
      <c r="FB95" s="9"/>
      <c r="FC95" s="9"/>
      <c r="FD95" s="9"/>
      <c r="FE95" s="9"/>
      <c r="FF95" s="9">
        <v>24.43</v>
      </c>
      <c r="FG95" s="9"/>
      <c r="FH95" s="9"/>
      <c r="FI95" s="9"/>
      <c r="FJ95" s="9">
        <v>15.81</v>
      </c>
      <c r="FK95" s="9"/>
      <c r="FL95" s="9"/>
      <c r="FM95" s="9"/>
      <c r="FN95" s="9"/>
      <c r="FO95" s="9"/>
      <c r="FP95" s="9">
        <v>30.5</v>
      </c>
      <c r="FQ95" s="9"/>
      <c r="FR95" s="9"/>
      <c r="FS95" s="9"/>
      <c r="FT95" s="9"/>
      <c r="FU95" s="9"/>
      <c r="FV95" s="9">
        <v>73.12</v>
      </c>
      <c r="FW95" s="9"/>
      <c r="FX95" s="9"/>
      <c r="FY95" s="9"/>
      <c r="FZ95" s="9"/>
      <c r="GA95" s="9"/>
      <c r="GB95" s="9"/>
      <c r="GC95" s="9">
        <v>189.34</v>
      </c>
      <c r="GD95" s="9"/>
      <c r="GE95" s="9"/>
      <c r="GF95" s="9"/>
      <c r="GG95" s="9"/>
      <c r="GH95" s="9"/>
      <c r="GI95" s="9"/>
      <c r="GJ95" s="9"/>
      <c r="GK95" s="9"/>
      <c r="GL95" s="9"/>
      <c r="GM95" s="9"/>
      <c r="GN95" s="9"/>
      <c r="GO95" s="9"/>
      <c r="GP95" s="9"/>
      <c r="GQ95" s="9"/>
      <c r="GR95" s="9"/>
      <c r="GS95" s="9"/>
      <c r="GT95" s="9">
        <v>15.21</v>
      </c>
      <c r="GU95" s="9"/>
      <c r="GV95" s="9"/>
      <c r="GW95" s="9"/>
      <c r="GX95" s="9">
        <v>27.72</v>
      </c>
      <c r="GY95" s="9"/>
      <c r="GZ95" s="9"/>
      <c r="HA95" s="9"/>
      <c r="HB95" s="9">
        <v>98.05</v>
      </c>
      <c r="HC95" s="9"/>
      <c r="HD95" s="9"/>
      <c r="HE95" s="9"/>
      <c r="HF95" s="9"/>
      <c r="HG95" s="9"/>
      <c r="HH95" s="9"/>
      <c r="HI95" s="9"/>
      <c r="HJ95" s="9"/>
      <c r="HK95" s="9"/>
      <c r="HL95" s="9"/>
      <c r="HM95" s="9"/>
      <c r="HN95" s="9"/>
      <c r="HO95" s="9"/>
      <c r="HP95" s="9"/>
      <c r="HQ95" s="62">
        <f t="shared" si="6"/>
        <v>676.64</v>
      </c>
      <c r="HR95" s="62">
        <f t="shared" si="8"/>
        <v>11.277333333333333</v>
      </c>
    </row>
    <row r="96" spans="1:226" ht="12.95" customHeight="1" x14ac:dyDescent="0.2">
      <c r="A96" s="11">
        <v>155</v>
      </c>
      <c r="B96" s="9">
        <v>140</v>
      </c>
      <c r="C96" s="9" t="s">
        <v>83</v>
      </c>
      <c r="D96" s="9">
        <v>11</v>
      </c>
      <c r="E96" s="9" t="s">
        <v>79</v>
      </c>
      <c r="F96" s="9">
        <v>1757734136</v>
      </c>
      <c r="G96" s="9" t="s">
        <v>81</v>
      </c>
      <c r="H96" s="9" t="s">
        <v>84</v>
      </c>
      <c r="I96" s="13" t="s">
        <v>105</v>
      </c>
      <c r="J96" s="13"/>
      <c r="M96" s="13" t="s">
        <v>1319</v>
      </c>
      <c r="N96" s="13" t="s">
        <v>86</v>
      </c>
      <c r="O96" s="13"/>
      <c r="P96" s="13" t="s">
        <v>87</v>
      </c>
      <c r="Q96" s="13" t="s">
        <v>1296</v>
      </c>
      <c r="S96" s="13" t="s">
        <v>84</v>
      </c>
      <c r="T96" s="13" t="s">
        <v>84</v>
      </c>
      <c r="U96" s="13" t="s">
        <v>82</v>
      </c>
      <c r="V96" s="13" t="s">
        <v>82</v>
      </c>
      <c r="W96" s="13" t="s">
        <v>82</v>
      </c>
      <c r="X96" s="13" t="s">
        <v>82</v>
      </c>
      <c r="Y96" s="13" t="s">
        <v>82</v>
      </c>
      <c r="Z96" s="13" t="s">
        <v>82</v>
      </c>
      <c r="AA96" s="13"/>
      <c r="AB96" s="13" t="s">
        <v>82</v>
      </c>
      <c r="AC96" s="13"/>
      <c r="AD96" s="13" t="s">
        <v>82</v>
      </c>
      <c r="AE96" s="13"/>
      <c r="AF96" s="13"/>
      <c r="AG96" s="13" t="s">
        <v>82</v>
      </c>
      <c r="AH96" s="13"/>
      <c r="AI96" s="13" t="s">
        <v>84</v>
      </c>
      <c r="AJ96" s="13"/>
      <c r="AK96" s="13"/>
      <c r="AL96" s="13" t="s">
        <v>140</v>
      </c>
      <c r="AM96" s="13" t="s">
        <v>111</v>
      </c>
      <c r="AN96" s="13"/>
      <c r="AO96" s="13" t="s">
        <v>80</v>
      </c>
      <c r="AQ96" s="13" t="s">
        <v>84</v>
      </c>
      <c r="AR96" s="13" t="s">
        <v>82</v>
      </c>
      <c r="AS96" s="13" t="s">
        <v>82</v>
      </c>
      <c r="AT96" s="13" t="s">
        <v>82</v>
      </c>
      <c r="AU96" s="13"/>
      <c r="AW96" s="13" t="s">
        <v>80</v>
      </c>
      <c r="AX96" s="13" t="s">
        <v>80</v>
      </c>
      <c r="AY96" s="13" t="s">
        <v>80</v>
      </c>
      <c r="AZ96" s="13" t="s">
        <v>80</v>
      </c>
      <c r="BA96" s="13"/>
      <c r="BB96" s="13" t="s">
        <v>84</v>
      </c>
      <c r="BC96" s="13" t="s">
        <v>80</v>
      </c>
      <c r="BD96" s="13" t="s">
        <v>100</v>
      </c>
      <c r="BE96" s="13" t="s">
        <v>100</v>
      </c>
      <c r="BF96" s="13" t="s">
        <v>112</v>
      </c>
      <c r="BG96" s="13" t="s">
        <v>82</v>
      </c>
      <c r="BH96" s="13" t="s">
        <v>84</v>
      </c>
      <c r="BI96" s="13"/>
      <c r="BJ96" s="13" t="s">
        <v>84</v>
      </c>
      <c r="BK96" s="13" t="s">
        <v>80</v>
      </c>
      <c r="BL96" s="13">
        <v>4</v>
      </c>
      <c r="BM96" s="13">
        <v>3</v>
      </c>
      <c r="BN96" s="13">
        <v>2</v>
      </c>
      <c r="BO96" s="13">
        <v>2</v>
      </c>
      <c r="BP96" s="13">
        <v>4</v>
      </c>
      <c r="BQ96" s="13">
        <v>3</v>
      </c>
      <c r="BS96" s="13" t="s">
        <v>97</v>
      </c>
      <c r="BT96" s="13"/>
      <c r="BU96" s="13" t="s">
        <v>246</v>
      </c>
      <c r="BV96" s="13"/>
      <c r="BX96" s="13" t="s">
        <v>80</v>
      </c>
      <c r="BY96" s="13"/>
      <c r="BZ96" s="13" t="s">
        <v>80</v>
      </c>
      <c r="CA96" s="13"/>
      <c r="CB96" s="13" t="s">
        <v>80</v>
      </c>
      <c r="CC96" s="13"/>
      <c r="CD96" s="13" t="s">
        <v>80</v>
      </c>
      <c r="CE96" s="13"/>
      <c r="CF96" s="13"/>
      <c r="CG96" s="13"/>
      <c r="CI96" s="13" t="s">
        <v>82</v>
      </c>
      <c r="CJ96" s="13"/>
      <c r="CK96" s="13" t="s">
        <v>84</v>
      </c>
      <c r="CL96" s="13"/>
      <c r="CM96" s="13" t="s">
        <v>82</v>
      </c>
      <c r="CN96" s="13"/>
      <c r="CO96" s="13"/>
      <c r="CP96" s="13"/>
      <c r="CQ96" s="13" t="s">
        <v>97</v>
      </c>
      <c r="CR96" s="13" t="s">
        <v>84</v>
      </c>
      <c r="CS96" s="13" t="s">
        <v>97</v>
      </c>
      <c r="CT96" s="13"/>
      <c r="CU96" s="13" t="s">
        <v>246</v>
      </c>
      <c r="CV96" s="13"/>
      <c r="CW96" s="13" t="s">
        <v>82</v>
      </c>
      <c r="CX96" s="13"/>
      <c r="CY96" s="13" t="s">
        <v>246</v>
      </c>
      <c r="CZ96" s="13"/>
      <c r="DA96" s="13" t="s">
        <v>82</v>
      </c>
      <c r="DB96" s="13"/>
      <c r="DC96" s="13" t="s">
        <v>82</v>
      </c>
      <c r="DD96" s="13" t="s">
        <v>82</v>
      </c>
      <c r="DG96" s="13">
        <v>4</v>
      </c>
      <c r="DH96" s="13">
        <v>3</v>
      </c>
      <c r="DI96" s="13">
        <v>2</v>
      </c>
      <c r="DJ96" s="13">
        <v>2</v>
      </c>
      <c r="DK96" s="13">
        <v>2</v>
      </c>
      <c r="DL96" s="13">
        <v>2</v>
      </c>
      <c r="DM96" s="13">
        <v>3</v>
      </c>
      <c r="DN96" s="13">
        <v>2</v>
      </c>
      <c r="DO96" s="13">
        <v>3</v>
      </c>
      <c r="DP96" s="13">
        <v>2</v>
      </c>
      <c r="DQ96" s="13">
        <v>3</v>
      </c>
      <c r="DR96" s="13">
        <v>2</v>
      </c>
      <c r="DS96" s="13" t="s">
        <v>97</v>
      </c>
      <c r="DT96" s="13" t="s">
        <v>84</v>
      </c>
      <c r="DU96" s="13"/>
      <c r="DV96" s="13" t="s">
        <v>84</v>
      </c>
      <c r="DW96" s="13" t="s">
        <v>112</v>
      </c>
      <c r="DX96" s="13" t="s">
        <v>81</v>
      </c>
      <c r="DY96" s="13"/>
      <c r="DZ96" s="13" t="s">
        <v>113</v>
      </c>
      <c r="EA96" s="13"/>
      <c r="EB96" s="13" t="s">
        <v>82</v>
      </c>
      <c r="EC96" s="13"/>
      <c r="ED96" s="13" t="s">
        <v>81</v>
      </c>
      <c r="EE96" s="13"/>
      <c r="EF96" s="13" t="s">
        <v>82</v>
      </c>
      <c r="EG96" s="13" t="s">
        <v>82</v>
      </c>
      <c r="EH96" s="13" t="s">
        <v>82</v>
      </c>
      <c r="EI96" s="13"/>
      <c r="EJ96" s="13"/>
      <c r="EK96" s="13"/>
      <c r="EL96" s="13"/>
      <c r="EM96" s="9">
        <v>378.94</v>
      </c>
      <c r="EN96" s="9">
        <v>17.5</v>
      </c>
      <c r="EO96" s="9"/>
      <c r="EP96" s="9"/>
      <c r="EQ96" s="9">
        <v>67.91</v>
      </c>
      <c r="ER96" s="9"/>
      <c r="ES96" s="9"/>
      <c r="ET96" s="9"/>
      <c r="EU96" s="9"/>
      <c r="EV96" s="9"/>
      <c r="EW96" s="9">
        <v>17.86</v>
      </c>
      <c r="EX96" s="9"/>
      <c r="EY96" s="9"/>
      <c r="EZ96" s="9"/>
      <c r="FA96" s="9"/>
      <c r="FB96" s="9"/>
      <c r="FC96" s="9"/>
      <c r="FD96" s="9"/>
      <c r="FE96" s="9"/>
      <c r="FF96" s="9">
        <v>15.53</v>
      </c>
      <c r="FG96" s="9"/>
      <c r="FH96" s="9"/>
      <c r="FI96" s="9"/>
      <c r="FJ96" s="9">
        <v>8.1199999999999992</v>
      </c>
      <c r="FK96" s="9"/>
      <c r="FL96" s="9"/>
      <c r="FM96" s="9"/>
      <c r="FN96" s="9"/>
      <c r="FO96" s="9"/>
      <c r="FP96" s="9">
        <v>19.03</v>
      </c>
      <c r="FQ96" s="9"/>
      <c r="FR96" s="9"/>
      <c r="FS96" s="9"/>
      <c r="FT96" s="9"/>
      <c r="FU96" s="9"/>
      <c r="FV96" s="9">
        <v>38.29</v>
      </c>
      <c r="FW96" s="9"/>
      <c r="FX96" s="9"/>
      <c r="FY96" s="9"/>
      <c r="FZ96" s="9"/>
      <c r="GA96" s="9"/>
      <c r="GB96" s="9"/>
      <c r="GC96" s="9">
        <v>125.99</v>
      </c>
      <c r="GD96" s="9"/>
      <c r="GE96" s="9"/>
      <c r="GF96" s="9"/>
      <c r="GG96" s="9"/>
      <c r="GH96" s="9"/>
      <c r="GI96" s="9"/>
      <c r="GJ96" s="9"/>
      <c r="GK96" s="9"/>
      <c r="GL96" s="9"/>
      <c r="GM96" s="9"/>
      <c r="GN96" s="9"/>
      <c r="GO96" s="9"/>
      <c r="GP96" s="9"/>
      <c r="GQ96" s="9"/>
      <c r="GR96" s="9"/>
      <c r="GS96" s="9"/>
      <c r="GT96" s="9">
        <v>6.79</v>
      </c>
      <c r="GU96" s="9"/>
      <c r="GV96" s="9"/>
      <c r="GW96" s="9"/>
      <c r="GX96" s="9">
        <v>22.09</v>
      </c>
      <c r="GY96" s="9"/>
      <c r="GZ96" s="9"/>
      <c r="HA96" s="9"/>
      <c r="HB96" s="9">
        <v>39.83</v>
      </c>
      <c r="HC96" s="9"/>
      <c r="HD96" s="9"/>
      <c r="HE96" s="9"/>
      <c r="HF96" s="9"/>
      <c r="HG96" s="9"/>
      <c r="HH96" s="9"/>
      <c r="HI96" s="9"/>
      <c r="HJ96" s="9"/>
      <c r="HK96" s="9"/>
      <c r="HL96" s="9"/>
      <c r="HM96" s="9"/>
      <c r="HN96" s="9"/>
      <c r="HO96" s="9"/>
      <c r="HP96" s="9"/>
      <c r="HQ96" s="62">
        <f t="shared" si="6"/>
        <v>378.94</v>
      </c>
      <c r="HR96" s="62">
        <f t="shared" si="8"/>
        <v>6.315666666666667</v>
      </c>
    </row>
    <row r="97" spans="1:226" ht="12.95" customHeight="1" x14ac:dyDescent="0.2">
      <c r="A97" s="11">
        <v>156</v>
      </c>
      <c r="B97" s="9">
        <v>141</v>
      </c>
      <c r="C97" s="9" t="s">
        <v>83</v>
      </c>
      <c r="D97" s="9">
        <v>11</v>
      </c>
      <c r="E97" s="9" t="s">
        <v>79</v>
      </c>
      <c r="F97" s="9">
        <v>991619141</v>
      </c>
      <c r="G97" s="9" t="s">
        <v>81</v>
      </c>
      <c r="H97" s="9" t="s">
        <v>84</v>
      </c>
      <c r="I97" s="13" t="s">
        <v>107</v>
      </c>
      <c r="J97" s="13"/>
      <c r="M97" s="13" t="s">
        <v>1319</v>
      </c>
      <c r="N97" s="13" t="s">
        <v>108</v>
      </c>
      <c r="O97" s="13" t="s">
        <v>2009</v>
      </c>
      <c r="P97" s="13" t="s">
        <v>87</v>
      </c>
      <c r="Q97" s="13" t="s">
        <v>1310</v>
      </c>
      <c r="S97" s="13" t="s">
        <v>84</v>
      </c>
      <c r="T97" s="13" t="s">
        <v>84</v>
      </c>
      <c r="U97" s="13" t="s">
        <v>82</v>
      </c>
      <c r="V97" s="13" t="s">
        <v>84</v>
      </c>
      <c r="W97" s="13" t="s">
        <v>82</v>
      </c>
      <c r="X97" s="13" t="s">
        <v>82</v>
      </c>
      <c r="Y97" s="13" t="s">
        <v>82</v>
      </c>
      <c r="Z97" s="13" t="s">
        <v>84</v>
      </c>
      <c r="AA97" s="13"/>
      <c r="AB97" s="13" t="s">
        <v>82</v>
      </c>
      <c r="AC97" s="13"/>
      <c r="AD97" s="13" t="s">
        <v>82</v>
      </c>
      <c r="AE97" s="13"/>
      <c r="AF97" s="13"/>
      <c r="AG97" s="13" t="s">
        <v>82</v>
      </c>
      <c r="AH97" s="13" t="s">
        <v>2041</v>
      </c>
      <c r="AI97" s="13" t="s">
        <v>84</v>
      </c>
      <c r="AJ97" s="13" t="s">
        <v>2042</v>
      </c>
      <c r="AK97" s="13" t="s">
        <v>2043</v>
      </c>
      <c r="AL97" s="13" t="s">
        <v>126</v>
      </c>
      <c r="AM97" s="13" t="s">
        <v>91</v>
      </c>
      <c r="AN97" s="13"/>
      <c r="AO97" s="13" t="s">
        <v>80</v>
      </c>
      <c r="AQ97" s="13" t="s">
        <v>80</v>
      </c>
      <c r="AR97" s="13" t="s">
        <v>80</v>
      </c>
      <c r="AS97" s="13" t="s">
        <v>80</v>
      </c>
      <c r="AT97" s="13" t="s">
        <v>80</v>
      </c>
      <c r="AU97" s="13"/>
      <c r="AW97" s="13" t="s">
        <v>84</v>
      </c>
      <c r="AX97" s="13" t="s">
        <v>84</v>
      </c>
      <c r="AY97" s="13" t="s">
        <v>82</v>
      </c>
      <c r="AZ97" s="13" t="s">
        <v>84</v>
      </c>
      <c r="BA97" s="13"/>
      <c r="BB97" s="13" t="s">
        <v>84</v>
      </c>
      <c r="BC97" s="13" t="s">
        <v>80</v>
      </c>
      <c r="BD97" s="13" t="s">
        <v>113</v>
      </c>
      <c r="BE97" s="13" t="s">
        <v>113</v>
      </c>
      <c r="BF97" s="13" t="s">
        <v>100</v>
      </c>
      <c r="BG97" s="13" t="s">
        <v>84</v>
      </c>
      <c r="BH97" s="13" t="s">
        <v>84</v>
      </c>
      <c r="BI97" s="13" t="s">
        <v>2136</v>
      </c>
      <c r="BJ97" s="13" t="s">
        <v>84</v>
      </c>
      <c r="BK97" s="13" t="s">
        <v>80</v>
      </c>
      <c r="BL97" s="13">
        <v>1</v>
      </c>
      <c r="BM97" s="13">
        <v>1</v>
      </c>
      <c r="BN97" s="13">
        <v>5</v>
      </c>
      <c r="BO97" s="13">
        <v>5</v>
      </c>
      <c r="BP97" s="13">
        <v>1</v>
      </c>
      <c r="BQ97" s="13">
        <v>1</v>
      </c>
      <c r="BS97" s="13" t="s">
        <v>97</v>
      </c>
      <c r="BT97" s="13"/>
      <c r="BU97" s="13" t="s">
        <v>246</v>
      </c>
      <c r="BV97" s="13" t="s">
        <v>2165</v>
      </c>
      <c r="BX97" s="13" t="s">
        <v>80</v>
      </c>
      <c r="BY97" s="13"/>
      <c r="BZ97" s="13" t="s">
        <v>80</v>
      </c>
      <c r="CA97" s="13"/>
      <c r="CB97" s="13" t="s">
        <v>80</v>
      </c>
      <c r="CC97" s="13"/>
      <c r="CD97" s="13" t="s">
        <v>80</v>
      </c>
      <c r="CE97" s="13"/>
      <c r="CF97" s="13"/>
      <c r="CG97" s="13"/>
      <c r="CI97" s="13" t="s">
        <v>82</v>
      </c>
      <c r="CJ97" s="13"/>
      <c r="CK97" s="13" t="s">
        <v>84</v>
      </c>
      <c r="CL97" s="13" t="s">
        <v>2215</v>
      </c>
      <c r="CM97" s="13" t="s">
        <v>84</v>
      </c>
      <c r="CN97" s="13"/>
      <c r="CO97" s="13"/>
      <c r="CP97" s="13"/>
      <c r="CQ97" s="13" t="s">
        <v>97</v>
      </c>
      <c r="CR97" s="13" t="s">
        <v>84</v>
      </c>
      <c r="CS97" s="13"/>
      <c r="CT97" s="13" t="s">
        <v>2216</v>
      </c>
      <c r="CU97" s="13"/>
      <c r="CV97" s="13"/>
      <c r="CW97" s="13" t="s">
        <v>82</v>
      </c>
      <c r="CX97" s="13"/>
      <c r="CY97" s="13" t="s">
        <v>246</v>
      </c>
      <c r="CZ97" s="13" t="s">
        <v>2217</v>
      </c>
      <c r="DA97" s="13" t="s">
        <v>82</v>
      </c>
      <c r="DB97" s="13"/>
      <c r="DC97" s="13" t="s">
        <v>82</v>
      </c>
      <c r="DD97" s="13" t="s">
        <v>82</v>
      </c>
      <c r="DG97" s="13">
        <v>1</v>
      </c>
      <c r="DH97" s="13">
        <v>2</v>
      </c>
      <c r="DI97" s="13">
        <v>1</v>
      </c>
      <c r="DJ97" s="13">
        <v>2</v>
      </c>
      <c r="DK97" s="13">
        <v>5</v>
      </c>
      <c r="DL97" s="13">
        <v>1</v>
      </c>
      <c r="DM97" s="13">
        <v>5</v>
      </c>
      <c r="DN97" s="13">
        <v>1</v>
      </c>
      <c r="DO97" s="13">
        <v>5</v>
      </c>
      <c r="DP97" s="13">
        <v>3</v>
      </c>
      <c r="DQ97" s="13">
        <v>3</v>
      </c>
      <c r="DR97" s="13">
        <v>2</v>
      </c>
      <c r="DS97" s="13" t="s">
        <v>97</v>
      </c>
      <c r="DT97" s="13" t="s">
        <v>106</v>
      </c>
      <c r="DU97" s="13"/>
      <c r="DV97" s="13" t="s">
        <v>84</v>
      </c>
      <c r="DW97" s="13" t="s">
        <v>113</v>
      </c>
      <c r="DX97" s="13" t="s">
        <v>81</v>
      </c>
      <c r="DY97" s="13" t="s">
        <v>2333</v>
      </c>
      <c r="DZ97" s="13" t="s">
        <v>113</v>
      </c>
      <c r="EA97" s="13" t="s">
        <v>2334</v>
      </c>
      <c r="EB97" s="13" t="s">
        <v>82</v>
      </c>
      <c r="EC97" s="13"/>
      <c r="ED97" s="13" t="s">
        <v>246</v>
      </c>
      <c r="EE97" s="13" t="s">
        <v>2335</v>
      </c>
      <c r="EF97" s="13" t="s">
        <v>82</v>
      </c>
      <c r="EG97" s="13" t="s">
        <v>84</v>
      </c>
      <c r="EH97" s="13" t="s">
        <v>82</v>
      </c>
      <c r="EI97" s="13"/>
      <c r="EJ97" s="13" t="s">
        <v>2336</v>
      </c>
      <c r="EK97" s="13"/>
      <c r="EL97" s="13" t="s">
        <v>2337</v>
      </c>
      <c r="EM97" s="9">
        <v>1785.61</v>
      </c>
      <c r="EN97" s="9">
        <v>13.65</v>
      </c>
      <c r="EO97" s="9"/>
      <c r="EP97" s="9"/>
      <c r="EQ97" s="9">
        <v>87.2</v>
      </c>
      <c r="ER97" s="9"/>
      <c r="ES97" s="9"/>
      <c r="ET97" s="9"/>
      <c r="EU97" s="9"/>
      <c r="EV97" s="9"/>
      <c r="EW97" s="9">
        <v>292.89999999999998</v>
      </c>
      <c r="EX97" s="9"/>
      <c r="EY97" s="9"/>
      <c r="EZ97" s="9"/>
      <c r="FA97" s="9"/>
      <c r="FB97" s="9"/>
      <c r="FC97" s="9"/>
      <c r="FD97" s="9"/>
      <c r="FE97" s="9"/>
      <c r="FF97" s="9">
        <v>71.8</v>
      </c>
      <c r="FG97" s="9"/>
      <c r="FH97" s="9"/>
      <c r="FI97" s="9"/>
      <c r="FJ97" s="9">
        <v>17.89</v>
      </c>
      <c r="FK97" s="9"/>
      <c r="FL97" s="9"/>
      <c r="FM97" s="9"/>
      <c r="FN97" s="9"/>
      <c r="FO97" s="9"/>
      <c r="FP97" s="9">
        <v>41.03</v>
      </c>
      <c r="FQ97" s="9"/>
      <c r="FR97" s="9"/>
      <c r="FS97" s="9"/>
      <c r="FT97" s="9"/>
      <c r="FU97" s="9"/>
      <c r="FV97" s="9">
        <v>80.73</v>
      </c>
      <c r="FW97" s="9"/>
      <c r="FX97" s="9"/>
      <c r="FY97" s="9"/>
      <c r="FZ97" s="9"/>
      <c r="GA97" s="9"/>
      <c r="GB97" s="9"/>
      <c r="GC97" s="9">
        <v>445.4</v>
      </c>
      <c r="GD97" s="9"/>
      <c r="GE97" s="9"/>
      <c r="GF97" s="9"/>
      <c r="GG97" s="9"/>
      <c r="GH97" s="9"/>
      <c r="GI97" s="9"/>
      <c r="GJ97" s="9"/>
      <c r="GK97" s="9"/>
      <c r="GL97" s="9"/>
      <c r="GM97" s="9"/>
      <c r="GN97" s="9"/>
      <c r="GO97" s="9"/>
      <c r="GP97" s="9"/>
      <c r="GQ97" s="9"/>
      <c r="GR97" s="9"/>
      <c r="GS97" s="9"/>
      <c r="GT97" s="9">
        <v>11.83</v>
      </c>
      <c r="GU97" s="9"/>
      <c r="GV97" s="9"/>
      <c r="GW97" s="9"/>
      <c r="GX97" s="9">
        <v>140.82</v>
      </c>
      <c r="GY97" s="9"/>
      <c r="GZ97" s="9"/>
      <c r="HA97" s="9"/>
      <c r="HB97" s="9">
        <v>582.36</v>
      </c>
      <c r="HC97" s="9"/>
      <c r="HD97" s="9"/>
      <c r="HE97" s="9"/>
      <c r="HF97" s="9"/>
      <c r="HG97" s="9"/>
      <c r="HH97" s="9"/>
      <c r="HI97" s="9"/>
      <c r="HJ97" s="9"/>
      <c r="HK97" s="9"/>
      <c r="HL97" s="9"/>
      <c r="HM97" s="9"/>
      <c r="HN97" s="9"/>
      <c r="HO97" s="9"/>
      <c r="HP97" s="9"/>
      <c r="HQ97" s="62">
        <f t="shared" si="6"/>
        <v>1785.61</v>
      </c>
      <c r="HR97" s="62">
        <f t="shared" si="8"/>
        <v>29.760166666666667</v>
      </c>
    </row>
    <row r="98" spans="1:226" ht="12.95" customHeight="1" x14ac:dyDescent="0.2">
      <c r="A98" s="11">
        <v>157</v>
      </c>
      <c r="B98" s="9">
        <v>142</v>
      </c>
      <c r="C98" s="9" t="s">
        <v>83</v>
      </c>
      <c r="D98" s="9">
        <v>11</v>
      </c>
      <c r="E98" s="9" t="s">
        <v>79</v>
      </c>
      <c r="F98" s="9">
        <v>1073372785</v>
      </c>
      <c r="G98" s="9" t="s">
        <v>81</v>
      </c>
      <c r="H98" s="9" t="s">
        <v>84</v>
      </c>
      <c r="I98" s="13" t="s">
        <v>105</v>
      </c>
      <c r="J98" s="13"/>
      <c r="M98" s="13" t="s">
        <v>1319</v>
      </c>
      <c r="N98" s="13" t="s">
        <v>108</v>
      </c>
      <c r="O98" s="13"/>
      <c r="P98" s="13" t="s">
        <v>87</v>
      </c>
      <c r="Q98" s="13" t="s">
        <v>1310</v>
      </c>
      <c r="S98" s="13" t="s">
        <v>84</v>
      </c>
      <c r="T98" s="13" t="s">
        <v>84</v>
      </c>
      <c r="U98" s="13" t="s">
        <v>82</v>
      </c>
      <c r="V98" s="13" t="s">
        <v>82</v>
      </c>
      <c r="W98" s="13" t="s">
        <v>84</v>
      </c>
      <c r="X98" s="13" t="s">
        <v>82</v>
      </c>
      <c r="Y98" s="13" t="s">
        <v>84</v>
      </c>
      <c r="Z98" s="13" t="s">
        <v>82</v>
      </c>
      <c r="AA98" s="13" t="s">
        <v>1934</v>
      </c>
      <c r="AB98" s="13" t="s">
        <v>84</v>
      </c>
      <c r="AC98" s="13"/>
      <c r="AD98" s="13" t="s">
        <v>84</v>
      </c>
      <c r="AE98" s="13" t="s">
        <v>2044</v>
      </c>
      <c r="AF98" s="13" t="s">
        <v>2045</v>
      </c>
      <c r="AG98" s="13" t="s">
        <v>80</v>
      </c>
      <c r="AH98" s="13"/>
      <c r="AI98" s="13" t="s">
        <v>84</v>
      </c>
      <c r="AJ98" s="13"/>
      <c r="AK98" s="13" t="s">
        <v>2046</v>
      </c>
      <c r="AL98" s="13" t="s">
        <v>126</v>
      </c>
      <c r="AM98" s="13" t="s">
        <v>111</v>
      </c>
      <c r="AN98" s="13"/>
      <c r="AO98" s="13" t="s">
        <v>80</v>
      </c>
      <c r="AQ98" s="13" t="s">
        <v>84</v>
      </c>
      <c r="AR98" s="13" t="s">
        <v>82</v>
      </c>
      <c r="AS98" s="13" t="s">
        <v>84</v>
      </c>
      <c r="AT98" s="13" t="s">
        <v>84</v>
      </c>
      <c r="AU98" s="13"/>
      <c r="AW98" s="13" t="s">
        <v>80</v>
      </c>
      <c r="AX98" s="13" t="s">
        <v>80</v>
      </c>
      <c r="AY98" s="13" t="s">
        <v>80</v>
      </c>
      <c r="AZ98" s="13" t="s">
        <v>80</v>
      </c>
      <c r="BA98" s="13"/>
      <c r="BB98" s="13" t="s">
        <v>84</v>
      </c>
      <c r="BC98" s="13" t="s">
        <v>80</v>
      </c>
      <c r="BD98" s="13" t="s">
        <v>113</v>
      </c>
      <c r="BE98" s="13" t="s">
        <v>113</v>
      </c>
      <c r="BF98" s="13" t="s">
        <v>93</v>
      </c>
      <c r="BG98" s="13" t="s">
        <v>84</v>
      </c>
      <c r="BH98" s="13" t="s">
        <v>84</v>
      </c>
      <c r="BI98" s="13"/>
      <c r="BJ98" s="13" t="s">
        <v>84</v>
      </c>
      <c r="BK98" s="13" t="s">
        <v>80</v>
      </c>
      <c r="BL98" s="13">
        <v>4</v>
      </c>
      <c r="BM98" s="13">
        <v>3</v>
      </c>
      <c r="BN98" s="13">
        <v>2</v>
      </c>
      <c r="BO98" s="13">
        <v>1</v>
      </c>
      <c r="BP98" s="13">
        <v>4</v>
      </c>
      <c r="BQ98" s="13">
        <v>3</v>
      </c>
      <c r="BS98" s="13" t="s">
        <v>118</v>
      </c>
      <c r="BT98" s="13"/>
      <c r="BU98" s="13"/>
      <c r="BV98" s="13"/>
      <c r="BX98" s="13" t="s">
        <v>82</v>
      </c>
      <c r="BY98" s="13"/>
      <c r="BZ98" s="13" t="s">
        <v>84</v>
      </c>
      <c r="CA98" s="13" t="s">
        <v>2178</v>
      </c>
      <c r="CB98" s="13" t="s">
        <v>82</v>
      </c>
      <c r="CC98" s="13"/>
      <c r="CD98" s="13" t="s">
        <v>82</v>
      </c>
      <c r="CE98" s="13"/>
      <c r="CF98" s="13" t="s">
        <v>2179</v>
      </c>
      <c r="CG98" s="13" t="s">
        <v>2180</v>
      </c>
      <c r="CI98" s="13" t="s">
        <v>84</v>
      </c>
      <c r="CJ98" s="13"/>
      <c r="CK98" s="13" t="s">
        <v>82</v>
      </c>
      <c r="CL98" s="13"/>
      <c r="CM98" s="13" t="s">
        <v>82</v>
      </c>
      <c r="CN98" s="13"/>
      <c r="CO98" s="13"/>
      <c r="CP98" s="13"/>
      <c r="CQ98" s="13" t="s">
        <v>97</v>
      </c>
      <c r="CR98" s="13" t="s">
        <v>84</v>
      </c>
      <c r="CS98" s="13" t="s">
        <v>97</v>
      </c>
      <c r="CT98" s="13" t="s">
        <v>2218</v>
      </c>
      <c r="CU98" s="13" t="s">
        <v>81</v>
      </c>
      <c r="CV98" s="13" t="s">
        <v>2219</v>
      </c>
      <c r="CW98" s="13" t="s">
        <v>82</v>
      </c>
      <c r="CX98" s="13"/>
      <c r="CY98" s="13" t="s">
        <v>81</v>
      </c>
      <c r="CZ98" s="13" t="s">
        <v>2220</v>
      </c>
      <c r="DA98" s="13" t="s">
        <v>82</v>
      </c>
      <c r="DB98" s="13"/>
      <c r="DC98" s="13" t="s">
        <v>84</v>
      </c>
      <c r="DD98" s="13" t="s">
        <v>84</v>
      </c>
      <c r="DG98" s="13">
        <v>4</v>
      </c>
      <c r="DH98" s="13">
        <v>1</v>
      </c>
      <c r="DI98" s="13">
        <v>3</v>
      </c>
      <c r="DJ98" s="13">
        <v>2</v>
      </c>
      <c r="DK98" s="13">
        <v>3</v>
      </c>
      <c r="DL98" s="13">
        <v>3</v>
      </c>
      <c r="DM98" s="13">
        <v>2</v>
      </c>
      <c r="DN98" s="13">
        <v>2</v>
      </c>
      <c r="DO98" s="13">
        <v>4</v>
      </c>
      <c r="DP98" s="13">
        <v>1</v>
      </c>
      <c r="DQ98" s="13">
        <v>4</v>
      </c>
      <c r="DR98" s="13">
        <v>1</v>
      </c>
      <c r="DS98" s="13" t="s">
        <v>97</v>
      </c>
      <c r="DT98" s="13" t="s">
        <v>106</v>
      </c>
      <c r="DU98" s="13"/>
      <c r="DV98" s="13" t="s">
        <v>84</v>
      </c>
      <c r="DW98" s="13" t="s">
        <v>100</v>
      </c>
      <c r="DX98" s="13" t="s">
        <v>81</v>
      </c>
      <c r="DY98" s="13" t="s">
        <v>2338</v>
      </c>
      <c r="DZ98" s="13" t="s">
        <v>100</v>
      </c>
      <c r="EA98" s="13" t="s">
        <v>2339</v>
      </c>
      <c r="EB98" s="13" t="s">
        <v>84</v>
      </c>
      <c r="EC98" s="13"/>
      <c r="ED98" s="13"/>
      <c r="EE98" s="13"/>
      <c r="EF98" s="13" t="s">
        <v>84</v>
      </c>
      <c r="EG98" s="13" t="s">
        <v>82</v>
      </c>
      <c r="EH98" s="13" t="s">
        <v>82</v>
      </c>
      <c r="EI98" s="13"/>
      <c r="EJ98" s="13"/>
      <c r="EK98" s="13" t="s">
        <v>2340</v>
      </c>
      <c r="EL98" s="13" t="s">
        <v>2341</v>
      </c>
      <c r="EM98" s="9">
        <v>1022.37</v>
      </c>
      <c r="EN98" s="9">
        <v>8.5</v>
      </c>
      <c r="EO98" s="9"/>
      <c r="EP98" s="9"/>
      <c r="EQ98" s="9">
        <v>261.27</v>
      </c>
      <c r="ER98" s="9"/>
      <c r="ES98" s="9"/>
      <c r="ET98" s="9"/>
      <c r="EU98" s="9"/>
      <c r="EV98" s="9"/>
      <c r="EW98" s="9">
        <v>178.4</v>
      </c>
      <c r="EX98" s="9"/>
      <c r="EY98" s="9"/>
      <c r="EZ98" s="9"/>
      <c r="FA98" s="9"/>
      <c r="FB98" s="9"/>
      <c r="FC98" s="9"/>
      <c r="FD98" s="9"/>
      <c r="FE98" s="9"/>
      <c r="FF98" s="9">
        <v>23.76</v>
      </c>
      <c r="FG98" s="9"/>
      <c r="FH98" s="9"/>
      <c r="FI98" s="9"/>
      <c r="FJ98" s="9">
        <v>25.74</v>
      </c>
      <c r="FK98" s="9"/>
      <c r="FL98" s="9"/>
      <c r="FM98" s="9"/>
      <c r="FN98" s="9"/>
      <c r="FO98" s="9"/>
      <c r="FP98" s="9">
        <v>21.55</v>
      </c>
      <c r="FQ98" s="9"/>
      <c r="FR98" s="9"/>
      <c r="FS98" s="9"/>
      <c r="FT98" s="9"/>
      <c r="FU98" s="9"/>
      <c r="FV98" s="9">
        <v>72.3</v>
      </c>
      <c r="FW98" s="9"/>
      <c r="FX98" s="9"/>
      <c r="FY98" s="9"/>
      <c r="FZ98" s="9"/>
      <c r="GA98" s="9"/>
      <c r="GB98" s="9"/>
      <c r="GC98" s="9">
        <v>195.17</v>
      </c>
      <c r="GD98" s="9"/>
      <c r="GE98" s="9"/>
      <c r="GF98" s="9"/>
      <c r="GG98" s="9"/>
      <c r="GH98" s="9"/>
      <c r="GI98" s="9"/>
      <c r="GJ98" s="9"/>
      <c r="GK98" s="9"/>
      <c r="GL98" s="9"/>
      <c r="GM98" s="9"/>
      <c r="GN98" s="9"/>
      <c r="GO98" s="9"/>
      <c r="GP98" s="9"/>
      <c r="GQ98" s="9"/>
      <c r="GR98" s="9"/>
      <c r="GS98" s="9"/>
      <c r="GT98" s="9">
        <v>7.32</v>
      </c>
      <c r="GU98" s="9"/>
      <c r="GV98" s="9"/>
      <c r="GW98" s="9"/>
      <c r="GX98" s="9">
        <v>58.36</v>
      </c>
      <c r="GY98" s="9"/>
      <c r="GZ98" s="9"/>
      <c r="HA98" s="9"/>
      <c r="HB98" s="9">
        <v>170</v>
      </c>
      <c r="HC98" s="9"/>
      <c r="HD98" s="9"/>
      <c r="HE98" s="9"/>
      <c r="HF98" s="9"/>
      <c r="HG98" s="9"/>
      <c r="HH98" s="9"/>
      <c r="HI98" s="9"/>
      <c r="HJ98" s="9"/>
      <c r="HK98" s="9"/>
      <c r="HL98" s="9"/>
      <c r="HM98" s="9"/>
      <c r="HN98" s="9"/>
      <c r="HO98" s="9"/>
      <c r="HP98" s="9"/>
      <c r="HQ98" s="62">
        <f t="shared" ref="HQ98:HQ129" si="9">EM98</f>
        <v>1022.37</v>
      </c>
      <c r="HR98" s="62">
        <f t="shared" si="8"/>
        <v>17.0395</v>
      </c>
    </row>
    <row r="99" spans="1:226" ht="12.95" customHeight="1" x14ac:dyDescent="0.2">
      <c r="A99" s="11">
        <v>158</v>
      </c>
      <c r="B99" s="9">
        <v>143</v>
      </c>
      <c r="C99" s="9" t="s">
        <v>83</v>
      </c>
      <c r="D99" s="9">
        <v>11</v>
      </c>
      <c r="E99" s="9" t="s">
        <v>79</v>
      </c>
      <c r="F99" s="9">
        <v>1178940880</v>
      </c>
      <c r="G99" s="9" t="s">
        <v>81</v>
      </c>
      <c r="H99" s="9" t="s">
        <v>84</v>
      </c>
      <c r="I99" s="13" t="s">
        <v>105</v>
      </c>
      <c r="J99" s="13"/>
      <c r="M99" s="13" t="s">
        <v>1319</v>
      </c>
      <c r="N99" s="13" t="s">
        <v>618</v>
      </c>
      <c r="O99" s="13"/>
      <c r="P99" s="13" t="s">
        <v>87</v>
      </c>
      <c r="Q99" s="13" t="s">
        <v>1310</v>
      </c>
      <c r="S99" s="13" t="s">
        <v>84</v>
      </c>
      <c r="T99" s="13" t="s">
        <v>84</v>
      </c>
      <c r="U99" s="13" t="s">
        <v>84</v>
      </c>
      <c r="V99" s="13" t="s">
        <v>84</v>
      </c>
      <c r="W99" s="13" t="s">
        <v>82</v>
      </c>
      <c r="X99" s="13" t="s">
        <v>82</v>
      </c>
      <c r="Y99" s="13" t="s">
        <v>84</v>
      </c>
      <c r="Z99" s="13" t="s">
        <v>82</v>
      </c>
      <c r="AA99" s="13"/>
      <c r="AB99" s="13" t="s">
        <v>82</v>
      </c>
      <c r="AC99" s="13"/>
      <c r="AD99" s="13" t="s">
        <v>82</v>
      </c>
      <c r="AE99" s="13"/>
      <c r="AF99" s="13"/>
      <c r="AG99" s="13" t="s">
        <v>82</v>
      </c>
      <c r="AH99" s="13"/>
      <c r="AI99" s="13" t="s">
        <v>84</v>
      </c>
      <c r="AJ99" s="13" t="s">
        <v>2047</v>
      </c>
      <c r="AK99" s="13" t="s">
        <v>2048</v>
      </c>
      <c r="AL99" s="13" t="s">
        <v>126</v>
      </c>
      <c r="AM99" s="13" t="s">
        <v>91</v>
      </c>
      <c r="AN99" s="13"/>
      <c r="AO99" s="13" t="s">
        <v>80</v>
      </c>
      <c r="AQ99" s="13" t="s">
        <v>80</v>
      </c>
      <c r="AR99" s="13" t="s">
        <v>80</v>
      </c>
      <c r="AS99" s="13" t="s">
        <v>80</v>
      </c>
      <c r="AT99" s="13" t="s">
        <v>80</v>
      </c>
      <c r="AU99" s="13"/>
      <c r="AW99" s="13" t="s">
        <v>84</v>
      </c>
      <c r="AX99" s="13" t="s">
        <v>82</v>
      </c>
      <c r="AY99" s="13" t="s">
        <v>82</v>
      </c>
      <c r="AZ99" s="13" t="s">
        <v>82</v>
      </c>
      <c r="BA99" s="13"/>
      <c r="BB99" s="13" t="s">
        <v>84</v>
      </c>
      <c r="BC99" s="13" t="s">
        <v>80</v>
      </c>
      <c r="BD99" s="13" t="s">
        <v>93</v>
      </c>
      <c r="BE99" s="13" t="s">
        <v>113</v>
      </c>
      <c r="BF99" s="13" t="s">
        <v>100</v>
      </c>
      <c r="BG99" s="13" t="s">
        <v>84</v>
      </c>
      <c r="BH99" s="13" t="s">
        <v>84</v>
      </c>
      <c r="BI99" s="13" t="s">
        <v>2137</v>
      </c>
      <c r="BJ99" s="13" t="s">
        <v>84</v>
      </c>
      <c r="BK99" s="13" t="s">
        <v>80</v>
      </c>
      <c r="BL99" s="13">
        <v>3</v>
      </c>
      <c r="BM99" s="13">
        <v>3</v>
      </c>
      <c r="BN99" s="13">
        <v>3</v>
      </c>
      <c r="BO99" s="13">
        <v>3</v>
      </c>
      <c r="BP99" s="13">
        <v>3</v>
      </c>
      <c r="BQ99" s="13">
        <v>3</v>
      </c>
      <c r="BS99" s="13" t="s">
        <v>97</v>
      </c>
      <c r="BT99" s="13"/>
      <c r="BU99" s="13" t="s">
        <v>246</v>
      </c>
      <c r="BV99" s="13" t="s">
        <v>2166</v>
      </c>
      <c r="BX99" s="13" t="s">
        <v>80</v>
      </c>
      <c r="BY99" s="13"/>
      <c r="BZ99" s="13" t="s">
        <v>80</v>
      </c>
      <c r="CA99" s="13"/>
      <c r="CB99" s="13" t="s">
        <v>80</v>
      </c>
      <c r="CC99" s="13"/>
      <c r="CD99" s="13" t="s">
        <v>80</v>
      </c>
      <c r="CE99" s="13"/>
      <c r="CF99" s="13"/>
      <c r="CG99" s="13"/>
      <c r="CI99" s="13" t="s">
        <v>82</v>
      </c>
      <c r="CJ99" s="13"/>
      <c r="CK99" s="13" t="s">
        <v>84</v>
      </c>
      <c r="CL99" s="13" t="s">
        <v>2221</v>
      </c>
      <c r="CM99" s="13" t="s">
        <v>82</v>
      </c>
      <c r="CN99" s="13"/>
      <c r="CO99" s="13"/>
      <c r="CP99" s="13"/>
      <c r="CQ99" s="13" t="s">
        <v>118</v>
      </c>
      <c r="CR99" s="13" t="s">
        <v>84</v>
      </c>
      <c r="CS99" s="13" t="s">
        <v>1312</v>
      </c>
      <c r="CT99" s="13" t="s">
        <v>2222</v>
      </c>
      <c r="CU99" s="13" t="s">
        <v>81</v>
      </c>
      <c r="CV99" s="13" t="s">
        <v>2222</v>
      </c>
      <c r="CW99" s="13" t="s">
        <v>82</v>
      </c>
      <c r="CX99" s="13"/>
      <c r="CY99" s="13" t="s">
        <v>246</v>
      </c>
      <c r="CZ99" s="13" t="s">
        <v>2223</v>
      </c>
      <c r="DA99" s="13" t="s">
        <v>82</v>
      </c>
      <c r="DB99" s="13"/>
      <c r="DC99" s="13" t="s">
        <v>82</v>
      </c>
      <c r="DD99" s="13" t="s">
        <v>82</v>
      </c>
      <c r="DG99" s="13">
        <v>3</v>
      </c>
      <c r="DH99" s="13">
        <v>3</v>
      </c>
      <c r="DI99" s="13">
        <v>3</v>
      </c>
      <c r="DJ99" s="13">
        <v>3</v>
      </c>
      <c r="DK99" s="13">
        <v>1</v>
      </c>
      <c r="DL99" s="13">
        <v>1</v>
      </c>
      <c r="DM99" s="13">
        <v>1</v>
      </c>
      <c r="DN99" s="13">
        <v>1</v>
      </c>
      <c r="DO99" s="13">
        <v>3</v>
      </c>
      <c r="DP99" s="13">
        <v>3</v>
      </c>
      <c r="DQ99" s="13">
        <v>1</v>
      </c>
      <c r="DR99" s="13">
        <v>1</v>
      </c>
      <c r="DS99" s="13" t="s">
        <v>99</v>
      </c>
      <c r="DT99" s="13" t="s">
        <v>84</v>
      </c>
      <c r="DU99" s="13"/>
      <c r="DV99" s="13" t="s">
        <v>84</v>
      </c>
      <c r="DW99" s="13" t="s">
        <v>100</v>
      </c>
      <c r="DX99" s="13" t="s">
        <v>81</v>
      </c>
      <c r="DY99" s="13" t="s">
        <v>2342</v>
      </c>
      <c r="DZ99" s="13" t="s">
        <v>113</v>
      </c>
      <c r="EA99" s="13"/>
      <c r="EB99" s="13" t="s">
        <v>82</v>
      </c>
      <c r="EC99" s="13"/>
      <c r="ED99" s="13" t="s">
        <v>81</v>
      </c>
      <c r="EE99" s="13" t="s">
        <v>2343</v>
      </c>
      <c r="EF99" s="13" t="s">
        <v>84</v>
      </c>
      <c r="EG99" s="13" t="s">
        <v>84</v>
      </c>
      <c r="EH99" s="13" t="s">
        <v>82</v>
      </c>
      <c r="EI99" s="13"/>
      <c r="EJ99" s="13" t="s">
        <v>2344</v>
      </c>
      <c r="EK99" s="13"/>
      <c r="EL99" s="13"/>
      <c r="EM99" s="9">
        <v>3999</v>
      </c>
      <c r="EN99" s="9">
        <v>12.04</v>
      </c>
      <c r="EO99" s="9"/>
      <c r="EP99" s="9"/>
      <c r="EQ99" s="9">
        <v>311.83999999999997</v>
      </c>
      <c r="ER99" s="9"/>
      <c r="ES99" s="9"/>
      <c r="ET99" s="9"/>
      <c r="EU99" s="9"/>
      <c r="EV99" s="9"/>
      <c r="EW99" s="9">
        <v>75.3</v>
      </c>
      <c r="EX99" s="9"/>
      <c r="EY99" s="9"/>
      <c r="EZ99" s="9"/>
      <c r="FA99" s="9"/>
      <c r="FB99" s="9"/>
      <c r="FC99" s="9"/>
      <c r="FD99" s="9"/>
      <c r="FE99" s="9"/>
      <c r="FF99" s="9">
        <v>2901.8</v>
      </c>
      <c r="FG99" s="9"/>
      <c r="FH99" s="9"/>
      <c r="FI99" s="9"/>
      <c r="FJ99" s="9">
        <v>27.6</v>
      </c>
      <c r="FK99" s="9"/>
      <c r="FL99" s="9"/>
      <c r="FM99" s="9"/>
      <c r="FN99" s="9"/>
      <c r="FO99" s="9"/>
      <c r="FP99" s="9">
        <v>48.04</v>
      </c>
      <c r="FQ99" s="9"/>
      <c r="FR99" s="9"/>
      <c r="FS99" s="9"/>
      <c r="FT99" s="9"/>
      <c r="FU99" s="9"/>
      <c r="FV99" s="9">
        <v>140</v>
      </c>
      <c r="FW99" s="9"/>
      <c r="FX99" s="9"/>
      <c r="FY99" s="9"/>
      <c r="FZ99" s="9"/>
      <c r="GA99" s="9"/>
      <c r="GB99" s="9"/>
      <c r="GC99" s="9">
        <v>278.89</v>
      </c>
      <c r="GD99" s="9"/>
      <c r="GE99" s="9"/>
      <c r="GF99" s="9"/>
      <c r="GG99" s="9"/>
      <c r="GH99" s="9"/>
      <c r="GI99" s="9"/>
      <c r="GJ99" s="9"/>
      <c r="GK99" s="9"/>
      <c r="GL99" s="9"/>
      <c r="GM99" s="9"/>
      <c r="GN99" s="9"/>
      <c r="GO99" s="9"/>
      <c r="GP99" s="9"/>
      <c r="GQ99" s="9"/>
      <c r="GR99" s="9"/>
      <c r="GS99" s="9"/>
      <c r="GT99" s="9">
        <v>13.32</v>
      </c>
      <c r="GU99" s="9"/>
      <c r="GV99" s="9"/>
      <c r="GW99" s="9"/>
      <c r="GX99" s="9">
        <v>99.51</v>
      </c>
      <c r="GY99" s="9"/>
      <c r="GZ99" s="9"/>
      <c r="HA99" s="9"/>
      <c r="HB99" s="9">
        <v>90.66</v>
      </c>
      <c r="HC99" s="9"/>
      <c r="HD99" s="9"/>
      <c r="HE99" s="9"/>
      <c r="HF99" s="9"/>
      <c r="HG99" s="9"/>
      <c r="HH99" s="9"/>
      <c r="HI99" s="9"/>
      <c r="HJ99" s="9"/>
      <c r="HK99" s="9"/>
      <c r="HL99" s="9"/>
      <c r="HM99" s="9"/>
      <c r="HN99" s="9"/>
      <c r="HO99" s="9"/>
      <c r="HP99" s="9"/>
      <c r="HQ99" s="62">
        <f t="shared" si="9"/>
        <v>3999</v>
      </c>
      <c r="HR99" s="62">
        <f t="shared" si="8"/>
        <v>66.650000000000006</v>
      </c>
    </row>
    <row r="100" spans="1:226" ht="12.95" customHeight="1" x14ac:dyDescent="0.2">
      <c r="A100" s="11">
        <v>159</v>
      </c>
      <c r="B100" s="9">
        <v>144</v>
      </c>
      <c r="C100" s="9" t="s">
        <v>83</v>
      </c>
      <c r="D100" s="9">
        <v>11</v>
      </c>
      <c r="E100" s="9" t="s">
        <v>79</v>
      </c>
      <c r="F100" s="9">
        <v>556397274</v>
      </c>
      <c r="G100" s="9" t="s">
        <v>81</v>
      </c>
      <c r="H100" s="9" t="s">
        <v>84</v>
      </c>
      <c r="I100" s="13" t="s">
        <v>107</v>
      </c>
      <c r="J100" s="13"/>
      <c r="M100" s="13" t="s">
        <v>1319</v>
      </c>
      <c r="N100" s="13" t="s">
        <v>108</v>
      </c>
      <c r="O100" s="13"/>
      <c r="P100" s="13" t="s">
        <v>253</v>
      </c>
      <c r="Q100" s="13" t="s">
        <v>1310</v>
      </c>
      <c r="S100" s="13" t="s">
        <v>84</v>
      </c>
      <c r="T100" s="13" t="s">
        <v>84</v>
      </c>
      <c r="U100" s="13" t="s">
        <v>84</v>
      </c>
      <c r="V100" s="13" t="s">
        <v>84</v>
      </c>
      <c r="W100" s="13" t="s">
        <v>82</v>
      </c>
      <c r="X100" s="13" t="s">
        <v>82</v>
      </c>
      <c r="Y100" s="13" t="s">
        <v>82</v>
      </c>
      <c r="Z100" s="13" t="s">
        <v>82</v>
      </c>
      <c r="AA100" s="13"/>
      <c r="AB100" s="13" t="s">
        <v>82</v>
      </c>
      <c r="AC100" s="13"/>
      <c r="AD100" s="13" t="s">
        <v>82</v>
      </c>
      <c r="AE100" s="13"/>
      <c r="AF100" s="13"/>
      <c r="AG100" s="13" t="s">
        <v>82</v>
      </c>
      <c r="AH100" s="13"/>
      <c r="AI100" s="13" t="s">
        <v>84</v>
      </c>
      <c r="AJ100" s="13"/>
      <c r="AK100" s="13" t="s">
        <v>2049</v>
      </c>
      <c r="AL100" s="13" t="s">
        <v>126</v>
      </c>
      <c r="AM100" s="13" t="s">
        <v>91</v>
      </c>
      <c r="AN100" s="13"/>
      <c r="AO100" s="13" t="s">
        <v>80</v>
      </c>
      <c r="AQ100" s="13" t="s">
        <v>80</v>
      </c>
      <c r="AR100" s="13" t="s">
        <v>80</v>
      </c>
      <c r="AS100" s="13" t="s">
        <v>80</v>
      </c>
      <c r="AT100" s="13" t="s">
        <v>80</v>
      </c>
      <c r="AU100" s="13"/>
      <c r="AW100" s="13" t="s">
        <v>84</v>
      </c>
      <c r="AX100" s="13" t="s">
        <v>84</v>
      </c>
      <c r="AY100" s="13" t="s">
        <v>84</v>
      </c>
      <c r="AZ100" s="13" t="s">
        <v>84</v>
      </c>
      <c r="BA100" s="13"/>
      <c r="BB100" s="13" t="s">
        <v>84</v>
      </c>
      <c r="BC100" s="13" t="s">
        <v>80</v>
      </c>
      <c r="BD100" s="13" t="s">
        <v>113</v>
      </c>
      <c r="BE100" s="13" t="s">
        <v>100</v>
      </c>
      <c r="BF100" s="13" t="s">
        <v>112</v>
      </c>
      <c r="BG100" s="13" t="s">
        <v>82</v>
      </c>
      <c r="BH100" s="13" t="s">
        <v>82</v>
      </c>
      <c r="BI100" s="13"/>
      <c r="BJ100" s="13" t="s">
        <v>84</v>
      </c>
      <c r="BK100" s="13" t="s">
        <v>80</v>
      </c>
      <c r="BL100" s="13">
        <v>2</v>
      </c>
      <c r="BM100" s="13">
        <v>2</v>
      </c>
      <c r="BN100" s="13">
        <v>1</v>
      </c>
      <c r="BO100" s="13">
        <v>1</v>
      </c>
      <c r="BP100" s="13">
        <v>2</v>
      </c>
      <c r="BQ100" s="13">
        <v>2</v>
      </c>
      <c r="BS100" s="13" t="s">
        <v>97</v>
      </c>
      <c r="BT100" s="13"/>
      <c r="BU100" s="13" t="s">
        <v>246</v>
      </c>
      <c r="BV100" s="13"/>
      <c r="BX100" s="13" t="s">
        <v>80</v>
      </c>
      <c r="BY100" s="13"/>
      <c r="BZ100" s="13" t="s">
        <v>80</v>
      </c>
      <c r="CA100" s="13"/>
      <c r="CB100" s="13" t="s">
        <v>80</v>
      </c>
      <c r="CC100" s="13"/>
      <c r="CD100" s="13" t="s">
        <v>80</v>
      </c>
      <c r="CE100" s="13"/>
      <c r="CF100" s="13"/>
      <c r="CG100" s="13"/>
      <c r="CI100" s="13" t="s">
        <v>84</v>
      </c>
      <c r="CJ100" s="13" t="s">
        <v>2224</v>
      </c>
      <c r="CK100" s="13" t="s">
        <v>82</v>
      </c>
      <c r="CL100" s="13"/>
      <c r="CM100" s="13" t="s">
        <v>82</v>
      </c>
      <c r="CN100" s="13"/>
      <c r="CO100" s="13"/>
      <c r="CP100" s="13"/>
      <c r="CQ100" s="13" t="s">
        <v>118</v>
      </c>
      <c r="CR100" s="13" t="s">
        <v>84</v>
      </c>
      <c r="CS100" s="13" t="s">
        <v>1312</v>
      </c>
      <c r="CT100" s="13"/>
      <c r="CU100" s="13" t="s">
        <v>81</v>
      </c>
      <c r="CV100" s="13"/>
      <c r="CW100" s="13" t="s">
        <v>82</v>
      </c>
      <c r="CX100" s="13"/>
      <c r="CY100" s="13" t="s">
        <v>81</v>
      </c>
      <c r="CZ100" s="13"/>
      <c r="DA100" s="13" t="s">
        <v>82</v>
      </c>
      <c r="DB100" s="13"/>
      <c r="DC100" s="13" t="s">
        <v>84</v>
      </c>
      <c r="DD100" s="13" t="s">
        <v>82</v>
      </c>
      <c r="DG100" s="13">
        <v>2</v>
      </c>
      <c r="DH100" s="13">
        <v>2</v>
      </c>
      <c r="DI100" s="13">
        <v>1</v>
      </c>
      <c r="DJ100" s="13">
        <v>1</v>
      </c>
      <c r="DK100" s="13">
        <v>2</v>
      </c>
      <c r="DL100" s="13">
        <v>2</v>
      </c>
      <c r="DM100" s="13">
        <v>2</v>
      </c>
      <c r="DN100" s="13">
        <v>2</v>
      </c>
      <c r="DO100" s="13">
        <v>2</v>
      </c>
      <c r="DP100" s="13">
        <v>2</v>
      </c>
      <c r="DQ100" s="13">
        <v>1</v>
      </c>
      <c r="DR100" s="13">
        <v>1</v>
      </c>
      <c r="DS100" s="13" t="s">
        <v>118</v>
      </c>
      <c r="DT100" s="13" t="s">
        <v>106</v>
      </c>
      <c r="DU100" s="13"/>
      <c r="DV100" s="13" t="s">
        <v>84</v>
      </c>
      <c r="DW100" s="13" t="s">
        <v>113</v>
      </c>
      <c r="DX100" s="13" t="s">
        <v>81</v>
      </c>
      <c r="DY100" s="13"/>
      <c r="DZ100" s="13" t="s">
        <v>113</v>
      </c>
      <c r="EA100" s="13"/>
      <c r="EB100" s="13" t="s">
        <v>82</v>
      </c>
      <c r="EC100" s="13"/>
      <c r="ED100" s="13" t="s">
        <v>81</v>
      </c>
      <c r="EE100" s="13"/>
      <c r="EF100" s="13" t="s">
        <v>84</v>
      </c>
      <c r="EG100" s="13" t="s">
        <v>82</v>
      </c>
      <c r="EH100" s="13" t="s">
        <v>82</v>
      </c>
      <c r="EI100" s="13"/>
      <c r="EJ100" s="13" t="s">
        <v>2345</v>
      </c>
      <c r="EK100" s="13" t="s">
        <v>2346</v>
      </c>
      <c r="EL100" s="13"/>
      <c r="EM100" s="9">
        <v>620.78</v>
      </c>
      <c r="EN100" s="9">
        <v>18.82</v>
      </c>
      <c r="EO100" s="9"/>
      <c r="EP100" s="9"/>
      <c r="EQ100" s="9">
        <v>62.33</v>
      </c>
      <c r="ER100" s="9"/>
      <c r="ES100" s="9"/>
      <c r="ET100" s="9"/>
      <c r="EU100" s="9"/>
      <c r="EV100" s="9"/>
      <c r="EW100" s="9">
        <v>29.39</v>
      </c>
      <c r="EX100" s="9"/>
      <c r="EY100" s="9"/>
      <c r="EZ100" s="9"/>
      <c r="FA100" s="9"/>
      <c r="FB100" s="9"/>
      <c r="FC100" s="9"/>
      <c r="FD100" s="9"/>
      <c r="FE100" s="9"/>
      <c r="FF100" s="9">
        <v>125.98</v>
      </c>
      <c r="FG100" s="9"/>
      <c r="FH100" s="9"/>
      <c r="FI100" s="9"/>
      <c r="FJ100" s="9">
        <v>28.58</v>
      </c>
      <c r="FK100" s="9"/>
      <c r="FL100" s="9"/>
      <c r="FM100" s="9"/>
      <c r="FN100" s="9"/>
      <c r="FO100" s="9"/>
      <c r="FP100" s="9">
        <v>37.61</v>
      </c>
      <c r="FQ100" s="9"/>
      <c r="FR100" s="9"/>
      <c r="FS100" s="9"/>
      <c r="FT100" s="9"/>
      <c r="FU100" s="9"/>
      <c r="FV100" s="9">
        <v>56.28</v>
      </c>
      <c r="FW100" s="9"/>
      <c r="FX100" s="9"/>
      <c r="FY100" s="9"/>
      <c r="FZ100" s="9"/>
      <c r="GA100" s="9"/>
      <c r="GB100" s="9"/>
      <c r="GC100" s="9">
        <v>134.34</v>
      </c>
      <c r="GD100" s="9"/>
      <c r="GE100" s="9"/>
      <c r="GF100" s="9"/>
      <c r="GG100" s="9"/>
      <c r="GH100" s="9"/>
      <c r="GI100" s="9"/>
      <c r="GJ100" s="9"/>
      <c r="GK100" s="9"/>
      <c r="GL100" s="9"/>
      <c r="GM100" s="9"/>
      <c r="GN100" s="9"/>
      <c r="GO100" s="9"/>
      <c r="GP100" s="9"/>
      <c r="GQ100" s="9"/>
      <c r="GR100" s="9"/>
      <c r="GS100" s="9"/>
      <c r="GT100" s="9">
        <v>12.52</v>
      </c>
      <c r="GU100" s="9"/>
      <c r="GV100" s="9"/>
      <c r="GW100" s="9"/>
      <c r="GX100" s="9">
        <v>27.82</v>
      </c>
      <c r="GY100" s="9"/>
      <c r="GZ100" s="9"/>
      <c r="HA100" s="9"/>
      <c r="HB100" s="9">
        <v>87.11</v>
      </c>
      <c r="HC100" s="9"/>
      <c r="HD100" s="9"/>
      <c r="HE100" s="9"/>
      <c r="HF100" s="9"/>
      <c r="HG100" s="9"/>
      <c r="HH100" s="9"/>
      <c r="HI100" s="9"/>
      <c r="HJ100" s="9"/>
      <c r="HK100" s="9"/>
      <c r="HL100" s="9"/>
      <c r="HM100" s="9"/>
      <c r="HN100" s="9"/>
      <c r="HO100" s="9"/>
      <c r="HP100" s="9"/>
      <c r="HQ100" s="62">
        <f t="shared" si="9"/>
        <v>620.78</v>
      </c>
      <c r="HR100" s="62">
        <f t="shared" si="8"/>
        <v>10.346333333333332</v>
      </c>
    </row>
    <row r="101" spans="1:226" ht="12.95" customHeight="1" x14ac:dyDescent="0.2">
      <c r="A101" s="11">
        <v>160</v>
      </c>
      <c r="B101" s="9">
        <v>145</v>
      </c>
      <c r="C101" s="9" t="s">
        <v>83</v>
      </c>
      <c r="D101" s="9">
        <v>11</v>
      </c>
      <c r="E101" s="9" t="s">
        <v>79</v>
      </c>
      <c r="F101" s="9">
        <v>1177399325</v>
      </c>
      <c r="G101" s="9" t="s">
        <v>81</v>
      </c>
      <c r="H101" s="9" t="s">
        <v>84</v>
      </c>
      <c r="I101" s="13" t="s">
        <v>363</v>
      </c>
      <c r="J101" s="13"/>
      <c r="M101" s="13" t="s">
        <v>1319</v>
      </c>
      <c r="N101" s="13" t="s">
        <v>106</v>
      </c>
      <c r="O101" s="13"/>
      <c r="P101" s="13" t="s">
        <v>87</v>
      </c>
      <c r="Q101" s="13" t="s">
        <v>1358</v>
      </c>
      <c r="S101" s="13" t="s">
        <v>84</v>
      </c>
      <c r="T101" s="13" t="s">
        <v>84</v>
      </c>
      <c r="U101" s="13" t="s">
        <v>84</v>
      </c>
      <c r="V101" s="13" t="s">
        <v>82</v>
      </c>
      <c r="W101" s="13" t="s">
        <v>82</v>
      </c>
      <c r="X101" s="13" t="s">
        <v>82</v>
      </c>
      <c r="Y101" s="13" t="s">
        <v>82</v>
      </c>
      <c r="Z101" s="13" t="s">
        <v>82</v>
      </c>
      <c r="AA101" s="13"/>
      <c r="AB101" s="13" t="s">
        <v>84</v>
      </c>
      <c r="AC101" s="13" t="s">
        <v>2050</v>
      </c>
      <c r="AD101" s="13" t="s">
        <v>82</v>
      </c>
      <c r="AE101" s="13"/>
      <c r="AF101" s="13"/>
      <c r="AG101" s="13" t="s">
        <v>84</v>
      </c>
      <c r="AH101" s="13"/>
      <c r="AI101" s="13" t="s">
        <v>84</v>
      </c>
      <c r="AJ101" s="13"/>
      <c r="AK101" s="13" t="s">
        <v>2051</v>
      </c>
      <c r="AL101" s="13" t="s">
        <v>126</v>
      </c>
      <c r="AM101" s="13" t="s">
        <v>91</v>
      </c>
      <c r="AN101" s="13"/>
      <c r="AO101" s="13" t="s">
        <v>80</v>
      </c>
      <c r="AQ101" s="13" t="s">
        <v>80</v>
      </c>
      <c r="AR101" s="13" t="s">
        <v>80</v>
      </c>
      <c r="AS101" s="13" t="s">
        <v>80</v>
      </c>
      <c r="AT101" s="13" t="s">
        <v>80</v>
      </c>
      <c r="AU101" s="13"/>
      <c r="AW101" s="13" t="s">
        <v>84</v>
      </c>
      <c r="AX101" s="13" t="s">
        <v>84</v>
      </c>
      <c r="AY101" s="13" t="s">
        <v>84</v>
      </c>
      <c r="AZ101" s="13" t="s">
        <v>84</v>
      </c>
      <c r="BA101" s="13"/>
      <c r="BB101" s="13" t="s">
        <v>84</v>
      </c>
      <c r="BC101" s="13" t="s">
        <v>80</v>
      </c>
      <c r="BD101" s="13" t="s">
        <v>93</v>
      </c>
      <c r="BE101" s="13" t="s">
        <v>100</v>
      </c>
      <c r="BF101" s="13" t="s">
        <v>93</v>
      </c>
      <c r="BG101" s="13" t="s">
        <v>84</v>
      </c>
      <c r="BH101" s="13" t="s">
        <v>84</v>
      </c>
      <c r="BI101" s="13" t="s">
        <v>2138</v>
      </c>
      <c r="BJ101" s="13" t="s">
        <v>84</v>
      </c>
      <c r="BK101" s="13" t="s">
        <v>80</v>
      </c>
      <c r="BL101" s="13">
        <v>3</v>
      </c>
      <c r="BM101" s="13">
        <v>1</v>
      </c>
      <c r="BN101" s="13">
        <v>3</v>
      </c>
      <c r="BO101" s="13">
        <v>1</v>
      </c>
      <c r="BP101" s="13">
        <v>3</v>
      </c>
      <c r="BQ101" s="13">
        <v>1</v>
      </c>
      <c r="BS101" s="13" t="s">
        <v>118</v>
      </c>
      <c r="BT101" s="13"/>
      <c r="BU101" s="13"/>
      <c r="BV101" s="13"/>
      <c r="BX101" s="13" t="s">
        <v>84</v>
      </c>
      <c r="BY101" s="13" t="s">
        <v>2181</v>
      </c>
      <c r="BZ101" s="13" t="s">
        <v>82</v>
      </c>
      <c r="CA101" s="13"/>
      <c r="CB101" s="13" t="s">
        <v>82</v>
      </c>
      <c r="CC101" s="13"/>
      <c r="CD101" s="13" t="s">
        <v>82</v>
      </c>
      <c r="CE101" s="13"/>
      <c r="CF101" s="13"/>
      <c r="CG101" s="13"/>
      <c r="CI101" s="13" t="s">
        <v>82</v>
      </c>
      <c r="CJ101" s="13"/>
      <c r="CK101" s="13" t="s">
        <v>84</v>
      </c>
      <c r="CL101" s="13"/>
      <c r="CM101" s="13" t="s">
        <v>84</v>
      </c>
      <c r="CN101" s="13"/>
      <c r="CO101" s="13"/>
      <c r="CP101" s="13"/>
      <c r="CQ101" s="13" t="s">
        <v>97</v>
      </c>
      <c r="CR101" s="13" t="s">
        <v>84</v>
      </c>
      <c r="CS101" s="13" t="s">
        <v>97</v>
      </c>
      <c r="CT101" s="13"/>
      <c r="CU101" s="13" t="s">
        <v>81</v>
      </c>
      <c r="CV101" s="13" t="s">
        <v>2225</v>
      </c>
      <c r="CW101" s="13" t="s">
        <v>82</v>
      </c>
      <c r="CX101" s="13"/>
      <c r="CY101" s="13" t="s">
        <v>81</v>
      </c>
      <c r="CZ101" s="13"/>
      <c r="DA101" s="13" t="s">
        <v>82</v>
      </c>
      <c r="DB101" s="13"/>
      <c r="DC101" s="13" t="s">
        <v>82</v>
      </c>
      <c r="DD101" s="13" t="s">
        <v>82</v>
      </c>
      <c r="DG101" s="13">
        <v>1</v>
      </c>
      <c r="DH101" s="13">
        <v>1</v>
      </c>
      <c r="DI101" s="13">
        <v>3</v>
      </c>
      <c r="DJ101" s="13">
        <v>1</v>
      </c>
      <c r="DK101" s="13">
        <v>3</v>
      </c>
      <c r="DL101" s="13">
        <v>1</v>
      </c>
      <c r="DM101" s="13">
        <v>3</v>
      </c>
      <c r="DN101" s="13">
        <v>1</v>
      </c>
      <c r="DO101" s="13">
        <v>3</v>
      </c>
      <c r="DP101" s="13">
        <v>1</v>
      </c>
      <c r="DQ101" s="13">
        <v>3</v>
      </c>
      <c r="DR101" s="13">
        <v>1</v>
      </c>
      <c r="DS101" s="13" t="s">
        <v>97</v>
      </c>
      <c r="DT101" s="13" t="s">
        <v>106</v>
      </c>
      <c r="DU101" s="13"/>
      <c r="DV101" s="13" t="s">
        <v>84</v>
      </c>
      <c r="DW101" s="13" t="s">
        <v>100</v>
      </c>
      <c r="DX101" s="13" t="s">
        <v>81</v>
      </c>
      <c r="DY101" s="13" t="s">
        <v>2347</v>
      </c>
      <c r="DZ101" s="13" t="s">
        <v>100</v>
      </c>
      <c r="EA101" s="13"/>
      <c r="EB101" s="13" t="s">
        <v>82</v>
      </c>
      <c r="EC101" s="13"/>
      <c r="ED101" s="13" t="s">
        <v>81</v>
      </c>
      <c r="EE101" s="13" t="s">
        <v>2348</v>
      </c>
      <c r="EF101" s="13" t="s">
        <v>82</v>
      </c>
      <c r="EG101" s="13" t="s">
        <v>82</v>
      </c>
      <c r="EH101" s="13" t="s">
        <v>82</v>
      </c>
      <c r="EI101" s="13"/>
      <c r="EJ101" s="13" t="s">
        <v>2349</v>
      </c>
      <c r="EK101" s="13" t="s">
        <v>2350</v>
      </c>
      <c r="EL101" s="13" t="s">
        <v>2351</v>
      </c>
      <c r="EM101" s="9">
        <v>1722.06</v>
      </c>
      <c r="EN101" s="9">
        <v>15.56</v>
      </c>
      <c r="EO101" s="9"/>
      <c r="EP101" s="9"/>
      <c r="EQ101" s="9">
        <v>60.27</v>
      </c>
      <c r="ER101" s="9"/>
      <c r="ES101" s="9"/>
      <c r="ET101" s="9"/>
      <c r="EU101" s="9"/>
      <c r="EV101" s="9"/>
      <c r="EW101" s="9">
        <v>85.79</v>
      </c>
      <c r="EX101" s="9"/>
      <c r="EY101" s="9"/>
      <c r="EZ101" s="9"/>
      <c r="FA101" s="9"/>
      <c r="FB101" s="9"/>
      <c r="FC101" s="9"/>
      <c r="FD101" s="9"/>
      <c r="FE101" s="9"/>
      <c r="FF101" s="9">
        <v>217.2</v>
      </c>
      <c r="FG101" s="9"/>
      <c r="FH101" s="9"/>
      <c r="FI101" s="9"/>
      <c r="FJ101" s="9">
        <v>40</v>
      </c>
      <c r="FK101" s="9"/>
      <c r="FL101" s="9"/>
      <c r="FM101" s="9"/>
      <c r="FN101" s="9"/>
      <c r="FO101" s="9"/>
      <c r="FP101" s="9">
        <v>76.53</v>
      </c>
      <c r="FQ101" s="9"/>
      <c r="FR101" s="9"/>
      <c r="FS101" s="9"/>
      <c r="FT101" s="9"/>
      <c r="FU101" s="9"/>
      <c r="FV101" s="9">
        <v>135.76</v>
      </c>
      <c r="FW101" s="9"/>
      <c r="FX101" s="9"/>
      <c r="FY101" s="9"/>
      <c r="FZ101" s="9"/>
      <c r="GA101" s="9"/>
      <c r="GB101" s="9"/>
      <c r="GC101" s="9">
        <v>404.56</v>
      </c>
      <c r="GD101" s="9"/>
      <c r="GE101" s="9"/>
      <c r="GF101" s="9"/>
      <c r="GG101" s="9"/>
      <c r="GH101" s="9"/>
      <c r="GI101" s="9"/>
      <c r="GJ101" s="9"/>
      <c r="GK101" s="9"/>
      <c r="GL101" s="9"/>
      <c r="GM101" s="9"/>
      <c r="GN101" s="9"/>
      <c r="GO101" s="9"/>
      <c r="GP101" s="9"/>
      <c r="GQ101" s="9"/>
      <c r="GR101" s="9"/>
      <c r="GS101" s="9"/>
      <c r="GT101" s="9">
        <v>15.03</v>
      </c>
      <c r="GU101" s="9"/>
      <c r="GV101" s="9"/>
      <c r="GW101" s="9"/>
      <c r="GX101" s="9">
        <v>216.23</v>
      </c>
      <c r="GY101" s="9"/>
      <c r="GZ101" s="9"/>
      <c r="HA101" s="9"/>
      <c r="HB101" s="9">
        <v>455.13</v>
      </c>
      <c r="HC101" s="9"/>
      <c r="HD101" s="9"/>
      <c r="HE101" s="9"/>
      <c r="HF101" s="9"/>
      <c r="HG101" s="9"/>
      <c r="HH101" s="9"/>
      <c r="HI101" s="9"/>
      <c r="HJ101" s="9"/>
      <c r="HK101" s="9"/>
      <c r="HL101" s="9"/>
      <c r="HM101" s="9"/>
      <c r="HN101" s="9"/>
      <c r="HO101" s="9"/>
      <c r="HP101" s="9"/>
      <c r="HQ101" s="62">
        <f t="shared" si="9"/>
        <v>1722.06</v>
      </c>
      <c r="HR101" s="62">
        <f t="shared" si="8"/>
        <v>28.701000000000001</v>
      </c>
    </row>
    <row r="102" spans="1:226" ht="12.95" customHeight="1" x14ac:dyDescent="0.2">
      <c r="A102" s="11">
        <v>161</v>
      </c>
      <c r="B102" s="9">
        <v>146</v>
      </c>
      <c r="C102" s="9" t="s">
        <v>83</v>
      </c>
      <c r="D102" s="9">
        <v>11</v>
      </c>
      <c r="E102" s="9" t="s">
        <v>79</v>
      </c>
      <c r="F102" s="9">
        <v>1843623440</v>
      </c>
      <c r="G102" s="9" t="s">
        <v>81</v>
      </c>
      <c r="H102" s="9" t="s">
        <v>84</v>
      </c>
      <c r="I102" s="13" t="s">
        <v>309</v>
      </c>
      <c r="J102" s="13"/>
      <c r="M102" s="13" t="s">
        <v>1319</v>
      </c>
      <c r="N102" s="13" t="s">
        <v>106</v>
      </c>
      <c r="O102" s="13"/>
      <c r="P102" s="13" t="s">
        <v>290</v>
      </c>
      <c r="Q102" s="13" t="s">
        <v>1358</v>
      </c>
      <c r="S102" s="13" t="s">
        <v>84</v>
      </c>
      <c r="T102" s="13" t="s">
        <v>84</v>
      </c>
      <c r="U102" s="13" t="s">
        <v>82</v>
      </c>
      <c r="V102" s="13" t="s">
        <v>82</v>
      </c>
      <c r="W102" s="13" t="s">
        <v>82</v>
      </c>
      <c r="X102" s="13" t="s">
        <v>82</v>
      </c>
      <c r="Y102" s="13" t="s">
        <v>84</v>
      </c>
      <c r="Z102" s="13" t="s">
        <v>84</v>
      </c>
      <c r="AA102" s="13"/>
      <c r="AB102" s="13" t="s">
        <v>84</v>
      </c>
      <c r="AC102" s="13" t="s">
        <v>2052</v>
      </c>
      <c r="AD102" s="13" t="s">
        <v>82</v>
      </c>
      <c r="AE102" s="13"/>
      <c r="AF102" s="13"/>
      <c r="AG102" s="13" t="s">
        <v>84</v>
      </c>
      <c r="AH102" s="13" t="s">
        <v>2053</v>
      </c>
      <c r="AI102" s="13" t="s">
        <v>84</v>
      </c>
      <c r="AJ102" s="13"/>
      <c r="AK102" s="13" t="s">
        <v>2054</v>
      </c>
      <c r="AL102" s="13" t="s">
        <v>126</v>
      </c>
      <c r="AM102" s="13" t="s">
        <v>111</v>
      </c>
      <c r="AN102" s="13"/>
      <c r="AO102" s="13" t="s">
        <v>80</v>
      </c>
      <c r="AQ102" s="13" t="s">
        <v>84</v>
      </c>
      <c r="AR102" s="13" t="s">
        <v>82</v>
      </c>
      <c r="AS102" s="13" t="s">
        <v>82</v>
      </c>
      <c r="AT102" s="13" t="s">
        <v>84</v>
      </c>
      <c r="AU102" s="13"/>
      <c r="AW102" s="13" t="s">
        <v>80</v>
      </c>
      <c r="AX102" s="13" t="s">
        <v>80</v>
      </c>
      <c r="AY102" s="13" t="s">
        <v>80</v>
      </c>
      <c r="AZ102" s="13" t="s">
        <v>80</v>
      </c>
      <c r="BA102" s="13"/>
      <c r="BB102" s="13" t="s">
        <v>84</v>
      </c>
      <c r="BC102" s="13" t="s">
        <v>80</v>
      </c>
      <c r="BD102" s="13" t="s">
        <v>100</v>
      </c>
      <c r="BE102" s="13" t="s">
        <v>113</v>
      </c>
      <c r="BF102" s="13" t="s">
        <v>100</v>
      </c>
      <c r="BG102" s="13" t="s">
        <v>84</v>
      </c>
      <c r="BH102" s="13" t="s">
        <v>84</v>
      </c>
      <c r="BI102" s="13" t="s">
        <v>2139</v>
      </c>
      <c r="BJ102" s="13" t="s">
        <v>84</v>
      </c>
      <c r="BK102" s="13" t="s">
        <v>80</v>
      </c>
      <c r="BL102" s="13">
        <v>2</v>
      </c>
      <c r="BM102" s="13">
        <v>2</v>
      </c>
      <c r="BN102" s="13">
        <v>4</v>
      </c>
      <c r="BO102" s="13">
        <v>4</v>
      </c>
      <c r="BP102" s="13">
        <v>2</v>
      </c>
      <c r="BQ102" s="13">
        <v>2</v>
      </c>
      <c r="BS102" s="13" t="s">
        <v>97</v>
      </c>
      <c r="BT102" s="13"/>
      <c r="BU102" s="13" t="s">
        <v>246</v>
      </c>
      <c r="BV102" s="13" t="s">
        <v>2167</v>
      </c>
      <c r="BX102" s="13" t="s">
        <v>80</v>
      </c>
      <c r="BY102" s="13"/>
      <c r="BZ102" s="13" t="s">
        <v>80</v>
      </c>
      <c r="CA102" s="13"/>
      <c r="CB102" s="13" t="s">
        <v>80</v>
      </c>
      <c r="CC102" s="13"/>
      <c r="CD102" s="13" t="s">
        <v>80</v>
      </c>
      <c r="CE102" s="13"/>
      <c r="CF102" s="13"/>
      <c r="CG102" s="13"/>
      <c r="CI102" s="13" t="s">
        <v>84</v>
      </c>
      <c r="CJ102" s="13" t="s">
        <v>1456</v>
      </c>
      <c r="CK102" s="13" t="s">
        <v>82</v>
      </c>
      <c r="CL102" s="13"/>
      <c r="CM102" s="13" t="s">
        <v>82</v>
      </c>
      <c r="CN102" s="13"/>
      <c r="CO102" s="13"/>
      <c r="CP102" s="13"/>
      <c r="CQ102" s="13" t="s">
        <v>118</v>
      </c>
      <c r="CR102" s="13" t="s">
        <v>84</v>
      </c>
      <c r="CS102" s="13" t="s">
        <v>702</v>
      </c>
      <c r="CT102" s="13" t="s">
        <v>2226</v>
      </c>
      <c r="CU102" s="13"/>
      <c r="CV102" s="13"/>
      <c r="CW102" s="13" t="s">
        <v>82</v>
      </c>
      <c r="CX102" s="13"/>
      <c r="CY102" s="13" t="s">
        <v>246</v>
      </c>
      <c r="CZ102" s="13" t="s">
        <v>2227</v>
      </c>
      <c r="DA102" s="13" t="s">
        <v>82</v>
      </c>
      <c r="DB102" s="13"/>
      <c r="DC102" s="13" t="s">
        <v>84</v>
      </c>
      <c r="DD102" s="13" t="s">
        <v>84</v>
      </c>
      <c r="DG102" s="13">
        <v>4</v>
      </c>
      <c r="DH102" s="13">
        <v>4</v>
      </c>
      <c r="DI102" s="13">
        <v>1</v>
      </c>
      <c r="DJ102" s="13">
        <v>4</v>
      </c>
      <c r="DK102" s="13">
        <v>2</v>
      </c>
      <c r="DL102" s="13">
        <v>4</v>
      </c>
      <c r="DM102" s="13">
        <v>2</v>
      </c>
      <c r="DN102" s="13">
        <v>4</v>
      </c>
      <c r="DO102" s="13">
        <v>3</v>
      </c>
      <c r="DP102" s="13">
        <v>4</v>
      </c>
      <c r="DQ102" s="13">
        <v>4</v>
      </c>
      <c r="DR102" s="13">
        <v>3</v>
      </c>
      <c r="DS102" s="13" t="s">
        <v>99</v>
      </c>
      <c r="DT102" s="13" t="s">
        <v>84</v>
      </c>
      <c r="DU102" s="13"/>
      <c r="DV102" s="13" t="s">
        <v>84</v>
      </c>
      <c r="DW102" s="13" t="s">
        <v>100</v>
      </c>
      <c r="DX102" s="13" t="s">
        <v>81</v>
      </c>
      <c r="DY102" s="13" t="s">
        <v>2352</v>
      </c>
      <c r="DZ102" s="13" t="s">
        <v>113</v>
      </c>
      <c r="EA102" s="13"/>
      <c r="EB102" s="13" t="s">
        <v>82</v>
      </c>
      <c r="EC102" s="13"/>
      <c r="ED102" s="13" t="s">
        <v>246</v>
      </c>
      <c r="EE102" s="13" t="s">
        <v>2353</v>
      </c>
      <c r="EF102" s="13" t="s">
        <v>82</v>
      </c>
      <c r="EG102" s="13" t="s">
        <v>84</v>
      </c>
      <c r="EH102" s="13" t="s">
        <v>84</v>
      </c>
      <c r="EI102" s="13" t="s">
        <v>2354</v>
      </c>
      <c r="EJ102" s="13" t="s">
        <v>2355</v>
      </c>
      <c r="EK102" s="13" t="s">
        <v>2356</v>
      </c>
      <c r="EL102" s="13" t="s">
        <v>2357</v>
      </c>
      <c r="EM102" s="9">
        <v>897.8</v>
      </c>
      <c r="EN102" s="9">
        <v>67.540000000000006</v>
      </c>
      <c r="EO102" s="9"/>
      <c r="EP102" s="9"/>
      <c r="EQ102" s="9">
        <v>82.98</v>
      </c>
      <c r="ER102" s="9"/>
      <c r="ES102" s="9"/>
      <c r="ET102" s="9"/>
      <c r="EU102" s="9"/>
      <c r="EV102" s="9"/>
      <c r="EW102" s="9">
        <v>111.42</v>
      </c>
      <c r="EX102" s="9"/>
      <c r="EY102" s="9"/>
      <c r="EZ102" s="9"/>
      <c r="FA102" s="9"/>
      <c r="FB102" s="9"/>
      <c r="FC102" s="9"/>
      <c r="FD102" s="9"/>
      <c r="FE102" s="9"/>
      <c r="FF102" s="9">
        <v>46.67</v>
      </c>
      <c r="FG102" s="9"/>
      <c r="FH102" s="9"/>
      <c r="FI102" s="9"/>
      <c r="FJ102" s="9">
        <v>15.08</v>
      </c>
      <c r="FK102" s="9"/>
      <c r="FL102" s="9"/>
      <c r="FM102" s="9"/>
      <c r="FN102" s="9"/>
      <c r="FO102" s="9"/>
      <c r="FP102" s="9">
        <v>26.31</v>
      </c>
      <c r="FQ102" s="9"/>
      <c r="FR102" s="9"/>
      <c r="FS102" s="9"/>
      <c r="FT102" s="9"/>
      <c r="FU102" s="9"/>
      <c r="FV102" s="9">
        <v>100.68</v>
      </c>
      <c r="FW102" s="9"/>
      <c r="FX102" s="9"/>
      <c r="FY102" s="9"/>
      <c r="FZ102" s="9"/>
      <c r="GA102" s="9"/>
      <c r="GB102" s="9"/>
      <c r="GC102" s="9">
        <v>209.31</v>
      </c>
      <c r="GD102" s="9"/>
      <c r="GE102" s="9"/>
      <c r="GF102" s="9"/>
      <c r="GG102" s="9"/>
      <c r="GH102" s="9"/>
      <c r="GI102" s="9"/>
      <c r="GJ102" s="9"/>
      <c r="GK102" s="9"/>
      <c r="GL102" s="9"/>
      <c r="GM102" s="9"/>
      <c r="GN102" s="9"/>
      <c r="GO102" s="9"/>
      <c r="GP102" s="9"/>
      <c r="GQ102" s="9"/>
      <c r="GR102" s="9"/>
      <c r="GS102" s="9"/>
      <c r="GT102" s="9">
        <v>19.62</v>
      </c>
      <c r="GU102" s="9"/>
      <c r="GV102" s="9"/>
      <c r="GW102" s="9"/>
      <c r="GX102" s="9">
        <v>40.36</v>
      </c>
      <c r="GY102" s="9"/>
      <c r="GZ102" s="9"/>
      <c r="HA102" s="9"/>
      <c r="HB102" s="9">
        <v>177.83</v>
      </c>
      <c r="HC102" s="9"/>
      <c r="HD102" s="9"/>
      <c r="HE102" s="9"/>
      <c r="HF102" s="9"/>
      <c r="HG102" s="9"/>
      <c r="HH102" s="9"/>
      <c r="HI102" s="9"/>
      <c r="HJ102" s="9"/>
      <c r="HK102" s="9"/>
      <c r="HL102" s="9"/>
      <c r="HM102" s="9"/>
      <c r="HN102" s="9"/>
      <c r="HO102" s="9"/>
      <c r="HP102" s="9"/>
      <c r="HQ102" s="62">
        <f t="shared" si="9"/>
        <v>897.8</v>
      </c>
      <c r="HR102" s="62">
        <f t="shared" si="8"/>
        <v>14.963333333333333</v>
      </c>
    </row>
    <row r="103" spans="1:226" ht="12.95" customHeight="1" x14ac:dyDescent="0.2">
      <c r="A103" s="11">
        <v>162</v>
      </c>
      <c r="B103" s="9">
        <v>147</v>
      </c>
      <c r="C103" s="9" t="s">
        <v>83</v>
      </c>
      <c r="D103" s="9">
        <v>11</v>
      </c>
      <c r="E103" s="9" t="s">
        <v>79</v>
      </c>
      <c r="F103" s="9">
        <v>1746146774</v>
      </c>
      <c r="G103" s="9" t="s">
        <v>81</v>
      </c>
      <c r="H103" s="9" t="s">
        <v>84</v>
      </c>
      <c r="I103" s="13" t="s">
        <v>119</v>
      </c>
      <c r="J103" s="13" t="s">
        <v>2003</v>
      </c>
      <c r="M103" s="13" t="s">
        <v>1294</v>
      </c>
      <c r="N103" s="13" t="s">
        <v>138</v>
      </c>
      <c r="O103" s="13"/>
      <c r="P103" s="13" t="s">
        <v>253</v>
      </c>
      <c r="Q103" s="13" t="s">
        <v>1296</v>
      </c>
      <c r="S103" s="13" t="s">
        <v>84</v>
      </c>
      <c r="T103" s="13" t="s">
        <v>84</v>
      </c>
      <c r="U103" s="13" t="s">
        <v>84</v>
      </c>
      <c r="V103" s="13" t="s">
        <v>84</v>
      </c>
      <c r="W103" s="13" t="s">
        <v>82</v>
      </c>
      <c r="X103" s="13" t="s">
        <v>82</v>
      </c>
      <c r="Y103" s="13" t="s">
        <v>82</v>
      </c>
      <c r="Z103" s="13" t="s">
        <v>84</v>
      </c>
      <c r="AA103" s="13"/>
      <c r="AB103" s="13" t="s">
        <v>84</v>
      </c>
      <c r="AC103" s="13" t="s">
        <v>2055</v>
      </c>
      <c r="AD103" s="13" t="s">
        <v>82</v>
      </c>
      <c r="AE103" s="13"/>
      <c r="AF103" s="13"/>
      <c r="AG103" s="13" t="s">
        <v>84</v>
      </c>
      <c r="AH103" s="13" t="s">
        <v>2056</v>
      </c>
      <c r="AI103" s="13" t="s">
        <v>82</v>
      </c>
      <c r="AJ103" s="13"/>
      <c r="AK103" s="13"/>
      <c r="AL103" s="13" t="s">
        <v>140</v>
      </c>
      <c r="AM103" s="13" t="s">
        <v>111</v>
      </c>
      <c r="AN103" s="13"/>
      <c r="AO103" s="13" t="s">
        <v>80</v>
      </c>
      <c r="AQ103" s="13" t="s">
        <v>84</v>
      </c>
      <c r="AR103" s="13" t="s">
        <v>84</v>
      </c>
      <c r="AS103" s="13" t="s">
        <v>84</v>
      </c>
      <c r="AT103" s="13" t="s">
        <v>84</v>
      </c>
      <c r="AU103" s="13"/>
      <c r="AW103" s="13" t="s">
        <v>80</v>
      </c>
      <c r="AX103" s="13" t="s">
        <v>80</v>
      </c>
      <c r="AY103" s="13" t="s">
        <v>80</v>
      </c>
      <c r="AZ103" s="13" t="s">
        <v>80</v>
      </c>
      <c r="BA103" s="13"/>
      <c r="BB103" s="13" t="s">
        <v>84</v>
      </c>
      <c r="BC103" s="13" t="s">
        <v>80</v>
      </c>
      <c r="BD103" s="13" t="s">
        <v>100</v>
      </c>
      <c r="BE103" s="13" t="s">
        <v>113</v>
      </c>
      <c r="BF103" s="13" t="s">
        <v>100</v>
      </c>
      <c r="BG103" s="13" t="s">
        <v>84</v>
      </c>
      <c r="BH103" s="13" t="s">
        <v>84</v>
      </c>
      <c r="BI103" s="13" t="s">
        <v>2140</v>
      </c>
      <c r="BJ103" s="13" t="s">
        <v>84</v>
      </c>
      <c r="BK103" s="13" t="s">
        <v>80</v>
      </c>
      <c r="BL103" s="13">
        <v>3</v>
      </c>
      <c r="BM103" s="13">
        <v>1</v>
      </c>
      <c r="BN103" s="13">
        <v>3</v>
      </c>
      <c r="BO103" s="13">
        <v>1</v>
      </c>
      <c r="BP103" s="13">
        <v>1</v>
      </c>
      <c r="BQ103" s="13">
        <v>1</v>
      </c>
      <c r="BS103" s="13" t="s">
        <v>118</v>
      </c>
      <c r="BT103" s="13"/>
      <c r="BU103" s="13"/>
      <c r="BV103" s="13"/>
      <c r="BX103" s="13" t="s">
        <v>82</v>
      </c>
      <c r="BY103" s="13"/>
      <c r="BZ103" s="13" t="s">
        <v>84</v>
      </c>
      <c r="CA103" s="13"/>
      <c r="CB103" s="13" t="s">
        <v>82</v>
      </c>
      <c r="CC103" s="13"/>
      <c r="CD103" s="13" t="s">
        <v>82</v>
      </c>
      <c r="CE103" s="13"/>
      <c r="CF103" s="13"/>
      <c r="CG103" s="13"/>
      <c r="CI103" s="13" t="s">
        <v>84</v>
      </c>
      <c r="CJ103" s="13"/>
      <c r="CK103" s="13" t="s">
        <v>82</v>
      </c>
      <c r="CL103" s="13"/>
      <c r="CM103" s="13" t="s">
        <v>82</v>
      </c>
      <c r="CN103" s="13"/>
      <c r="CO103" s="13"/>
      <c r="CP103" s="13"/>
      <c r="CQ103" s="13" t="s">
        <v>99</v>
      </c>
      <c r="CR103" s="13" t="s">
        <v>80</v>
      </c>
      <c r="CS103" s="13"/>
      <c r="CT103" s="13"/>
      <c r="CU103" s="13"/>
      <c r="CV103" s="13"/>
      <c r="CW103" s="13" t="s">
        <v>82</v>
      </c>
      <c r="CX103" s="13"/>
      <c r="CY103" s="13" t="s">
        <v>81</v>
      </c>
      <c r="CZ103" s="13"/>
      <c r="DA103" s="13" t="s">
        <v>82</v>
      </c>
      <c r="DB103" s="13"/>
      <c r="DC103" s="13" t="s">
        <v>84</v>
      </c>
      <c r="DD103" s="13" t="s">
        <v>84</v>
      </c>
      <c r="DG103" s="13">
        <v>4</v>
      </c>
      <c r="DH103" s="13">
        <v>1</v>
      </c>
      <c r="DI103" s="13">
        <v>5</v>
      </c>
      <c r="DJ103" s="13">
        <v>1</v>
      </c>
      <c r="DK103" s="13">
        <v>5</v>
      </c>
      <c r="DL103" s="13">
        <v>1</v>
      </c>
      <c r="DM103" s="13">
        <v>2</v>
      </c>
      <c r="DN103" s="13">
        <v>1</v>
      </c>
      <c r="DO103" s="13">
        <v>4</v>
      </c>
      <c r="DP103" s="13">
        <v>1</v>
      </c>
      <c r="DQ103" s="13">
        <v>4</v>
      </c>
      <c r="DR103" s="13">
        <v>1</v>
      </c>
      <c r="DS103" s="13" t="s">
        <v>99</v>
      </c>
      <c r="DT103" s="13" t="s">
        <v>82</v>
      </c>
      <c r="DU103" s="13" t="s">
        <v>2358</v>
      </c>
      <c r="DV103" s="13" t="s">
        <v>84</v>
      </c>
      <c r="DW103" s="13" t="s">
        <v>113</v>
      </c>
      <c r="DX103" s="13" t="s">
        <v>81</v>
      </c>
      <c r="DY103" s="13" t="s">
        <v>2359</v>
      </c>
      <c r="DZ103" s="13" t="s">
        <v>113</v>
      </c>
      <c r="EA103" s="13"/>
      <c r="EB103" s="13" t="s">
        <v>82</v>
      </c>
      <c r="EC103" s="13"/>
      <c r="ED103" s="13" t="s">
        <v>81</v>
      </c>
      <c r="EE103" s="13" t="s">
        <v>2360</v>
      </c>
      <c r="EF103" s="13" t="s">
        <v>82</v>
      </c>
      <c r="EG103" s="13" t="s">
        <v>82</v>
      </c>
      <c r="EH103" s="13" t="s">
        <v>84</v>
      </c>
      <c r="EI103" s="13" t="s">
        <v>2361</v>
      </c>
      <c r="EJ103" s="13" t="s">
        <v>2362</v>
      </c>
      <c r="EK103" s="13" t="s">
        <v>2363</v>
      </c>
      <c r="EL103" s="13" t="s">
        <v>2364</v>
      </c>
      <c r="EM103" s="9">
        <v>1202.3499999999999</v>
      </c>
      <c r="EN103" s="9">
        <v>23.49</v>
      </c>
      <c r="EO103" s="9"/>
      <c r="EP103" s="9"/>
      <c r="EQ103" s="9">
        <v>106.57</v>
      </c>
      <c r="ER103" s="9"/>
      <c r="ES103" s="9"/>
      <c r="ET103" s="9"/>
      <c r="EU103" s="9"/>
      <c r="EV103" s="9"/>
      <c r="EW103" s="9">
        <v>242.85</v>
      </c>
      <c r="EX103" s="9"/>
      <c r="EY103" s="9"/>
      <c r="EZ103" s="9"/>
      <c r="FA103" s="9"/>
      <c r="FB103" s="9"/>
      <c r="FC103" s="9"/>
      <c r="FD103" s="9"/>
      <c r="FE103" s="9"/>
      <c r="FF103" s="9">
        <v>22.7</v>
      </c>
      <c r="FG103" s="9"/>
      <c r="FH103" s="9"/>
      <c r="FI103" s="9"/>
      <c r="FJ103" s="9">
        <v>30.4</v>
      </c>
      <c r="FK103" s="9"/>
      <c r="FL103" s="9"/>
      <c r="FM103" s="9"/>
      <c r="FN103" s="9"/>
      <c r="FO103" s="9"/>
      <c r="FP103" s="9">
        <v>73.010000000000005</v>
      </c>
      <c r="FQ103" s="9"/>
      <c r="FR103" s="9"/>
      <c r="FS103" s="9"/>
      <c r="FT103" s="9"/>
      <c r="FU103" s="9"/>
      <c r="FV103" s="9">
        <v>105.13</v>
      </c>
      <c r="FW103" s="9"/>
      <c r="FX103" s="9"/>
      <c r="FY103" s="9"/>
      <c r="FZ103" s="9"/>
      <c r="GA103" s="9"/>
      <c r="GB103" s="9"/>
      <c r="GC103" s="9">
        <v>163.98</v>
      </c>
      <c r="GD103" s="9"/>
      <c r="GE103" s="9"/>
      <c r="GF103" s="9"/>
      <c r="GG103" s="9"/>
      <c r="GH103" s="9"/>
      <c r="GI103" s="9"/>
      <c r="GJ103" s="9"/>
      <c r="GK103" s="9"/>
      <c r="GL103" s="9"/>
      <c r="GM103" s="9"/>
      <c r="GN103" s="9"/>
      <c r="GO103" s="9"/>
      <c r="GP103" s="9"/>
      <c r="GQ103" s="9"/>
      <c r="GR103" s="9"/>
      <c r="GS103" s="9"/>
      <c r="GT103" s="9">
        <v>84.13</v>
      </c>
      <c r="GU103" s="9"/>
      <c r="GV103" s="9"/>
      <c r="GW103" s="9"/>
      <c r="GX103" s="9">
        <v>103.45</v>
      </c>
      <c r="GY103" s="9"/>
      <c r="GZ103" s="9"/>
      <c r="HA103" s="9"/>
      <c r="HB103" s="9">
        <v>246.64</v>
      </c>
      <c r="HC103" s="9"/>
      <c r="HD103" s="9"/>
      <c r="HE103" s="9"/>
      <c r="HF103" s="9"/>
      <c r="HG103" s="9"/>
      <c r="HH103" s="9"/>
      <c r="HI103" s="9"/>
      <c r="HJ103" s="9"/>
      <c r="HK103" s="9"/>
      <c r="HL103" s="9"/>
      <c r="HM103" s="9"/>
      <c r="HN103" s="9"/>
      <c r="HO103" s="9"/>
      <c r="HP103" s="9"/>
      <c r="HQ103" s="62">
        <f t="shared" si="9"/>
        <v>1202.3499999999999</v>
      </c>
      <c r="HR103" s="62">
        <f t="shared" si="8"/>
        <v>20.039166666666667</v>
      </c>
    </row>
    <row r="104" spans="1:226" ht="12.95" customHeight="1" x14ac:dyDescent="0.2">
      <c r="A104" s="11">
        <v>163</v>
      </c>
      <c r="B104" s="9">
        <v>148</v>
      </c>
      <c r="C104" s="9" t="s">
        <v>83</v>
      </c>
      <c r="D104" s="9">
        <v>11</v>
      </c>
      <c r="E104" s="9" t="s">
        <v>79</v>
      </c>
      <c r="F104" s="9">
        <v>1908025317</v>
      </c>
      <c r="G104" s="9" t="s">
        <v>81</v>
      </c>
      <c r="H104" s="9" t="s">
        <v>84</v>
      </c>
      <c r="I104" s="13" t="s">
        <v>107</v>
      </c>
      <c r="J104" s="13"/>
      <c r="M104" s="13" t="s">
        <v>1319</v>
      </c>
      <c r="N104" s="13" t="s">
        <v>108</v>
      </c>
      <c r="O104" s="13"/>
      <c r="P104" s="13" t="s">
        <v>87</v>
      </c>
      <c r="Q104" s="13" t="s">
        <v>1296</v>
      </c>
      <c r="S104" s="13" t="s">
        <v>84</v>
      </c>
      <c r="T104" s="13" t="s">
        <v>84</v>
      </c>
      <c r="U104" s="13" t="s">
        <v>82</v>
      </c>
      <c r="V104" s="13" t="s">
        <v>84</v>
      </c>
      <c r="W104" s="13" t="s">
        <v>84</v>
      </c>
      <c r="X104" s="13" t="s">
        <v>82</v>
      </c>
      <c r="Y104" s="13" t="s">
        <v>84</v>
      </c>
      <c r="Z104" s="13" t="s">
        <v>82</v>
      </c>
      <c r="AA104" s="13"/>
      <c r="AB104" s="13" t="s">
        <v>82</v>
      </c>
      <c r="AC104" s="13"/>
      <c r="AD104" s="13" t="s">
        <v>82</v>
      </c>
      <c r="AE104" s="13"/>
      <c r="AF104" s="13"/>
      <c r="AG104" s="13" t="s">
        <v>82</v>
      </c>
      <c r="AH104" s="13"/>
      <c r="AI104" s="13" t="s">
        <v>84</v>
      </c>
      <c r="AJ104" s="13"/>
      <c r="AK104" s="13" t="s">
        <v>2057</v>
      </c>
      <c r="AL104" s="13" t="s">
        <v>126</v>
      </c>
      <c r="AM104" s="13" t="s">
        <v>111</v>
      </c>
      <c r="AN104" s="13"/>
      <c r="AO104" s="13" t="s">
        <v>80</v>
      </c>
      <c r="AQ104" s="13" t="s">
        <v>84</v>
      </c>
      <c r="AR104" s="13" t="s">
        <v>82</v>
      </c>
      <c r="AS104" s="13" t="s">
        <v>84</v>
      </c>
      <c r="AT104" s="13" t="s">
        <v>84</v>
      </c>
      <c r="AU104" s="13"/>
      <c r="AW104" s="13" t="s">
        <v>80</v>
      </c>
      <c r="AX104" s="13" t="s">
        <v>80</v>
      </c>
      <c r="AY104" s="13" t="s">
        <v>80</v>
      </c>
      <c r="AZ104" s="13" t="s">
        <v>80</v>
      </c>
      <c r="BA104" s="13"/>
      <c r="BB104" s="13" t="s">
        <v>84</v>
      </c>
      <c r="BC104" s="13" t="s">
        <v>80</v>
      </c>
      <c r="BD104" s="13" t="s">
        <v>93</v>
      </c>
      <c r="BE104" s="13" t="s">
        <v>93</v>
      </c>
      <c r="BF104" s="13" t="s">
        <v>100</v>
      </c>
      <c r="BG104" s="13" t="s">
        <v>84</v>
      </c>
      <c r="BH104" s="13" t="s">
        <v>84</v>
      </c>
      <c r="BI104" s="13" t="s">
        <v>2141</v>
      </c>
      <c r="BJ104" s="13" t="s">
        <v>84</v>
      </c>
      <c r="BK104" s="13" t="s">
        <v>80</v>
      </c>
      <c r="BL104" s="13">
        <v>3</v>
      </c>
      <c r="BM104" s="13">
        <v>2</v>
      </c>
      <c r="BN104" s="13">
        <v>1</v>
      </c>
      <c r="BO104" s="13">
        <v>1</v>
      </c>
      <c r="BP104" s="13">
        <v>3</v>
      </c>
      <c r="BQ104" s="13">
        <v>2</v>
      </c>
      <c r="BS104" s="13" t="s">
        <v>99</v>
      </c>
      <c r="BT104" s="13"/>
      <c r="BU104" s="13"/>
      <c r="BV104" s="13"/>
      <c r="BX104" s="13" t="s">
        <v>82</v>
      </c>
      <c r="BY104" s="13"/>
      <c r="BZ104" s="13" t="s">
        <v>84</v>
      </c>
      <c r="CA104" s="13"/>
      <c r="CB104" s="13" t="s">
        <v>82</v>
      </c>
      <c r="CC104" s="13"/>
      <c r="CD104" s="13" t="s">
        <v>82</v>
      </c>
      <c r="CE104" s="13"/>
      <c r="CF104" s="13"/>
      <c r="CG104" s="13"/>
      <c r="CI104" s="13" t="s">
        <v>84</v>
      </c>
      <c r="CJ104" s="13"/>
      <c r="CK104" s="13" t="s">
        <v>82</v>
      </c>
      <c r="CL104" s="13"/>
      <c r="CM104" s="13" t="s">
        <v>82</v>
      </c>
      <c r="CN104" s="13"/>
      <c r="CO104" s="13"/>
      <c r="CP104" s="13"/>
      <c r="CQ104" s="13" t="s">
        <v>118</v>
      </c>
      <c r="CR104" s="13" t="s">
        <v>84</v>
      </c>
      <c r="CS104" s="13" t="s">
        <v>1312</v>
      </c>
      <c r="CT104" s="13"/>
      <c r="CU104" s="13" t="s">
        <v>81</v>
      </c>
      <c r="CV104" s="13"/>
      <c r="CW104" s="13" t="s">
        <v>84</v>
      </c>
      <c r="CX104" s="13" t="s">
        <v>2228</v>
      </c>
      <c r="CY104" s="13"/>
      <c r="CZ104" s="13"/>
      <c r="DA104" s="13" t="s">
        <v>84</v>
      </c>
      <c r="DB104" s="13" t="s">
        <v>2229</v>
      </c>
      <c r="DC104" s="13" t="s">
        <v>84</v>
      </c>
      <c r="DD104" s="13" t="s">
        <v>84</v>
      </c>
      <c r="DG104" s="13">
        <v>1</v>
      </c>
      <c r="DH104" s="13">
        <v>1</v>
      </c>
      <c r="DI104" s="13">
        <v>1</v>
      </c>
      <c r="DJ104" s="13">
        <v>1</v>
      </c>
      <c r="DK104" s="13">
        <v>3</v>
      </c>
      <c r="DL104" s="13">
        <v>2</v>
      </c>
      <c r="DM104" s="13">
        <v>1</v>
      </c>
      <c r="DN104" s="13">
        <v>1</v>
      </c>
      <c r="DO104" s="13">
        <v>1</v>
      </c>
      <c r="DP104" s="13">
        <v>1</v>
      </c>
      <c r="DQ104" s="13">
        <v>3</v>
      </c>
      <c r="DR104" s="13">
        <v>2</v>
      </c>
      <c r="DS104" s="13" t="s">
        <v>118</v>
      </c>
      <c r="DT104" s="13" t="s">
        <v>84</v>
      </c>
      <c r="DU104" s="13"/>
      <c r="DV104" s="13" t="s">
        <v>84</v>
      </c>
      <c r="DW104" s="13" t="s">
        <v>113</v>
      </c>
      <c r="DX104" s="13" t="s">
        <v>81</v>
      </c>
      <c r="DY104" s="13" t="s">
        <v>2365</v>
      </c>
      <c r="DZ104" s="13" t="s">
        <v>113</v>
      </c>
      <c r="EA104" s="13" t="s">
        <v>2366</v>
      </c>
      <c r="EB104" s="13" t="s">
        <v>84</v>
      </c>
      <c r="EC104" s="13"/>
      <c r="ED104" s="13"/>
      <c r="EE104" s="13"/>
      <c r="EF104" s="13" t="s">
        <v>82</v>
      </c>
      <c r="EG104" s="13" t="s">
        <v>82</v>
      </c>
      <c r="EH104" s="13" t="s">
        <v>82</v>
      </c>
      <c r="EI104" s="13"/>
      <c r="EJ104" s="13" t="s">
        <v>2367</v>
      </c>
      <c r="EK104" s="13" t="s">
        <v>2368</v>
      </c>
      <c r="EL104" s="13" t="s">
        <v>2369</v>
      </c>
      <c r="EM104" s="9">
        <v>714.35</v>
      </c>
      <c r="EN104" s="9">
        <v>23.64</v>
      </c>
      <c r="EO104" s="9"/>
      <c r="EP104" s="9"/>
      <c r="EQ104" s="9">
        <v>55.22</v>
      </c>
      <c r="ER104" s="9"/>
      <c r="ES104" s="9"/>
      <c r="ET104" s="9"/>
      <c r="EU104" s="9"/>
      <c r="EV104" s="9"/>
      <c r="EW104" s="9">
        <v>41.03</v>
      </c>
      <c r="EX104" s="9"/>
      <c r="EY104" s="9"/>
      <c r="EZ104" s="9"/>
      <c r="FA104" s="9"/>
      <c r="FB104" s="9"/>
      <c r="FC104" s="9"/>
      <c r="FD104" s="9"/>
      <c r="FE104" s="9"/>
      <c r="FF104" s="9">
        <v>53.76</v>
      </c>
      <c r="FG104" s="9"/>
      <c r="FH104" s="9"/>
      <c r="FI104" s="9"/>
      <c r="FJ104" s="9">
        <v>13.84</v>
      </c>
      <c r="FK104" s="9"/>
      <c r="FL104" s="9"/>
      <c r="FM104" s="9"/>
      <c r="FN104" s="9"/>
      <c r="FO104" s="9"/>
      <c r="FP104" s="9">
        <v>20.2</v>
      </c>
      <c r="FQ104" s="9"/>
      <c r="FR104" s="9"/>
      <c r="FS104" s="9"/>
      <c r="FT104" s="9"/>
      <c r="FU104" s="9"/>
      <c r="FV104" s="9">
        <v>81.61</v>
      </c>
      <c r="FW104" s="9"/>
      <c r="FX104" s="9"/>
      <c r="FY104" s="9"/>
      <c r="FZ104" s="9"/>
      <c r="GA104" s="9"/>
      <c r="GB104" s="9"/>
      <c r="GC104" s="9">
        <v>147.96</v>
      </c>
      <c r="GD104" s="9"/>
      <c r="GE104" s="9"/>
      <c r="GF104" s="9"/>
      <c r="GG104" s="9"/>
      <c r="GH104" s="9"/>
      <c r="GI104" s="9"/>
      <c r="GJ104" s="9"/>
      <c r="GK104" s="9"/>
      <c r="GL104" s="9"/>
      <c r="GM104" s="9"/>
      <c r="GN104" s="9"/>
      <c r="GO104" s="9"/>
      <c r="GP104" s="9"/>
      <c r="GQ104" s="9"/>
      <c r="GR104" s="9"/>
      <c r="GS104" s="9"/>
      <c r="GT104" s="9">
        <v>13.69</v>
      </c>
      <c r="GU104" s="9"/>
      <c r="GV104" s="9"/>
      <c r="GW104" s="9"/>
      <c r="GX104" s="9">
        <v>50.66</v>
      </c>
      <c r="GY104" s="9"/>
      <c r="GZ104" s="9"/>
      <c r="HA104" s="9"/>
      <c r="HB104" s="9">
        <v>212.74</v>
      </c>
      <c r="HC104" s="9"/>
      <c r="HD104" s="9"/>
      <c r="HE104" s="9"/>
      <c r="HF104" s="9"/>
      <c r="HG104" s="9"/>
      <c r="HH104" s="9"/>
      <c r="HI104" s="9"/>
      <c r="HJ104" s="9"/>
      <c r="HK104" s="9"/>
      <c r="HL104" s="9"/>
      <c r="HM104" s="9"/>
      <c r="HN104" s="9"/>
      <c r="HO104" s="9"/>
      <c r="HP104" s="9"/>
      <c r="HQ104" s="62">
        <f t="shared" si="9"/>
        <v>714.35</v>
      </c>
      <c r="HR104" s="62">
        <f t="shared" si="8"/>
        <v>11.905833333333334</v>
      </c>
    </row>
    <row r="105" spans="1:226" ht="12.95" customHeight="1" x14ac:dyDescent="0.2">
      <c r="A105" s="11">
        <v>164</v>
      </c>
      <c r="B105" s="9">
        <v>149</v>
      </c>
      <c r="C105" s="9" t="s">
        <v>83</v>
      </c>
      <c r="D105" s="9">
        <v>11</v>
      </c>
      <c r="E105" s="9" t="s">
        <v>79</v>
      </c>
      <c r="F105" s="9">
        <v>729227449</v>
      </c>
      <c r="G105" s="9" t="s">
        <v>81</v>
      </c>
      <c r="H105" s="9" t="s">
        <v>84</v>
      </c>
      <c r="I105" s="13" t="s">
        <v>630</v>
      </c>
      <c r="J105" s="13"/>
      <c r="M105" s="13" t="s">
        <v>1319</v>
      </c>
      <c r="N105" s="13" t="s">
        <v>618</v>
      </c>
      <c r="O105" s="13"/>
      <c r="P105" s="13" t="s">
        <v>87</v>
      </c>
      <c r="Q105" s="13" t="s">
        <v>1296</v>
      </c>
      <c r="S105" s="13" t="s">
        <v>84</v>
      </c>
      <c r="T105" s="13" t="s">
        <v>84</v>
      </c>
      <c r="U105" s="13" t="s">
        <v>84</v>
      </c>
      <c r="V105" s="13" t="s">
        <v>84</v>
      </c>
      <c r="W105" s="13" t="s">
        <v>82</v>
      </c>
      <c r="X105" s="13" t="s">
        <v>82</v>
      </c>
      <c r="Y105" s="13" t="s">
        <v>84</v>
      </c>
      <c r="Z105" s="13" t="s">
        <v>82</v>
      </c>
      <c r="AA105" s="13"/>
      <c r="AB105" s="13" t="s">
        <v>82</v>
      </c>
      <c r="AC105" s="13"/>
      <c r="AD105" s="13" t="s">
        <v>82</v>
      </c>
      <c r="AE105" s="13"/>
      <c r="AF105" s="13"/>
      <c r="AG105" s="13" t="s">
        <v>82</v>
      </c>
      <c r="AH105" s="13"/>
      <c r="AI105" s="13" t="s">
        <v>84</v>
      </c>
      <c r="AJ105" s="13"/>
      <c r="AK105" s="13" t="s">
        <v>2058</v>
      </c>
      <c r="AL105" s="13" t="s">
        <v>126</v>
      </c>
      <c r="AM105" s="13" t="s">
        <v>91</v>
      </c>
      <c r="AN105" s="13"/>
      <c r="AO105" s="13" t="s">
        <v>80</v>
      </c>
      <c r="AQ105" s="13" t="s">
        <v>80</v>
      </c>
      <c r="AR105" s="13" t="s">
        <v>80</v>
      </c>
      <c r="AS105" s="13" t="s">
        <v>80</v>
      </c>
      <c r="AT105" s="13" t="s">
        <v>80</v>
      </c>
      <c r="AU105" s="13"/>
      <c r="AW105" s="13" t="s">
        <v>84</v>
      </c>
      <c r="AX105" s="13" t="s">
        <v>84</v>
      </c>
      <c r="AY105" s="13" t="s">
        <v>84</v>
      </c>
      <c r="AZ105" s="13" t="s">
        <v>84</v>
      </c>
      <c r="BA105" s="13"/>
      <c r="BB105" s="13" t="s">
        <v>84</v>
      </c>
      <c r="BC105" s="13" t="s">
        <v>80</v>
      </c>
      <c r="BD105" s="13" t="s">
        <v>113</v>
      </c>
      <c r="BE105" s="13" t="s">
        <v>113</v>
      </c>
      <c r="BF105" s="13" t="s">
        <v>100</v>
      </c>
      <c r="BG105" s="13" t="s">
        <v>84</v>
      </c>
      <c r="BH105" s="13" t="s">
        <v>82</v>
      </c>
      <c r="BI105" s="13"/>
      <c r="BJ105" s="13" t="s">
        <v>84</v>
      </c>
      <c r="BK105" s="13" t="s">
        <v>80</v>
      </c>
      <c r="BL105" s="13">
        <v>3</v>
      </c>
      <c r="BM105" s="13">
        <v>3</v>
      </c>
      <c r="BN105" s="13">
        <v>3</v>
      </c>
      <c r="BO105" s="13">
        <v>3</v>
      </c>
      <c r="BP105" s="13">
        <v>3</v>
      </c>
      <c r="BQ105" s="13">
        <v>3</v>
      </c>
      <c r="BS105" s="13" t="s">
        <v>118</v>
      </c>
      <c r="BT105" s="13"/>
      <c r="BU105" s="13"/>
      <c r="BV105" s="13"/>
      <c r="BX105" s="13" t="s">
        <v>84</v>
      </c>
      <c r="BY105" s="13" t="s">
        <v>2176</v>
      </c>
      <c r="BZ105" s="13" t="s">
        <v>84</v>
      </c>
      <c r="CA105" s="13" t="s">
        <v>2182</v>
      </c>
      <c r="CB105" s="13" t="s">
        <v>82</v>
      </c>
      <c r="CC105" s="13"/>
      <c r="CD105" s="13" t="s">
        <v>82</v>
      </c>
      <c r="CE105" s="13"/>
      <c r="CF105" s="13"/>
      <c r="CG105" s="13"/>
      <c r="CI105" s="13" t="s">
        <v>84</v>
      </c>
      <c r="CJ105" s="13" t="s">
        <v>2230</v>
      </c>
      <c r="CK105" s="13" t="s">
        <v>84</v>
      </c>
      <c r="CL105" s="13" t="s">
        <v>2231</v>
      </c>
      <c r="CM105" s="13" t="s">
        <v>84</v>
      </c>
      <c r="CN105" s="13" t="s">
        <v>112</v>
      </c>
      <c r="CO105" s="13"/>
      <c r="CP105" s="13"/>
      <c r="CQ105" s="13" t="s">
        <v>118</v>
      </c>
      <c r="CR105" s="13" t="s">
        <v>84</v>
      </c>
      <c r="CS105" s="13" t="s">
        <v>1312</v>
      </c>
      <c r="CT105" s="13"/>
      <c r="CU105" s="13" t="s">
        <v>81</v>
      </c>
      <c r="CV105" s="13"/>
      <c r="CW105" s="13" t="s">
        <v>84</v>
      </c>
      <c r="CX105" s="13" t="s">
        <v>2232</v>
      </c>
      <c r="CY105" s="13"/>
      <c r="CZ105" s="13"/>
      <c r="DA105" s="13" t="s">
        <v>82</v>
      </c>
      <c r="DB105" s="13"/>
      <c r="DC105" s="13" t="s">
        <v>84</v>
      </c>
      <c r="DD105" s="13" t="s">
        <v>84</v>
      </c>
      <c r="DG105" s="13">
        <v>2</v>
      </c>
      <c r="DH105" s="13">
        <v>1</v>
      </c>
      <c r="DI105" s="13">
        <v>2</v>
      </c>
      <c r="DJ105" s="13">
        <v>1</v>
      </c>
      <c r="DK105" s="13">
        <v>2</v>
      </c>
      <c r="DL105" s="13">
        <v>1</v>
      </c>
      <c r="DM105" s="13">
        <v>1</v>
      </c>
      <c r="DN105" s="13">
        <v>1</v>
      </c>
      <c r="DO105" s="13">
        <v>2</v>
      </c>
      <c r="DP105" s="13">
        <v>1</v>
      </c>
      <c r="DQ105" s="13">
        <v>2</v>
      </c>
      <c r="DR105" s="13">
        <v>1</v>
      </c>
      <c r="DS105" s="13" t="s">
        <v>118</v>
      </c>
      <c r="DT105" s="13" t="s">
        <v>106</v>
      </c>
      <c r="DU105" s="13"/>
      <c r="DV105" s="13" t="s">
        <v>84</v>
      </c>
      <c r="DW105" s="13" t="s">
        <v>113</v>
      </c>
      <c r="DX105" s="13" t="s">
        <v>81</v>
      </c>
      <c r="DY105" s="13"/>
      <c r="DZ105" s="13" t="s">
        <v>113</v>
      </c>
      <c r="EA105" s="13"/>
      <c r="EB105" s="13" t="s">
        <v>84</v>
      </c>
      <c r="EC105" s="13"/>
      <c r="ED105" s="13"/>
      <c r="EE105" s="13"/>
      <c r="EF105" s="13" t="s">
        <v>84</v>
      </c>
      <c r="EG105" s="13" t="s">
        <v>84</v>
      </c>
      <c r="EH105" s="13" t="s">
        <v>82</v>
      </c>
      <c r="EI105" s="13"/>
      <c r="EJ105" s="13"/>
      <c r="EK105" s="13" t="s">
        <v>2370</v>
      </c>
      <c r="EL105" s="13" t="s">
        <v>2370</v>
      </c>
      <c r="EM105" s="9">
        <v>523.22</v>
      </c>
      <c r="EN105" s="9">
        <v>16.36</v>
      </c>
      <c r="EO105" s="9"/>
      <c r="EP105" s="9"/>
      <c r="EQ105" s="9">
        <v>41.1</v>
      </c>
      <c r="ER105" s="9"/>
      <c r="ES105" s="9"/>
      <c r="ET105" s="9"/>
      <c r="EU105" s="9"/>
      <c r="EV105" s="9"/>
      <c r="EW105" s="9">
        <v>30.04</v>
      </c>
      <c r="EX105" s="9"/>
      <c r="EY105" s="9"/>
      <c r="EZ105" s="9"/>
      <c r="FA105" s="9"/>
      <c r="FB105" s="9"/>
      <c r="FC105" s="9"/>
      <c r="FD105" s="9"/>
      <c r="FE105" s="9"/>
      <c r="FF105" s="9">
        <v>27.79</v>
      </c>
      <c r="FG105" s="9"/>
      <c r="FH105" s="9"/>
      <c r="FI105" s="9"/>
      <c r="FJ105" s="9">
        <v>13.91</v>
      </c>
      <c r="FK105" s="9"/>
      <c r="FL105" s="9"/>
      <c r="FM105" s="9"/>
      <c r="FN105" s="9"/>
      <c r="FO105" s="9"/>
      <c r="FP105" s="9">
        <v>23.42</v>
      </c>
      <c r="FQ105" s="9"/>
      <c r="FR105" s="9"/>
      <c r="FS105" s="9"/>
      <c r="FT105" s="9"/>
      <c r="FU105" s="9"/>
      <c r="FV105" s="9">
        <v>64.87</v>
      </c>
      <c r="FW105" s="9"/>
      <c r="FX105" s="9"/>
      <c r="FY105" s="9"/>
      <c r="FZ105" s="9"/>
      <c r="GA105" s="9"/>
      <c r="GB105" s="9"/>
      <c r="GC105" s="9">
        <v>220.92</v>
      </c>
      <c r="GD105" s="9"/>
      <c r="GE105" s="9"/>
      <c r="GF105" s="9"/>
      <c r="GG105" s="9"/>
      <c r="GH105" s="9"/>
      <c r="GI105" s="9"/>
      <c r="GJ105" s="9"/>
      <c r="GK105" s="9"/>
      <c r="GL105" s="9"/>
      <c r="GM105" s="9"/>
      <c r="GN105" s="9"/>
      <c r="GO105" s="9"/>
      <c r="GP105" s="9"/>
      <c r="GQ105" s="9"/>
      <c r="GR105" s="9"/>
      <c r="GS105" s="9"/>
      <c r="GT105" s="9">
        <v>9.77</v>
      </c>
      <c r="GU105" s="9"/>
      <c r="GV105" s="9"/>
      <c r="GW105" s="9"/>
      <c r="GX105" s="9">
        <v>14.41</v>
      </c>
      <c r="GY105" s="9"/>
      <c r="GZ105" s="9"/>
      <c r="HA105" s="9"/>
      <c r="HB105" s="9">
        <v>60.63</v>
      </c>
      <c r="HC105" s="9"/>
      <c r="HD105" s="9"/>
      <c r="HE105" s="9"/>
      <c r="HF105" s="9"/>
      <c r="HG105" s="9"/>
      <c r="HH105" s="9"/>
      <c r="HI105" s="9"/>
      <c r="HJ105" s="9"/>
      <c r="HK105" s="9"/>
      <c r="HL105" s="9"/>
      <c r="HM105" s="9"/>
      <c r="HN105" s="9"/>
      <c r="HO105" s="9"/>
      <c r="HP105" s="9"/>
      <c r="HQ105" s="62">
        <f t="shared" si="9"/>
        <v>523.22</v>
      </c>
      <c r="HR105" s="62">
        <f t="shared" si="8"/>
        <v>8.7203333333333344</v>
      </c>
    </row>
    <row r="106" spans="1:226" ht="12.95" customHeight="1" x14ac:dyDescent="0.2">
      <c r="A106" s="11">
        <v>165</v>
      </c>
      <c r="B106" s="9">
        <v>151</v>
      </c>
      <c r="C106" s="9" t="s">
        <v>83</v>
      </c>
      <c r="D106" s="9">
        <v>11</v>
      </c>
      <c r="E106" s="9" t="s">
        <v>79</v>
      </c>
      <c r="F106" s="9">
        <v>601070912</v>
      </c>
      <c r="G106" s="9" t="s">
        <v>81</v>
      </c>
      <c r="H106" s="9" t="s">
        <v>84</v>
      </c>
      <c r="I106" s="13" t="s">
        <v>443</v>
      </c>
      <c r="J106" s="13"/>
      <c r="M106" s="13" t="s">
        <v>1319</v>
      </c>
      <c r="N106" s="13" t="s">
        <v>618</v>
      </c>
      <c r="O106" s="13" t="s">
        <v>2010</v>
      </c>
      <c r="P106" s="13" t="s">
        <v>253</v>
      </c>
      <c r="Q106" s="13" t="s">
        <v>1766</v>
      </c>
      <c r="S106" s="13" t="s">
        <v>84</v>
      </c>
      <c r="T106" s="13" t="s">
        <v>84</v>
      </c>
      <c r="U106" s="13" t="s">
        <v>84</v>
      </c>
      <c r="V106" s="13" t="s">
        <v>82</v>
      </c>
      <c r="W106" s="13" t="s">
        <v>82</v>
      </c>
      <c r="X106" s="13" t="s">
        <v>82</v>
      </c>
      <c r="Y106" s="13" t="s">
        <v>84</v>
      </c>
      <c r="Z106" s="13" t="s">
        <v>82</v>
      </c>
      <c r="AA106" s="13"/>
      <c r="AB106" s="13" t="s">
        <v>82</v>
      </c>
      <c r="AC106" s="13"/>
      <c r="AD106" s="13" t="s">
        <v>82</v>
      </c>
      <c r="AE106" s="13"/>
      <c r="AF106" s="13"/>
      <c r="AG106" s="13" t="s">
        <v>82</v>
      </c>
      <c r="AH106" s="13" t="s">
        <v>2059</v>
      </c>
      <c r="AI106" s="13" t="s">
        <v>84</v>
      </c>
      <c r="AJ106" s="13" t="s">
        <v>2060</v>
      </c>
      <c r="AK106" s="13" t="s">
        <v>2061</v>
      </c>
      <c r="AL106" s="13" t="s">
        <v>140</v>
      </c>
      <c r="AM106" s="13" t="s">
        <v>91</v>
      </c>
      <c r="AN106" s="13"/>
      <c r="AO106" s="13" t="s">
        <v>80</v>
      </c>
      <c r="AQ106" s="13" t="s">
        <v>80</v>
      </c>
      <c r="AR106" s="13" t="s">
        <v>80</v>
      </c>
      <c r="AS106" s="13" t="s">
        <v>80</v>
      </c>
      <c r="AT106" s="13" t="s">
        <v>80</v>
      </c>
      <c r="AU106" s="13"/>
      <c r="AW106" s="13" t="s">
        <v>84</v>
      </c>
      <c r="AX106" s="13" t="s">
        <v>84</v>
      </c>
      <c r="AY106" s="13" t="s">
        <v>82</v>
      </c>
      <c r="AZ106" s="13" t="s">
        <v>84</v>
      </c>
      <c r="BA106" s="13"/>
      <c r="BB106" s="13" t="s">
        <v>84</v>
      </c>
      <c r="BC106" s="13" t="s">
        <v>80</v>
      </c>
      <c r="BD106" s="13" t="s">
        <v>93</v>
      </c>
      <c r="BE106" s="13" t="s">
        <v>93</v>
      </c>
      <c r="BF106" s="13" t="s">
        <v>340</v>
      </c>
      <c r="BG106" s="13" t="s">
        <v>84</v>
      </c>
      <c r="BH106" s="13" t="s">
        <v>84</v>
      </c>
      <c r="BI106" s="13" t="s">
        <v>2142</v>
      </c>
      <c r="BJ106" s="13" t="s">
        <v>84</v>
      </c>
      <c r="BK106" s="13" t="s">
        <v>80</v>
      </c>
      <c r="BL106" s="13">
        <v>1</v>
      </c>
      <c r="BM106" s="13">
        <v>1</v>
      </c>
      <c r="BN106" s="13">
        <v>3</v>
      </c>
      <c r="BO106" s="13">
        <v>1</v>
      </c>
      <c r="BP106" s="13">
        <v>3</v>
      </c>
      <c r="BQ106" s="13">
        <v>3</v>
      </c>
      <c r="BS106" s="13" t="s">
        <v>118</v>
      </c>
      <c r="BT106" s="13"/>
      <c r="BU106" s="13"/>
      <c r="BV106" s="13"/>
      <c r="BX106" s="13" t="s">
        <v>84</v>
      </c>
      <c r="BY106" s="13"/>
      <c r="BZ106" s="13" t="s">
        <v>84</v>
      </c>
      <c r="CA106" s="13"/>
      <c r="CB106" s="13" t="s">
        <v>82</v>
      </c>
      <c r="CC106" s="13"/>
      <c r="CD106" s="13" t="s">
        <v>84</v>
      </c>
      <c r="CE106" s="13" t="s">
        <v>2183</v>
      </c>
      <c r="CF106" s="13"/>
      <c r="CG106" s="13"/>
      <c r="CI106" s="13" t="s">
        <v>84</v>
      </c>
      <c r="CJ106" s="13"/>
      <c r="CK106" s="13" t="s">
        <v>82</v>
      </c>
      <c r="CL106" s="13"/>
      <c r="CM106" s="13" t="s">
        <v>82</v>
      </c>
      <c r="CN106" s="13"/>
      <c r="CO106" s="13"/>
      <c r="CP106" s="13"/>
      <c r="CQ106" s="13" t="s">
        <v>118</v>
      </c>
      <c r="CR106" s="13" t="s">
        <v>84</v>
      </c>
      <c r="CS106" s="13" t="s">
        <v>1312</v>
      </c>
      <c r="CT106" s="13"/>
      <c r="CU106" s="13" t="s">
        <v>81</v>
      </c>
      <c r="CV106" s="13"/>
      <c r="CW106" s="13" t="s">
        <v>84</v>
      </c>
      <c r="CX106" s="13" t="s">
        <v>2233</v>
      </c>
      <c r="CY106" s="13"/>
      <c r="CZ106" s="13"/>
      <c r="DA106" s="13" t="s">
        <v>84</v>
      </c>
      <c r="DB106" s="13" t="s">
        <v>2234</v>
      </c>
      <c r="DC106" s="13" t="s">
        <v>84</v>
      </c>
      <c r="DD106" s="13" t="s">
        <v>84</v>
      </c>
      <c r="DG106" s="13">
        <v>5</v>
      </c>
      <c r="DH106" s="13">
        <v>1</v>
      </c>
      <c r="DI106" s="13">
        <v>1</v>
      </c>
      <c r="DJ106" s="13">
        <v>3</v>
      </c>
      <c r="DK106" s="13">
        <v>4</v>
      </c>
      <c r="DL106" s="13">
        <v>3</v>
      </c>
      <c r="DM106" s="13">
        <v>1</v>
      </c>
      <c r="DN106" s="13">
        <v>1</v>
      </c>
      <c r="DO106" s="13">
        <v>1</v>
      </c>
      <c r="DP106" s="13">
        <v>1</v>
      </c>
      <c r="DQ106" s="13">
        <v>1</v>
      </c>
      <c r="DR106" s="13">
        <v>1</v>
      </c>
      <c r="DS106" s="13" t="s">
        <v>99</v>
      </c>
      <c r="DT106" s="13" t="s">
        <v>84</v>
      </c>
      <c r="DU106" s="13"/>
      <c r="DV106" s="13" t="s">
        <v>84</v>
      </c>
      <c r="DW106" s="13" t="s">
        <v>113</v>
      </c>
      <c r="DX106" s="13" t="s">
        <v>81</v>
      </c>
      <c r="DY106" s="13" t="s">
        <v>2371</v>
      </c>
      <c r="DZ106" s="13" t="s">
        <v>113</v>
      </c>
      <c r="EA106" s="13" t="s">
        <v>2372</v>
      </c>
      <c r="EB106" s="13" t="s">
        <v>82</v>
      </c>
      <c r="EC106" s="13"/>
      <c r="ED106" s="13" t="s">
        <v>81</v>
      </c>
      <c r="EE106" s="13" t="s">
        <v>2373</v>
      </c>
      <c r="EF106" s="13" t="s">
        <v>82</v>
      </c>
      <c r="EG106" s="13" t="s">
        <v>82</v>
      </c>
      <c r="EH106" s="13" t="s">
        <v>84</v>
      </c>
      <c r="EI106" s="13" t="s">
        <v>2374</v>
      </c>
      <c r="EJ106" s="13" t="s">
        <v>2375</v>
      </c>
      <c r="EK106" s="13" t="s">
        <v>2376</v>
      </c>
      <c r="EL106" s="13" t="s">
        <v>2377</v>
      </c>
      <c r="EM106" s="9">
        <v>1154.78</v>
      </c>
      <c r="EN106" s="9">
        <v>15.59</v>
      </c>
      <c r="EO106" s="9"/>
      <c r="EP106" s="9"/>
      <c r="EQ106" s="9">
        <v>116.07</v>
      </c>
      <c r="ER106" s="9"/>
      <c r="ES106" s="9"/>
      <c r="ET106" s="9"/>
      <c r="EU106" s="9"/>
      <c r="EV106" s="9"/>
      <c r="EW106" s="9">
        <v>205.23</v>
      </c>
      <c r="EX106" s="9"/>
      <c r="EY106" s="9"/>
      <c r="EZ106" s="9"/>
      <c r="FA106" s="9"/>
      <c r="FB106" s="9"/>
      <c r="FC106" s="9"/>
      <c r="FD106" s="9"/>
      <c r="FE106" s="9"/>
      <c r="FF106" s="9">
        <v>87.32</v>
      </c>
      <c r="FG106" s="9"/>
      <c r="FH106" s="9"/>
      <c r="FI106" s="9"/>
      <c r="FJ106" s="9">
        <v>13.5</v>
      </c>
      <c r="FK106" s="9"/>
      <c r="FL106" s="9"/>
      <c r="FM106" s="9"/>
      <c r="FN106" s="9"/>
      <c r="FO106" s="9"/>
      <c r="FP106" s="9">
        <v>25.82</v>
      </c>
      <c r="FQ106" s="9"/>
      <c r="FR106" s="9"/>
      <c r="FS106" s="9"/>
      <c r="FT106" s="9"/>
      <c r="FU106" s="9"/>
      <c r="FV106" s="9">
        <v>67.209999999999994</v>
      </c>
      <c r="FW106" s="9"/>
      <c r="FX106" s="9"/>
      <c r="FY106" s="9"/>
      <c r="FZ106" s="9"/>
      <c r="GA106" s="9"/>
      <c r="GB106" s="9"/>
      <c r="GC106" s="9">
        <v>244.39</v>
      </c>
      <c r="GD106" s="9"/>
      <c r="GE106" s="9"/>
      <c r="GF106" s="9"/>
      <c r="GG106" s="9"/>
      <c r="GH106" s="9"/>
      <c r="GI106" s="9"/>
      <c r="GJ106" s="9"/>
      <c r="GK106" s="9"/>
      <c r="GL106" s="9"/>
      <c r="GM106" s="9"/>
      <c r="GN106" s="9"/>
      <c r="GO106" s="9"/>
      <c r="GP106" s="9"/>
      <c r="GQ106" s="9"/>
      <c r="GR106" s="9"/>
      <c r="GS106" s="9"/>
      <c r="GT106" s="9">
        <v>12.21</v>
      </c>
      <c r="GU106" s="9"/>
      <c r="GV106" s="9"/>
      <c r="GW106" s="9"/>
      <c r="GX106" s="9">
        <v>65.38</v>
      </c>
      <c r="GY106" s="9"/>
      <c r="GZ106" s="9"/>
      <c r="HA106" s="9"/>
      <c r="HB106" s="9">
        <v>302.06</v>
      </c>
      <c r="HC106" s="9"/>
      <c r="HD106" s="9"/>
      <c r="HE106" s="9"/>
      <c r="HF106" s="9"/>
      <c r="HG106" s="9"/>
      <c r="HH106" s="9"/>
      <c r="HI106" s="9"/>
      <c r="HJ106" s="9"/>
      <c r="HK106" s="9"/>
      <c r="HL106" s="9"/>
      <c r="HM106" s="9"/>
      <c r="HN106" s="9"/>
      <c r="HO106" s="9"/>
      <c r="HP106" s="9"/>
      <c r="HQ106" s="62">
        <f t="shared" si="9"/>
        <v>1154.78</v>
      </c>
      <c r="HR106" s="62">
        <f t="shared" si="8"/>
        <v>19.246333333333332</v>
      </c>
    </row>
    <row r="107" spans="1:226" ht="12.95" customHeight="1" x14ac:dyDescent="0.2">
      <c r="A107" s="11">
        <v>166</v>
      </c>
      <c r="B107" s="9">
        <v>152</v>
      </c>
      <c r="C107" s="9" t="s">
        <v>83</v>
      </c>
      <c r="D107" s="9">
        <v>11</v>
      </c>
      <c r="E107" s="9" t="s">
        <v>79</v>
      </c>
      <c r="F107" s="9">
        <v>974479128</v>
      </c>
      <c r="G107" s="9" t="s">
        <v>81</v>
      </c>
      <c r="H107" s="9" t="s">
        <v>84</v>
      </c>
      <c r="I107" s="13" t="s">
        <v>105</v>
      </c>
      <c r="J107" s="13"/>
      <c r="M107" s="13" t="s">
        <v>1319</v>
      </c>
      <c r="N107" s="13" t="s">
        <v>618</v>
      </c>
      <c r="O107" s="13"/>
      <c r="P107" s="13" t="s">
        <v>290</v>
      </c>
      <c r="Q107" s="13" t="s">
        <v>1310</v>
      </c>
      <c r="S107" s="13" t="s">
        <v>84</v>
      </c>
      <c r="T107" s="13" t="s">
        <v>84</v>
      </c>
      <c r="U107" s="13" t="s">
        <v>82</v>
      </c>
      <c r="V107" s="13" t="s">
        <v>82</v>
      </c>
      <c r="W107" s="13" t="s">
        <v>82</v>
      </c>
      <c r="X107" s="13" t="s">
        <v>84</v>
      </c>
      <c r="Y107" s="13" t="s">
        <v>82</v>
      </c>
      <c r="Z107" s="13" t="s">
        <v>84</v>
      </c>
      <c r="AA107" s="13"/>
      <c r="AB107" s="13" t="s">
        <v>84</v>
      </c>
      <c r="AC107" s="13" t="s">
        <v>2062</v>
      </c>
      <c r="AD107" s="13" t="s">
        <v>84</v>
      </c>
      <c r="AE107" s="13" t="s">
        <v>2063</v>
      </c>
      <c r="AF107" s="13" t="s">
        <v>2064</v>
      </c>
      <c r="AG107" s="13" t="s">
        <v>80</v>
      </c>
      <c r="AH107" s="13"/>
      <c r="AI107" s="13" t="s">
        <v>84</v>
      </c>
      <c r="AJ107" s="13"/>
      <c r="AK107" s="13" t="s">
        <v>2065</v>
      </c>
      <c r="AL107" s="13" t="s">
        <v>126</v>
      </c>
      <c r="AM107" s="13" t="s">
        <v>91</v>
      </c>
      <c r="AN107" s="13"/>
      <c r="AO107" s="13" t="s">
        <v>80</v>
      </c>
      <c r="AQ107" s="13" t="s">
        <v>80</v>
      </c>
      <c r="AR107" s="13" t="s">
        <v>80</v>
      </c>
      <c r="AS107" s="13" t="s">
        <v>80</v>
      </c>
      <c r="AT107" s="13" t="s">
        <v>80</v>
      </c>
      <c r="AU107" s="13"/>
      <c r="AW107" s="13" t="s">
        <v>84</v>
      </c>
      <c r="AX107" s="13" t="s">
        <v>82</v>
      </c>
      <c r="AY107" s="13" t="s">
        <v>82</v>
      </c>
      <c r="AZ107" s="13" t="s">
        <v>84</v>
      </c>
      <c r="BA107" s="13"/>
      <c r="BB107" s="13" t="s">
        <v>84</v>
      </c>
      <c r="BC107" s="13" t="s">
        <v>80</v>
      </c>
      <c r="BD107" s="13" t="s">
        <v>113</v>
      </c>
      <c r="BE107" s="13" t="s">
        <v>100</v>
      </c>
      <c r="BF107" s="13" t="s">
        <v>100</v>
      </c>
      <c r="BG107" s="13" t="s">
        <v>84</v>
      </c>
      <c r="BH107" s="13" t="s">
        <v>84</v>
      </c>
      <c r="BI107" s="13" t="s">
        <v>2143</v>
      </c>
      <c r="BJ107" s="13" t="s">
        <v>84</v>
      </c>
      <c r="BK107" s="13" t="s">
        <v>80</v>
      </c>
      <c r="BL107" s="13">
        <v>5</v>
      </c>
      <c r="BM107" s="13">
        <v>4</v>
      </c>
      <c r="BN107" s="13">
        <v>1</v>
      </c>
      <c r="BO107" s="13">
        <v>1</v>
      </c>
      <c r="BP107" s="13">
        <v>5</v>
      </c>
      <c r="BQ107" s="13">
        <v>2</v>
      </c>
      <c r="BS107" s="13" t="s">
        <v>118</v>
      </c>
      <c r="BT107" s="13"/>
      <c r="BU107" s="13"/>
      <c r="BV107" s="13"/>
      <c r="BX107" s="13" t="s">
        <v>84</v>
      </c>
      <c r="BY107" s="13"/>
      <c r="BZ107" s="13" t="s">
        <v>84</v>
      </c>
      <c r="CA107" s="13"/>
      <c r="CB107" s="13" t="s">
        <v>82</v>
      </c>
      <c r="CC107" s="13"/>
      <c r="CD107" s="13" t="s">
        <v>82</v>
      </c>
      <c r="CE107" s="13"/>
      <c r="CF107" s="13"/>
      <c r="CG107" s="13"/>
      <c r="CI107" s="13" t="s">
        <v>84</v>
      </c>
      <c r="CJ107" s="13"/>
      <c r="CK107" s="13" t="s">
        <v>82</v>
      </c>
      <c r="CL107" s="13"/>
      <c r="CM107" s="13" t="s">
        <v>82</v>
      </c>
      <c r="CN107" s="13"/>
      <c r="CO107" s="13"/>
      <c r="CP107" s="13"/>
      <c r="CQ107" s="13" t="s">
        <v>97</v>
      </c>
      <c r="CR107" s="13" t="s">
        <v>84</v>
      </c>
      <c r="CS107" s="13" t="s">
        <v>97</v>
      </c>
      <c r="CT107" s="13"/>
      <c r="CU107" s="13" t="s">
        <v>246</v>
      </c>
      <c r="CV107" s="13"/>
      <c r="CW107" s="13" t="s">
        <v>82</v>
      </c>
      <c r="CX107" s="13"/>
      <c r="CY107" s="13" t="s">
        <v>81</v>
      </c>
      <c r="CZ107" s="13" t="s">
        <v>2235</v>
      </c>
      <c r="DA107" s="13" t="s">
        <v>82</v>
      </c>
      <c r="DB107" s="13"/>
      <c r="DC107" s="13" t="s">
        <v>84</v>
      </c>
      <c r="DD107" s="13" t="s">
        <v>82</v>
      </c>
      <c r="DG107" s="13">
        <v>1</v>
      </c>
      <c r="DH107" s="13">
        <v>5</v>
      </c>
      <c r="DI107" s="13">
        <v>1</v>
      </c>
      <c r="DJ107" s="13">
        <v>5</v>
      </c>
      <c r="DK107" s="13">
        <v>1</v>
      </c>
      <c r="DL107" s="13">
        <v>5</v>
      </c>
      <c r="DM107" s="13">
        <v>1</v>
      </c>
      <c r="DN107" s="13">
        <v>5</v>
      </c>
      <c r="DO107" s="13">
        <v>3</v>
      </c>
      <c r="DP107" s="13">
        <v>3</v>
      </c>
      <c r="DQ107" s="13">
        <v>3</v>
      </c>
      <c r="DR107" s="13">
        <v>3</v>
      </c>
      <c r="DS107" s="13" t="s">
        <v>97</v>
      </c>
      <c r="DT107" s="13" t="s">
        <v>106</v>
      </c>
      <c r="DU107" s="13"/>
      <c r="DV107" s="13" t="s">
        <v>84</v>
      </c>
      <c r="DW107" s="13" t="s">
        <v>100</v>
      </c>
      <c r="DX107" s="13" t="s">
        <v>81</v>
      </c>
      <c r="DY107" s="13" t="s">
        <v>2378</v>
      </c>
      <c r="DZ107" s="13" t="s">
        <v>93</v>
      </c>
      <c r="EA107" s="13" t="s">
        <v>2379</v>
      </c>
      <c r="EB107" s="13" t="s">
        <v>82</v>
      </c>
      <c r="EC107" s="13"/>
      <c r="ED107" s="13" t="s">
        <v>246</v>
      </c>
      <c r="EE107" s="13"/>
      <c r="EF107" s="13" t="s">
        <v>84</v>
      </c>
      <c r="EG107" s="13" t="s">
        <v>84</v>
      </c>
      <c r="EH107" s="13" t="s">
        <v>84</v>
      </c>
      <c r="EI107" s="13" t="s">
        <v>2380</v>
      </c>
      <c r="EJ107" s="13" t="s">
        <v>2381</v>
      </c>
      <c r="EK107" s="13" t="s">
        <v>2382</v>
      </c>
      <c r="EL107" s="13" t="s">
        <v>2383</v>
      </c>
      <c r="EM107" s="9">
        <v>3771.1</v>
      </c>
      <c r="EN107" s="9">
        <v>11.76</v>
      </c>
      <c r="EO107" s="9"/>
      <c r="EP107" s="9"/>
      <c r="EQ107" s="9">
        <v>36.32</v>
      </c>
      <c r="ER107" s="9"/>
      <c r="ES107" s="9"/>
      <c r="ET107" s="9"/>
      <c r="EU107" s="9"/>
      <c r="EV107" s="9"/>
      <c r="EW107" s="9">
        <v>100.52</v>
      </c>
      <c r="EX107" s="9"/>
      <c r="EY107" s="9"/>
      <c r="EZ107" s="9"/>
      <c r="FA107" s="9"/>
      <c r="FB107" s="9"/>
      <c r="FC107" s="9"/>
      <c r="FD107" s="9"/>
      <c r="FE107" s="9"/>
      <c r="FF107" s="9">
        <v>49.95</v>
      </c>
      <c r="FG107" s="9"/>
      <c r="FH107" s="9"/>
      <c r="FI107" s="9"/>
      <c r="FJ107" s="9">
        <v>11.49</v>
      </c>
      <c r="FK107" s="9"/>
      <c r="FL107" s="9"/>
      <c r="FM107" s="9"/>
      <c r="FN107" s="9"/>
      <c r="FO107" s="9"/>
      <c r="FP107" s="9">
        <v>19.84</v>
      </c>
      <c r="FQ107" s="9"/>
      <c r="FR107" s="9"/>
      <c r="FS107" s="9"/>
      <c r="FT107" s="9"/>
      <c r="FU107" s="9"/>
      <c r="FV107" s="9">
        <v>367.69</v>
      </c>
      <c r="FW107" s="9"/>
      <c r="FX107" s="9"/>
      <c r="FY107" s="9"/>
      <c r="FZ107" s="9"/>
      <c r="GA107" s="9"/>
      <c r="GB107" s="9"/>
      <c r="GC107" s="9">
        <v>161.9</v>
      </c>
      <c r="GD107" s="9"/>
      <c r="GE107" s="9"/>
      <c r="GF107" s="9"/>
      <c r="GG107" s="9"/>
      <c r="GH107" s="9"/>
      <c r="GI107" s="9"/>
      <c r="GJ107" s="9"/>
      <c r="GK107" s="9"/>
      <c r="GL107" s="9"/>
      <c r="GM107" s="9"/>
      <c r="GN107" s="9"/>
      <c r="GO107" s="9"/>
      <c r="GP107" s="9"/>
      <c r="GQ107" s="9"/>
      <c r="GR107" s="9"/>
      <c r="GS107" s="9"/>
      <c r="GT107" s="9">
        <v>10.15</v>
      </c>
      <c r="GU107" s="9"/>
      <c r="GV107" s="9"/>
      <c r="GW107" s="9"/>
      <c r="GX107" s="9">
        <v>56.75</v>
      </c>
      <c r="GY107" s="9"/>
      <c r="GZ107" s="9"/>
      <c r="HA107" s="9"/>
      <c r="HB107" s="9">
        <v>2944.73</v>
      </c>
      <c r="HC107" s="9"/>
      <c r="HD107" s="9"/>
      <c r="HE107" s="9"/>
      <c r="HF107" s="9"/>
      <c r="HG107" s="9"/>
      <c r="HH107" s="9"/>
      <c r="HI107" s="9"/>
      <c r="HJ107" s="9"/>
      <c r="HK107" s="9"/>
      <c r="HL107" s="9"/>
      <c r="HM107" s="9"/>
      <c r="HN107" s="9"/>
      <c r="HO107" s="9"/>
      <c r="HP107" s="9"/>
      <c r="HQ107" s="62">
        <f t="shared" si="9"/>
        <v>3771.1</v>
      </c>
      <c r="HR107" s="62">
        <f t="shared" si="8"/>
        <v>62.851666666666667</v>
      </c>
    </row>
    <row r="108" spans="1:226" ht="12.95" customHeight="1" x14ac:dyDescent="0.2">
      <c r="A108" s="11">
        <v>167</v>
      </c>
      <c r="B108" s="9">
        <v>154</v>
      </c>
      <c r="C108" s="9" t="s">
        <v>83</v>
      </c>
      <c r="D108" s="9">
        <v>11</v>
      </c>
      <c r="E108" s="9" t="s">
        <v>79</v>
      </c>
      <c r="F108" s="9">
        <v>1272468720</v>
      </c>
      <c r="G108" s="9" t="s">
        <v>81</v>
      </c>
      <c r="H108" s="9" t="s">
        <v>84</v>
      </c>
      <c r="I108" s="13" t="s">
        <v>105</v>
      </c>
      <c r="J108" s="13"/>
      <c r="M108" s="13" t="s">
        <v>1319</v>
      </c>
      <c r="N108" s="13" t="s">
        <v>86</v>
      </c>
      <c r="O108" s="13"/>
      <c r="P108" s="13" t="s">
        <v>87</v>
      </c>
      <c r="Q108" s="13" t="s">
        <v>1766</v>
      </c>
      <c r="S108" s="13" t="s">
        <v>84</v>
      </c>
      <c r="T108" s="13" t="s">
        <v>84</v>
      </c>
      <c r="U108" s="13" t="s">
        <v>84</v>
      </c>
      <c r="V108" s="13" t="s">
        <v>82</v>
      </c>
      <c r="W108" s="13" t="s">
        <v>82</v>
      </c>
      <c r="X108" s="13" t="s">
        <v>82</v>
      </c>
      <c r="Y108" s="13" t="s">
        <v>84</v>
      </c>
      <c r="Z108" s="13" t="s">
        <v>84</v>
      </c>
      <c r="AA108" s="13"/>
      <c r="AB108" s="13" t="s">
        <v>82</v>
      </c>
      <c r="AC108" s="13"/>
      <c r="AD108" s="13" t="s">
        <v>84</v>
      </c>
      <c r="AE108" s="13" t="s">
        <v>2066</v>
      </c>
      <c r="AF108" s="13" t="s">
        <v>2067</v>
      </c>
      <c r="AG108" s="13" t="s">
        <v>80</v>
      </c>
      <c r="AH108" s="13"/>
      <c r="AI108" s="13" t="s">
        <v>84</v>
      </c>
      <c r="AJ108" s="13"/>
      <c r="AK108" s="13" t="s">
        <v>2068</v>
      </c>
      <c r="AL108" s="13" t="s">
        <v>126</v>
      </c>
      <c r="AM108" s="13" t="s">
        <v>111</v>
      </c>
      <c r="AN108" s="13"/>
      <c r="AO108" s="13" t="s">
        <v>80</v>
      </c>
      <c r="AQ108" s="13" t="s">
        <v>84</v>
      </c>
      <c r="AR108" s="13" t="s">
        <v>82</v>
      </c>
      <c r="AS108" s="13" t="s">
        <v>82</v>
      </c>
      <c r="AT108" s="13" t="s">
        <v>84</v>
      </c>
      <c r="AU108" s="13"/>
      <c r="AW108" s="13" t="s">
        <v>80</v>
      </c>
      <c r="AX108" s="13" t="s">
        <v>80</v>
      </c>
      <c r="AY108" s="13" t="s">
        <v>80</v>
      </c>
      <c r="AZ108" s="13" t="s">
        <v>80</v>
      </c>
      <c r="BA108" s="13"/>
      <c r="BB108" s="13" t="s">
        <v>84</v>
      </c>
      <c r="BC108" s="13" t="s">
        <v>80</v>
      </c>
      <c r="BD108" s="13" t="s">
        <v>100</v>
      </c>
      <c r="BE108" s="13" t="s">
        <v>112</v>
      </c>
      <c r="BF108" s="13" t="s">
        <v>100</v>
      </c>
      <c r="BG108" s="13" t="s">
        <v>82</v>
      </c>
      <c r="BH108" s="13" t="s">
        <v>84</v>
      </c>
      <c r="BI108" s="13" t="s">
        <v>2144</v>
      </c>
      <c r="BJ108" s="13" t="s">
        <v>84</v>
      </c>
      <c r="BK108" s="13" t="s">
        <v>80</v>
      </c>
      <c r="BL108" s="13">
        <v>5</v>
      </c>
      <c r="BM108" s="13">
        <v>4</v>
      </c>
      <c r="BN108" s="13">
        <v>2</v>
      </c>
      <c r="BO108" s="13">
        <v>1</v>
      </c>
      <c r="BP108" s="13">
        <v>5</v>
      </c>
      <c r="BQ108" s="13">
        <v>3</v>
      </c>
      <c r="BS108" s="13" t="s">
        <v>97</v>
      </c>
      <c r="BT108" s="13"/>
      <c r="BU108" s="13" t="s">
        <v>246</v>
      </c>
      <c r="BV108" s="13"/>
      <c r="BX108" s="13" t="s">
        <v>80</v>
      </c>
      <c r="BY108" s="13"/>
      <c r="BZ108" s="13" t="s">
        <v>80</v>
      </c>
      <c r="CA108" s="13"/>
      <c r="CB108" s="13" t="s">
        <v>80</v>
      </c>
      <c r="CC108" s="13"/>
      <c r="CD108" s="13" t="s">
        <v>80</v>
      </c>
      <c r="CE108" s="13"/>
      <c r="CF108" s="13"/>
      <c r="CG108" s="13"/>
      <c r="CI108" s="13" t="s">
        <v>84</v>
      </c>
      <c r="CJ108" s="13"/>
      <c r="CK108" s="13" t="s">
        <v>84</v>
      </c>
      <c r="CL108" s="13"/>
      <c r="CM108" s="13" t="s">
        <v>82</v>
      </c>
      <c r="CN108" s="13"/>
      <c r="CO108" s="13"/>
      <c r="CP108" s="13"/>
      <c r="CQ108" s="13" t="s">
        <v>97</v>
      </c>
      <c r="CR108" s="13" t="s">
        <v>84</v>
      </c>
      <c r="CS108" s="13" t="s">
        <v>97</v>
      </c>
      <c r="CT108" s="13" t="s">
        <v>2236</v>
      </c>
      <c r="CU108" s="13" t="s">
        <v>246</v>
      </c>
      <c r="CV108" s="13"/>
      <c r="CW108" s="13" t="s">
        <v>82</v>
      </c>
      <c r="CX108" s="13"/>
      <c r="CY108" s="13" t="s">
        <v>246</v>
      </c>
      <c r="CZ108" s="13"/>
      <c r="DA108" s="13" t="s">
        <v>82</v>
      </c>
      <c r="DB108" s="13"/>
      <c r="DC108" s="13" t="s">
        <v>84</v>
      </c>
      <c r="DD108" s="13" t="s">
        <v>82</v>
      </c>
      <c r="DG108" s="13">
        <v>2</v>
      </c>
      <c r="DH108" s="13">
        <v>2</v>
      </c>
      <c r="DI108" s="13">
        <v>3</v>
      </c>
      <c r="DJ108" s="13">
        <v>2</v>
      </c>
      <c r="DK108" s="13">
        <v>1</v>
      </c>
      <c r="DL108" s="13">
        <v>2</v>
      </c>
      <c r="DM108" s="13">
        <v>2</v>
      </c>
      <c r="DN108" s="13">
        <v>2</v>
      </c>
      <c r="DO108" s="13">
        <v>2</v>
      </c>
      <c r="DP108" s="13">
        <v>2</v>
      </c>
      <c r="DQ108" s="13">
        <v>3</v>
      </c>
      <c r="DR108" s="13">
        <v>2</v>
      </c>
      <c r="DS108" s="13" t="s">
        <v>97</v>
      </c>
      <c r="DT108" s="13" t="s">
        <v>106</v>
      </c>
      <c r="DU108" s="13"/>
      <c r="DV108" s="13" t="s">
        <v>84</v>
      </c>
      <c r="DW108" s="13" t="s">
        <v>112</v>
      </c>
      <c r="DX108" s="13" t="s">
        <v>81</v>
      </c>
      <c r="DY108" s="13"/>
      <c r="DZ108" s="13" t="s">
        <v>113</v>
      </c>
      <c r="EA108" s="13"/>
      <c r="EB108" s="13" t="s">
        <v>82</v>
      </c>
      <c r="EC108" s="13"/>
      <c r="ED108" s="13" t="s">
        <v>246</v>
      </c>
      <c r="EE108" s="13"/>
      <c r="EF108" s="13" t="s">
        <v>84</v>
      </c>
      <c r="EG108" s="13" t="s">
        <v>82</v>
      </c>
      <c r="EH108" s="13" t="s">
        <v>82</v>
      </c>
      <c r="EI108" s="13"/>
      <c r="EJ108" s="13"/>
      <c r="EK108" s="13"/>
      <c r="EL108" s="13"/>
      <c r="EM108" s="9">
        <v>587.63</v>
      </c>
      <c r="EN108" s="9">
        <v>29.76</v>
      </c>
      <c r="EO108" s="9"/>
      <c r="EP108" s="9"/>
      <c r="EQ108" s="9">
        <v>51.53</v>
      </c>
      <c r="ER108" s="9"/>
      <c r="ES108" s="9"/>
      <c r="ET108" s="9"/>
      <c r="EU108" s="9"/>
      <c r="EV108" s="9"/>
      <c r="EW108" s="9">
        <v>66.760000000000005</v>
      </c>
      <c r="EX108" s="9"/>
      <c r="EY108" s="9"/>
      <c r="EZ108" s="9"/>
      <c r="FA108" s="9"/>
      <c r="FB108" s="9"/>
      <c r="FC108" s="9"/>
      <c r="FD108" s="9"/>
      <c r="FE108" s="9"/>
      <c r="FF108" s="9">
        <v>38.21</v>
      </c>
      <c r="FG108" s="9"/>
      <c r="FH108" s="9"/>
      <c r="FI108" s="9"/>
      <c r="FJ108" s="9">
        <v>27.64</v>
      </c>
      <c r="FK108" s="9"/>
      <c r="FL108" s="9"/>
      <c r="FM108" s="9"/>
      <c r="FN108" s="9"/>
      <c r="FO108" s="9"/>
      <c r="FP108" s="9">
        <v>25.17</v>
      </c>
      <c r="FQ108" s="9"/>
      <c r="FR108" s="9"/>
      <c r="FS108" s="9"/>
      <c r="FT108" s="9"/>
      <c r="FU108" s="9"/>
      <c r="FV108" s="9">
        <v>120.15</v>
      </c>
      <c r="FW108" s="9"/>
      <c r="FX108" s="9"/>
      <c r="FY108" s="9"/>
      <c r="FZ108" s="9"/>
      <c r="GA108" s="9"/>
      <c r="GB108" s="9"/>
      <c r="GC108" s="9">
        <v>155.5</v>
      </c>
      <c r="GD108" s="9"/>
      <c r="GE108" s="9"/>
      <c r="GF108" s="9"/>
      <c r="GG108" s="9"/>
      <c r="GH108" s="9"/>
      <c r="GI108" s="9"/>
      <c r="GJ108" s="9"/>
      <c r="GK108" s="9"/>
      <c r="GL108" s="9"/>
      <c r="GM108" s="9"/>
      <c r="GN108" s="9"/>
      <c r="GO108" s="9"/>
      <c r="GP108" s="9"/>
      <c r="GQ108" s="9"/>
      <c r="GR108" s="9"/>
      <c r="GS108" s="9"/>
      <c r="GT108" s="9">
        <v>16.010000000000002</v>
      </c>
      <c r="GU108" s="9"/>
      <c r="GV108" s="9"/>
      <c r="GW108" s="9"/>
      <c r="GX108" s="9">
        <v>17.64</v>
      </c>
      <c r="GY108" s="9"/>
      <c r="GZ108" s="9"/>
      <c r="HA108" s="9"/>
      <c r="HB108" s="9">
        <v>39.26</v>
      </c>
      <c r="HC108" s="9"/>
      <c r="HD108" s="9"/>
      <c r="HE108" s="9"/>
      <c r="HF108" s="9"/>
      <c r="HG108" s="9"/>
      <c r="HH108" s="9"/>
      <c r="HI108" s="9"/>
      <c r="HJ108" s="9"/>
      <c r="HK108" s="9"/>
      <c r="HL108" s="9"/>
      <c r="HM108" s="9"/>
      <c r="HN108" s="9"/>
      <c r="HO108" s="9"/>
      <c r="HP108" s="9"/>
      <c r="HQ108" s="62">
        <f t="shared" si="9"/>
        <v>587.63</v>
      </c>
      <c r="HR108" s="62">
        <f t="shared" si="8"/>
        <v>9.7938333333333336</v>
      </c>
    </row>
    <row r="109" spans="1:226" ht="12.95" customHeight="1" x14ac:dyDescent="0.2">
      <c r="A109" s="11">
        <v>168</v>
      </c>
      <c r="B109" s="9">
        <v>155</v>
      </c>
      <c r="C109" s="9" t="s">
        <v>83</v>
      </c>
      <c r="D109" s="9">
        <v>11</v>
      </c>
      <c r="E109" s="9" t="s">
        <v>79</v>
      </c>
      <c r="F109" s="9">
        <v>1117674643</v>
      </c>
      <c r="G109" s="9" t="s">
        <v>81</v>
      </c>
      <c r="H109" s="9" t="s">
        <v>84</v>
      </c>
      <c r="I109" s="13" t="s">
        <v>336</v>
      </c>
      <c r="J109" s="13"/>
      <c r="M109" s="13" t="s">
        <v>1319</v>
      </c>
      <c r="N109" s="13" t="s">
        <v>86</v>
      </c>
      <c r="O109" s="13"/>
      <c r="P109" s="13" t="s">
        <v>87</v>
      </c>
      <c r="Q109" s="13" t="s">
        <v>1296</v>
      </c>
      <c r="S109" s="13" t="s">
        <v>84</v>
      </c>
      <c r="T109" s="13" t="s">
        <v>84</v>
      </c>
      <c r="U109" s="13" t="s">
        <v>84</v>
      </c>
      <c r="V109" s="13" t="s">
        <v>82</v>
      </c>
      <c r="W109" s="13" t="s">
        <v>82</v>
      </c>
      <c r="X109" s="13" t="s">
        <v>82</v>
      </c>
      <c r="Y109" s="13" t="s">
        <v>82</v>
      </c>
      <c r="Z109" s="13" t="s">
        <v>82</v>
      </c>
      <c r="AA109" s="13"/>
      <c r="AB109" s="13" t="s">
        <v>82</v>
      </c>
      <c r="AC109" s="13"/>
      <c r="AD109" s="13" t="s">
        <v>82</v>
      </c>
      <c r="AE109" s="13"/>
      <c r="AF109" s="13"/>
      <c r="AG109" s="13" t="s">
        <v>84</v>
      </c>
      <c r="AH109" s="13"/>
      <c r="AI109" s="13" t="s">
        <v>84</v>
      </c>
      <c r="AJ109" s="13"/>
      <c r="AK109" s="13"/>
      <c r="AL109" s="13" t="s">
        <v>126</v>
      </c>
      <c r="AM109" s="13" t="s">
        <v>91</v>
      </c>
      <c r="AN109" s="13"/>
      <c r="AO109" s="13" t="s">
        <v>80</v>
      </c>
      <c r="AQ109" s="13" t="s">
        <v>80</v>
      </c>
      <c r="AR109" s="13" t="s">
        <v>80</v>
      </c>
      <c r="AS109" s="13" t="s">
        <v>80</v>
      </c>
      <c r="AT109" s="13" t="s">
        <v>80</v>
      </c>
      <c r="AU109" s="13"/>
      <c r="AW109" s="13" t="s">
        <v>84</v>
      </c>
      <c r="AX109" s="13" t="s">
        <v>82</v>
      </c>
      <c r="AY109" s="13" t="s">
        <v>82</v>
      </c>
      <c r="AZ109" s="13" t="s">
        <v>82</v>
      </c>
      <c r="BA109" s="13"/>
      <c r="BB109" s="13" t="s">
        <v>84</v>
      </c>
      <c r="BC109" s="13" t="s">
        <v>80</v>
      </c>
      <c r="BD109" s="13" t="s">
        <v>93</v>
      </c>
      <c r="BE109" s="13" t="s">
        <v>93</v>
      </c>
      <c r="BF109" s="13" t="s">
        <v>340</v>
      </c>
      <c r="BG109" s="13" t="s">
        <v>84</v>
      </c>
      <c r="BH109" s="13" t="s">
        <v>84</v>
      </c>
      <c r="BI109" s="13"/>
      <c r="BJ109" s="13" t="s">
        <v>84</v>
      </c>
      <c r="BK109" s="13" t="s">
        <v>80</v>
      </c>
      <c r="BL109" s="13">
        <v>1</v>
      </c>
      <c r="BM109" s="13">
        <v>1</v>
      </c>
      <c r="BN109" s="13">
        <v>1</v>
      </c>
      <c r="BO109" s="13">
        <v>1</v>
      </c>
      <c r="BP109" s="13">
        <v>1</v>
      </c>
      <c r="BQ109" s="13">
        <v>1</v>
      </c>
      <c r="BS109" s="13" t="s">
        <v>97</v>
      </c>
      <c r="BT109" s="13"/>
      <c r="BU109" s="13" t="s">
        <v>246</v>
      </c>
      <c r="BV109" s="13"/>
      <c r="BX109" s="13" t="s">
        <v>80</v>
      </c>
      <c r="BY109" s="13"/>
      <c r="BZ109" s="13" t="s">
        <v>80</v>
      </c>
      <c r="CA109" s="13"/>
      <c r="CB109" s="13" t="s">
        <v>80</v>
      </c>
      <c r="CC109" s="13"/>
      <c r="CD109" s="13" t="s">
        <v>80</v>
      </c>
      <c r="CE109" s="13"/>
      <c r="CF109" s="13"/>
      <c r="CG109" s="13"/>
      <c r="CI109" s="13" t="s">
        <v>84</v>
      </c>
      <c r="CJ109" s="13"/>
      <c r="CK109" s="13" t="s">
        <v>82</v>
      </c>
      <c r="CL109" s="13"/>
      <c r="CM109" s="13" t="s">
        <v>82</v>
      </c>
      <c r="CN109" s="13"/>
      <c r="CO109" s="13"/>
      <c r="CP109" s="13"/>
      <c r="CQ109" s="13" t="s">
        <v>97</v>
      </c>
      <c r="CR109" s="13" t="s">
        <v>84</v>
      </c>
      <c r="CS109" s="13" t="s">
        <v>97</v>
      </c>
      <c r="CT109" s="13"/>
      <c r="CU109" s="13" t="s">
        <v>81</v>
      </c>
      <c r="CV109" s="13"/>
      <c r="CW109" s="13" t="s">
        <v>84</v>
      </c>
      <c r="CX109" s="13"/>
      <c r="CY109" s="13"/>
      <c r="CZ109" s="13"/>
      <c r="DA109" s="13" t="s">
        <v>84</v>
      </c>
      <c r="DB109" s="13"/>
      <c r="DC109" s="13" t="s">
        <v>84</v>
      </c>
      <c r="DD109" s="13" t="s">
        <v>82</v>
      </c>
      <c r="DG109" s="13">
        <v>1</v>
      </c>
      <c r="DH109" s="13">
        <v>1</v>
      </c>
      <c r="DI109" s="13">
        <v>1</v>
      </c>
      <c r="DJ109" s="13">
        <v>1</v>
      </c>
      <c r="DK109" s="13">
        <v>1</v>
      </c>
      <c r="DL109" s="13">
        <v>1</v>
      </c>
      <c r="DM109" s="13">
        <v>1</v>
      </c>
      <c r="DN109" s="13">
        <v>1</v>
      </c>
      <c r="DO109" s="13">
        <v>1</v>
      </c>
      <c r="DP109" s="13">
        <v>1</v>
      </c>
      <c r="DQ109" s="13">
        <v>1</v>
      </c>
      <c r="DR109" s="13">
        <v>1</v>
      </c>
      <c r="DS109" s="13" t="s">
        <v>99</v>
      </c>
      <c r="DT109" s="13" t="s">
        <v>84</v>
      </c>
      <c r="DU109" s="13"/>
      <c r="DV109" s="13" t="s">
        <v>84</v>
      </c>
      <c r="DW109" s="13" t="s">
        <v>93</v>
      </c>
      <c r="DX109" s="13" t="s">
        <v>81</v>
      </c>
      <c r="DY109" s="13"/>
      <c r="DZ109" s="13" t="s">
        <v>93</v>
      </c>
      <c r="EA109" s="13"/>
      <c r="EB109" s="13" t="s">
        <v>84</v>
      </c>
      <c r="EC109" s="13"/>
      <c r="ED109" s="13"/>
      <c r="EE109" s="13"/>
      <c r="EF109" s="13" t="s">
        <v>84</v>
      </c>
      <c r="EG109" s="13" t="s">
        <v>84</v>
      </c>
      <c r="EH109" s="13" t="s">
        <v>84</v>
      </c>
      <c r="EI109" s="13"/>
      <c r="EJ109" s="13"/>
      <c r="EK109" s="13"/>
      <c r="EL109" s="13"/>
      <c r="EM109" s="9">
        <v>565.44000000000005</v>
      </c>
      <c r="EN109" s="9">
        <v>19.14</v>
      </c>
      <c r="EO109" s="9"/>
      <c r="EP109" s="9"/>
      <c r="EQ109" s="9">
        <v>105.22</v>
      </c>
      <c r="ER109" s="9"/>
      <c r="ES109" s="9"/>
      <c r="ET109" s="9"/>
      <c r="EU109" s="9"/>
      <c r="EV109" s="9"/>
      <c r="EW109" s="9">
        <v>63.87</v>
      </c>
      <c r="EX109" s="9"/>
      <c r="EY109" s="9"/>
      <c r="EZ109" s="9"/>
      <c r="FA109" s="9"/>
      <c r="FB109" s="9"/>
      <c r="FC109" s="9"/>
      <c r="FD109" s="9"/>
      <c r="FE109" s="9"/>
      <c r="FF109" s="9">
        <v>23.68</v>
      </c>
      <c r="FG109" s="9"/>
      <c r="FH109" s="9"/>
      <c r="FI109" s="9"/>
      <c r="FJ109" s="9">
        <v>20.79</v>
      </c>
      <c r="FK109" s="9"/>
      <c r="FL109" s="9"/>
      <c r="FM109" s="9"/>
      <c r="FN109" s="9"/>
      <c r="FO109" s="9"/>
      <c r="FP109" s="9">
        <v>31.48</v>
      </c>
      <c r="FQ109" s="9"/>
      <c r="FR109" s="9"/>
      <c r="FS109" s="9"/>
      <c r="FT109" s="9"/>
      <c r="FU109" s="9"/>
      <c r="FV109" s="9">
        <v>73.64</v>
      </c>
      <c r="FW109" s="9"/>
      <c r="FX109" s="9"/>
      <c r="FY109" s="9"/>
      <c r="FZ109" s="9"/>
      <c r="GA109" s="9"/>
      <c r="GB109" s="9"/>
      <c r="GC109" s="9">
        <v>138.26</v>
      </c>
      <c r="GD109" s="9"/>
      <c r="GE109" s="9"/>
      <c r="GF109" s="9"/>
      <c r="GG109" s="9"/>
      <c r="GH109" s="9"/>
      <c r="GI109" s="9"/>
      <c r="GJ109" s="9"/>
      <c r="GK109" s="9"/>
      <c r="GL109" s="9"/>
      <c r="GM109" s="9"/>
      <c r="GN109" s="9"/>
      <c r="GO109" s="9"/>
      <c r="GP109" s="9"/>
      <c r="GQ109" s="9"/>
      <c r="GR109" s="9"/>
      <c r="GS109" s="9"/>
      <c r="GT109" s="9">
        <v>15.62</v>
      </c>
      <c r="GU109" s="9"/>
      <c r="GV109" s="9"/>
      <c r="GW109" s="9"/>
      <c r="GX109" s="9">
        <v>25.87</v>
      </c>
      <c r="GY109" s="9"/>
      <c r="GZ109" s="9"/>
      <c r="HA109" s="9"/>
      <c r="HB109" s="9">
        <v>47.87</v>
      </c>
      <c r="HC109" s="9"/>
      <c r="HD109" s="9"/>
      <c r="HE109" s="9"/>
      <c r="HF109" s="9"/>
      <c r="HG109" s="9"/>
      <c r="HH109" s="9"/>
      <c r="HI109" s="9"/>
      <c r="HJ109" s="9"/>
      <c r="HK109" s="9"/>
      <c r="HL109" s="9"/>
      <c r="HM109" s="9"/>
      <c r="HN109" s="9"/>
      <c r="HO109" s="9"/>
      <c r="HP109" s="9"/>
      <c r="HQ109" s="62">
        <f t="shared" si="9"/>
        <v>565.44000000000005</v>
      </c>
      <c r="HR109" s="62">
        <f t="shared" si="8"/>
        <v>9.4240000000000013</v>
      </c>
    </row>
    <row r="110" spans="1:226" ht="12.95" customHeight="1" x14ac:dyDescent="0.2">
      <c r="A110" s="11">
        <v>169</v>
      </c>
      <c r="B110" s="9">
        <v>156</v>
      </c>
      <c r="C110" s="9" t="s">
        <v>83</v>
      </c>
      <c r="D110" s="9">
        <v>11</v>
      </c>
      <c r="E110" s="9" t="s">
        <v>79</v>
      </c>
      <c r="F110" s="9">
        <v>764368081</v>
      </c>
      <c r="G110" s="9" t="s">
        <v>81</v>
      </c>
      <c r="H110" s="9" t="s">
        <v>84</v>
      </c>
      <c r="I110" s="13" t="s">
        <v>324</v>
      </c>
      <c r="J110" s="13"/>
      <c r="M110" s="13" t="s">
        <v>1319</v>
      </c>
      <c r="N110" s="13" t="s">
        <v>618</v>
      </c>
      <c r="O110" s="13"/>
      <c r="P110" s="13" t="s">
        <v>87</v>
      </c>
      <c r="Q110" s="13" t="s">
        <v>1358</v>
      </c>
      <c r="S110" s="13" t="s">
        <v>84</v>
      </c>
      <c r="T110" s="13" t="s">
        <v>84</v>
      </c>
      <c r="U110" s="13" t="s">
        <v>84</v>
      </c>
      <c r="V110" s="13" t="s">
        <v>82</v>
      </c>
      <c r="W110" s="13" t="s">
        <v>82</v>
      </c>
      <c r="X110" s="13" t="s">
        <v>82</v>
      </c>
      <c r="Y110" s="13" t="s">
        <v>84</v>
      </c>
      <c r="Z110" s="13" t="s">
        <v>84</v>
      </c>
      <c r="AA110" s="13"/>
      <c r="AB110" s="13" t="s">
        <v>82</v>
      </c>
      <c r="AC110" s="13"/>
      <c r="AD110" s="13" t="s">
        <v>82</v>
      </c>
      <c r="AE110" s="13"/>
      <c r="AF110" s="13"/>
      <c r="AG110" s="13" t="s">
        <v>84</v>
      </c>
      <c r="AH110" s="13" t="s">
        <v>2069</v>
      </c>
      <c r="AI110" s="13" t="s">
        <v>84</v>
      </c>
      <c r="AJ110" s="13"/>
      <c r="AK110" s="13" t="s">
        <v>2070</v>
      </c>
      <c r="AL110" s="13" t="s">
        <v>140</v>
      </c>
      <c r="AM110" s="13" t="s">
        <v>91</v>
      </c>
      <c r="AN110" s="13"/>
      <c r="AO110" s="13" t="s">
        <v>80</v>
      </c>
      <c r="AQ110" s="13" t="s">
        <v>80</v>
      </c>
      <c r="AR110" s="13" t="s">
        <v>80</v>
      </c>
      <c r="AS110" s="13" t="s">
        <v>80</v>
      </c>
      <c r="AT110" s="13" t="s">
        <v>80</v>
      </c>
      <c r="AU110" s="13"/>
      <c r="AW110" s="13" t="s">
        <v>84</v>
      </c>
      <c r="AX110" s="13" t="s">
        <v>82</v>
      </c>
      <c r="AY110" s="13" t="s">
        <v>84</v>
      </c>
      <c r="AZ110" s="13" t="s">
        <v>84</v>
      </c>
      <c r="BA110" s="13"/>
      <c r="BB110" s="13" t="s">
        <v>84</v>
      </c>
      <c r="BC110" s="13" t="s">
        <v>80</v>
      </c>
      <c r="BD110" s="13" t="s">
        <v>100</v>
      </c>
      <c r="BE110" s="13" t="s">
        <v>100</v>
      </c>
      <c r="BF110" s="13" t="s">
        <v>100</v>
      </c>
      <c r="BG110" s="13" t="s">
        <v>82</v>
      </c>
      <c r="BH110" s="13" t="s">
        <v>84</v>
      </c>
      <c r="BI110" s="13" t="s">
        <v>2145</v>
      </c>
      <c r="BJ110" s="13" t="s">
        <v>84</v>
      </c>
      <c r="BK110" s="13" t="s">
        <v>80</v>
      </c>
      <c r="BL110" s="13">
        <v>3</v>
      </c>
      <c r="BM110" s="13">
        <v>3</v>
      </c>
      <c r="BN110" s="13">
        <v>3</v>
      </c>
      <c r="BO110" s="13">
        <v>1</v>
      </c>
      <c r="BP110" s="13">
        <v>5</v>
      </c>
      <c r="BQ110" s="13">
        <v>3</v>
      </c>
      <c r="BS110" s="13" t="s">
        <v>97</v>
      </c>
      <c r="BT110" s="13"/>
      <c r="BU110" s="13" t="s">
        <v>246</v>
      </c>
      <c r="BV110" s="13"/>
      <c r="BX110" s="13" t="s">
        <v>80</v>
      </c>
      <c r="BY110" s="13"/>
      <c r="BZ110" s="13" t="s">
        <v>80</v>
      </c>
      <c r="CA110" s="13"/>
      <c r="CB110" s="13" t="s">
        <v>80</v>
      </c>
      <c r="CC110" s="13"/>
      <c r="CD110" s="13" t="s">
        <v>80</v>
      </c>
      <c r="CE110" s="13"/>
      <c r="CF110" s="13"/>
      <c r="CG110" s="13"/>
      <c r="CI110" s="13" t="s">
        <v>84</v>
      </c>
      <c r="CJ110" s="13"/>
      <c r="CK110" s="13" t="s">
        <v>84</v>
      </c>
      <c r="CL110" s="13"/>
      <c r="CM110" s="13" t="s">
        <v>82</v>
      </c>
      <c r="CN110" s="13"/>
      <c r="CO110" s="13"/>
      <c r="CP110" s="13"/>
      <c r="CQ110" s="13" t="s">
        <v>99</v>
      </c>
      <c r="CR110" s="13" t="s">
        <v>80</v>
      </c>
      <c r="CS110" s="13" t="s">
        <v>97</v>
      </c>
      <c r="CT110" s="13" t="s">
        <v>2237</v>
      </c>
      <c r="CU110" s="13" t="s">
        <v>81</v>
      </c>
      <c r="CV110" s="13"/>
      <c r="CW110" s="13" t="s">
        <v>82</v>
      </c>
      <c r="CX110" s="13"/>
      <c r="CY110" s="13" t="s">
        <v>81</v>
      </c>
      <c r="CZ110" s="13" t="s">
        <v>2238</v>
      </c>
      <c r="DA110" s="13" t="s">
        <v>82</v>
      </c>
      <c r="DB110" s="13"/>
      <c r="DC110" s="13" t="s">
        <v>84</v>
      </c>
      <c r="DD110" s="13" t="s">
        <v>84</v>
      </c>
      <c r="DG110" s="13">
        <v>5</v>
      </c>
      <c r="DH110" s="13">
        <v>1</v>
      </c>
      <c r="DI110" s="13">
        <v>2</v>
      </c>
      <c r="DJ110" s="13">
        <v>1</v>
      </c>
      <c r="DK110" s="13">
        <v>2</v>
      </c>
      <c r="DL110" s="13">
        <v>2</v>
      </c>
      <c r="DM110" s="13">
        <v>2</v>
      </c>
      <c r="DN110" s="13">
        <v>2</v>
      </c>
      <c r="DO110" s="13">
        <v>3</v>
      </c>
      <c r="DP110" s="13">
        <v>2</v>
      </c>
      <c r="DQ110" s="13">
        <v>4</v>
      </c>
      <c r="DR110" s="13">
        <v>3</v>
      </c>
      <c r="DS110" s="13" t="s">
        <v>99</v>
      </c>
      <c r="DT110" s="13" t="s">
        <v>106</v>
      </c>
      <c r="DU110" s="13"/>
      <c r="DV110" s="13" t="s">
        <v>84</v>
      </c>
      <c r="DW110" s="13" t="s">
        <v>100</v>
      </c>
      <c r="DX110" s="13" t="s">
        <v>81</v>
      </c>
      <c r="DY110" s="13" t="s">
        <v>2384</v>
      </c>
      <c r="DZ110" s="13" t="s">
        <v>113</v>
      </c>
      <c r="EA110" s="13" t="s">
        <v>2385</v>
      </c>
      <c r="EB110" s="13" t="s">
        <v>82</v>
      </c>
      <c r="EC110" s="13"/>
      <c r="ED110" s="13" t="s">
        <v>81</v>
      </c>
      <c r="EE110" s="13" t="s">
        <v>2386</v>
      </c>
      <c r="EF110" s="13" t="s">
        <v>82</v>
      </c>
      <c r="EG110" s="13" t="s">
        <v>82</v>
      </c>
      <c r="EH110" s="13" t="s">
        <v>82</v>
      </c>
      <c r="EI110" s="13"/>
      <c r="EJ110" s="13" t="s">
        <v>2387</v>
      </c>
      <c r="EK110" s="13" t="s">
        <v>2388</v>
      </c>
      <c r="EL110" s="13" t="s">
        <v>2389</v>
      </c>
      <c r="EM110" s="9">
        <v>1278.68</v>
      </c>
      <c r="EN110" s="9">
        <v>14.57</v>
      </c>
      <c r="EO110" s="9"/>
      <c r="EP110" s="9"/>
      <c r="EQ110" s="9">
        <v>64.33</v>
      </c>
      <c r="ER110" s="9"/>
      <c r="ES110" s="9"/>
      <c r="ET110" s="9"/>
      <c r="EU110" s="9"/>
      <c r="EV110" s="9"/>
      <c r="EW110" s="9">
        <v>83.88</v>
      </c>
      <c r="EX110" s="9"/>
      <c r="EY110" s="9"/>
      <c r="EZ110" s="9"/>
      <c r="FA110" s="9"/>
      <c r="FB110" s="9"/>
      <c r="FC110" s="9"/>
      <c r="FD110" s="9"/>
      <c r="FE110" s="9"/>
      <c r="FF110" s="9">
        <v>54.84</v>
      </c>
      <c r="FG110" s="9"/>
      <c r="FH110" s="9"/>
      <c r="FI110" s="9"/>
      <c r="FJ110" s="9">
        <v>39.49</v>
      </c>
      <c r="FK110" s="9"/>
      <c r="FL110" s="9"/>
      <c r="FM110" s="9"/>
      <c r="FN110" s="9"/>
      <c r="FO110" s="9"/>
      <c r="FP110" s="9">
        <v>37.53</v>
      </c>
      <c r="FQ110" s="9"/>
      <c r="FR110" s="9"/>
      <c r="FS110" s="9"/>
      <c r="FT110" s="9"/>
      <c r="FU110" s="9"/>
      <c r="FV110" s="9">
        <v>210.37</v>
      </c>
      <c r="FW110" s="9"/>
      <c r="FX110" s="9"/>
      <c r="FY110" s="9"/>
      <c r="FZ110" s="9"/>
      <c r="GA110" s="9"/>
      <c r="GB110" s="9"/>
      <c r="GC110" s="9">
        <v>316.81</v>
      </c>
      <c r="GD110" s="9"/>
      <c r="GE110" s="9"/>
      <c r="GF110" s="9"/>
      <c r="GG110" s="9"/>
      <c r="GH110" s="9"/>
      <c r="GI110" s="9"/>
      <c r="GJ110" s="9"/>
      <c r="GK110" s="9"/>
      <c r="GL110" s="9"/>
      <c r="GM110" s="9"/>
      <c r="GN110" s="9"/>
      <c r="GO110" s="9"/>
      <c r="GP110" s="9"/>
      <c r="GQ110" s="9"/>
      <c r="GR110" s="9"/>
      <c r="GS110" s="9"/>
      <c r="GT110" s="9">
        <v>27.23</v>
      </c>
      <c r="GU110" s="9"/>
      <c r="GV110" s="9"/>
      <c r="GW110" s="9"/>
      <c r="GX110" s="9">
        <v>92.37</v>
      </c>
      <c r="GY110" s="9"/>
      <c r="GZ110" s="9"/>
      <c r="HA110" s="9"/>
      <c r="HB110" s="9">
        <v>337.26</v>
      </c>
      <c r="HC110" s="9"/>
      <c r="HD110" s="9"/>
      <c r="HE110" s="9"/>
      <c r="HF110" s="9"/>
      <c r="HG110" s="9"/>
      <c r="HH110" s="9"/>
      <c r="HI110" s="9"/>
      <c r="HJ110" s="9"/>
      <c r="HK110" s="9"/>
      <c r="HL110" s="9"/>
      <c r="HM110" s="9"/>
      <c r="HN110" s="9"/>
      <c r="HO110" s="9"/>
      <c r="HP110" s="9"/>
      <c r="HQ110" s="62">
        <f t="shared" si="9"/>
        <v>1278.68</v>
      </c>
      <c r="HR110" s="62">
        <f t="shared" si="8"/>
        <v>21.311333333333334</v>
      </c>
    </row>
    <row r="111" spans="1:226" ht="12.95" customHeight="1" x14ac:dyDescent="0.2">
      <c r="A111" s="11">
        <v>170</v>
      </c>
      <c r="B111" s="9">
        <v>158</v>
      </c>
      <c r="C111" s="9" t="s">
        <v>83</v>
      </c>
      <c r="D111" s="9">
        <v>11</v>
      </c>
      <c r="E111" s="9" t="s">
        <v>79</v>
      </c>
      <c r="F111" s="9">
        <v>26154053</v>
      </c>
      <c r="G111" s="9" t="s">
        <v>81</v>
      </c>
      <c r="H111" s="9" t="s">
        <v>84</v>
      </c>
      <c r="I111" s="13" t="s">
        <v>107</v>
      </c>
      <c r="J111" s="13"/>
      <c r="M111" s="13" t="s">
        <v>1309</v>
      </c>
      <c r="N111" s="13" t="s">
        <v>106</v>
      </c>
      <c r="O111" s="13"/>
      <c r="P111" s="13" t="s">
        <v>87</v>
      </c>
      <c r="Q111" s="13" t="s">
        <v>1320</v>
      </c>
      <c r="S111" s="13" t="s">
        <v>84</v>
      </c>
      <c r="T111" s="13" t="s">
        <v>84</v>
      </c>
      <c r="U111" s="13" t="s">
        <v>82</v>
      </c>
      <c r="V111" s="13" t="s">
        <v>84</v>
      </c>
      <c r="W111" s="13" t="s">
        <v>82</v>
      </c>
      <c r="X111" s="13" t="s">
        <v>84</v>
      </c>
      <c r="Y111" s="13" t="s">
        <v>82</v>
      </c>
      <c r="Z111" s="13" t="s">
        <v>82</v>
      </c>
      <c r="AA111" s="13"/>
      <c r="AB111" s="13" t="s">
        <v>84</v>
      </c>
      <c r="AC111" s="13" t="s">
        <v>2071</v>
      </c>
      <c r="AD111" s="13" t="s">
        <v>82</v>
      </c>
      <c r="AE111" s="13"/>
      <c r="AF111" s="13"/>
      <c r="AG111" s="13" t="s">
        <v>82</v>
      </c>
      <c r="AH111" s="13" t="s">
        <v>2072</v>
      </c>
      <c r="AI111" s="13" t="s">
        <v>84</v>
      </c>
      <c r="AJ111" s="13"/>
      <c r="AK111" s="13" t="s">
        <v>2073</v>
      </c>
      <c r="AL111" s="13" t="s">
        <v>126</v>
      </c>
      <c r="AM111" s="13" t="s">
        <v>111</v>
      </c>
      <c r="AN111" s="13"/>
      <c r="AO111" s="13" t="s">
        <v>80</v>
      </c>
      <c r="AQ111" s="13" t="s">
        <v>84</v>
      </c>
      <c r="AR111" s="13" t="s">
        <v>82</v>
      </c>
      <c r="AS111" s="13" t="s">
        <v>82</v>
      </c>
      <c r="AT111" s="13" t="s">
        <v>84</v>
      </c>
      <c r="AU111" s="13"/>
      <c r="AW111" s="13" t="s">
        <v>80</v>
      </c>
      <c r="AX111" s="13" t="s">
        <v>80</v>
      </c>
      <c r="AY111" s="13" t="s">
        <v>80</v>
      </c>
      <c r="AZ111" s="13" t="s">
        <v>80</v>
      </c>
      <c r="BA111" s="13"/>
      <c r="BB111" s="13" t="s">
        <v>84</v>
      </c>
      <c r="BC111" s="13" t="s">
        <v>80</v>
      </c>
      <c r="BD111" s="13" t="s">
        <v>112</v>
      </c>
      <c r="BE111" s="13" t="s">
        <v>112</v>
      </c>
      <c r="BF111" s="13" t="s">
        <v>113</v>
      </c>
      <c r="BG111" s="13" t="s">
        <v>82</v>
      </c>
      <c r="BH111" s="13" t="s">
        <v>84</v>
      </c>
      <c r="BI111" s="13" t="s">
        <v>2146</v>
      </c>
      <c r="BJ111" s="13" t="s">
        <v>84</v>
      </c>
      <c r="BK111" s="13" t="s">
        <v>80</v>
      </c>
      <c r="BL111" s="13">
        <v>3</v>
      </c>
      <c r="BM111" s="13">
        <v>4</v>
      </c>
      <c r="BN111" s="13">
        <v>3</v>
      </c>
      <c r="BO111" s="13">
        <v>5</v>
      </c>
      <c r="BP111" s="13">
        <v>3</v>
      </c>
      <c r="BQ111" s="13">
        <v>4</v>
      </c>
      <c r="BS111" s="13" t="s">
        <v>97</v>
      </c>
      <c r="BT111" s="13"/>
      <c r="BU111" s="13" t="s">
        <v>246</v>
      </c>
      <c r="BV111" s="13" t="s">
        <v>2168</v>
      </c>
      <c r="BX111" s="13" t="s">
        <v>80</v>
      </c>
      <c r="BY111" s="13"/>
      <c r="BZ111" s="13" t="s">
        <v>80</v>
      </c>
      <c r="CA111" s="13"/>
      <c r="CB111" s="13" t="s">
        <v>80</v>
      </c>
      <c r="CC111" s="13"/>
      <c r="CD111" s="13" t="s">
        <v>80</v>
      </c>
      <c r="CE111" s="13"/>
      <c r="CF111" s="13"/>
      <c r="CG111" s="13"/>
      <c r="CI111" s="13" t="s">
        <v>84</v>
      </c>
      <c r="CJ111" s="13"/>
      <c r="CK111" s="13" t="s">
        <v>82</v>
      </c>
      <c r="CL111" s="13"/>
      <c r="CM111" s="13" t="s">
        <v>82</v>
      </c>
      <c r="CN111" s="13"/>
      <c r="CO111" s="13"/>
      <c r="CP111" s="13"/>
      <c r="CQ111" s="13" t="s">
        <v>97</v>
      </c>
      <c r="CR111" s="13" t="s">
        <v>84</v>
      </c>
      <c r="CS111" s="13" t="s">
        <v>97</v>
      </c>
      <c r="CT111" s="13" t="s">
        <v>2239</v>
      </c>
      <c r="CU111" s="13" t="s">
        <v>246</v>
      </c>
      <c r="CV111" s="13" t="s">
        <v>2240</v>
      </c>
      <c r="CW111" s="13" t="s">
        <v>82</v>
      </c>
      <c r="CX111" s="13"/>
      <c r="CY111" s="13" t="s">
        <v>81</v>
      </c>
      <c r="CZ111" s="13" t="s">
        <v>2241</v>
      </c>
      <c r="DA111" s="13" t="s">
        <v>82</v>
      </c>
      <c r="DB111" s="13"/>
      <c r="DC111" s="13" t="s">
        <v>82</v>
      </c>
      <c r="DD111" s="13" t="s">
        <v>82</v>
      </c>
      <c r="DG111" s="13">
        <v>1</v>
      </c>
      <c r="DH111" s="13">
        <v>5</v>
      </c>
      <c r="DI111" s="13">
        <v>1</v>
      </c>
      <c r="DJ111" s="13">
        <v>5</v>
      </c>
      <c r="DK111" s="13">
        <v>4</v>
      </c>
      <c r="DL111" s="13">
        <v>5</v>
      </c>
      <c r="DM111" s="13">
        <v>4</v>
      </c>
      <c r="DN111" s="13">
        <v>5</v>
      </c>
      <c r="DO111" s="13">
        <v>1</v>
      </c>
      <c r="DP111" s="13">
        <v>5</v>
      </c>
      <c r="DQ111" s="13">
        <v>1</v>
      </c>
      <c r="DR111" s="13">
        <v>5</v>
      </c>
      <c r="DS111" s="13" t="s">
        <v>97</v>
      </c>
      <c r="DT111" s="13" t="s">
        <v>106</v>
      </c>
      <c r="DU111" s="13"/>
      <c r="DV111" s="13" t="s">
        <v>84</v>
      </c>
      <c r="DW111" s="13" t="s">
        <v>100</v>
      </c>
      <c r="DX111" s="13" t="s">
        <v>81</v>
      </c>
      <c r="DY111" s="13" t="s">
        <v>2390</v>
      </c>
      <c r="DZ111" s="13" t="s">
        <v>100</v>
      </c>
      <c r="EA111" s="13" t="s">
        <v>2391</v>
      </c>
      <c r="EB111" s="13" t="s">
        <v>82</v>
      </c>
      <c r="EC111" s="13"/>
      <c r="ED111" s="13" t="s">
        <v>246</v>
      </c>
      <c r="EE111" s="13" t="s">
        <v>2392</v>
      </c>
      <c r="EF111" s="13" t="s">
        <v>82</v>
      </c>
      <c r="EG111" s="13" t="s">
        <v>82</v>
      </c>
      <c r="EH111" s="13" t="s">
        <v>82</v>
      </c>
      <c r="EI111" s="13"/>
      <c r="EJ111" s="13" t="s">
        <v>2393</v>
      </c>
      <c r="EK111" s="13" t="s">
        <v>2394</v>
      </c>
      <c r="EL111" s="13" t="s">
        <v>2395</v>
      </c>
      <c r="EM111" s="9">
        <v>1053.21</v>
      </c>
      <c r="EN111" s="9">
        <v>27.7</v>
      </c>
      <c r="EO111" s="9"/>
      <c r="EP111" s="9"/>
      <c r="EQ111" s="9">
        <v>147.61000000000001</v>
      </c>
      <c r="ER111" s="9"/>
      <c r="ES111" s="9"/>
      <c r="ET111" s="9"/>
      <c r="EU111" s="9"/>
      <c r="EV111" s="9"/>
      <c r="EW111" s="9">
        <v>143.69999999999999</v>
      </c>
      <c r="EX111" s="9"/>
      <c r="EY111" s="9"/>
      <c r="EZ111" s="9"/>
      <c r="FA111" s="9"/>
      <c r="FB111" s="9"/>
      <c r="FC111" s="9"/>
      <c r="FD111" s="9"/>
      <c r="FE111" s="9"/>
      <c r="FF111" s="9">
        <v>33.33</v>
      </c>
      <c r="FG111" s="9"/>
      <c r="FH111" s="9"/>
      <c r="FI111" s="9"/>
      <c r="FJ111" s="9">
        <v>28.58</v>
      </c>
      <c r="FK111" s="9"/>
      <c r="FL111" s="9"/>
      <c r="FM111" s="9"/>
      <c r="FN111" s="9"/>
      <c r="FO111" s="9"/>
      <c r="FP111" s="9">
        <v>42.34</v>
      </c>
      <c r="FQ111" s="9"/>
      <c r="FR111" s="9"/>
      <c r="FS111" s="9"/>
      <c r="FT111" s="9"/>
      <c r="FU111" s="9"/>
      <c r="FV111" s="9">
        <v>154.87</v>
      </c>
      <c r="FW111" s="9"/>
      <c r="FX111" s="9"/>
      <c r="FY111" s="9"/>
      <c r="FZ111" s="9"/>
      <c r="GA111" s="9"/>
      <c r="GB111" s="9"/>
      <c r="GC111" s="9">
        <v>269.01</v>
      </c>
      <c r="GD111" s="9"/>
      <c r="GE111" s="9"/>
      <c r="GF111" s="9"/>
      <c r="GG111" s="9"/>
      <c r="GH111" s="9"/>
      <c r="GI111" s="9"/>
      <c r="GJ111" s="9"/>
      <c r="GK111" s="9"/>
      <c r="GL111" s="9"/>
      <c r="GM111" s="9"/>
      <c r="GN111" s="9"/>
      <c r="GO111" s="9"/>
      <c r="GP111" s="9"/>
      <c r="GQ111" s="9"/>
      <c r="GR111" s="9"/>
      <c r="GS111" s="9"/>
      <c r="GT111" s="9">
        <v>9.2200000000000006</v>
      </c>
      <c r="GU111" s="9"/>
      <c r="GV111" s="9"/>
      <c r="GW111" s="9"/>
      <c r="GX111" s="9">
        <v>43.01</v>
      </c>
      <c r="GY111" s="9"/>
      <c r="GZ111" s="9"/>
      <c r="HA111" s="9"/>
      <c r="HB111" s="9">
        <v>153.84</v>
      </c>
      <c r="HC111" s="9"/>
      <c r="HD111" s="9"/>
      <c r="HE111" s="9"/>
      <c r="HF111" s="9"/>
      <c r="HG111" s="9"/>
      <c r="HH111" s="9"/>
      <c r="HI111" s="9"/>
      <c r="HJ111" s="9"/>
      <c r="HK111" s="9"/>
      <c r="HL111" s="9"/>
      <c r="HM111" s="9"/>
      <c r="HN111" s="9"/>
      <c r="HO111" s="9"/>
      <c r="HP111" s="9"/>
      <c r="HQ111" s="62">
        <f t="shared" si="9"/>
        <v>1053.21</v>
      </c>
      <c r="HR111" s="62">
        <f t="shared" si="8"/>
        <v>17.5535</v>
      </c>
    </row>
    <row r="112" spans="1:226" ht="12.95" customHeight="1" x14ac:dyDescent="0.2">
      <c r="A112" s="11">
        <v>171</v>
      </c>
      <c r="B112" s="9">
        <v>159</v>
      </c>
      <c r="C112" s="9" t="s">
        <v>83</v>
      </c>
      <c r="D112" s="9">
        <v>11</v>
      </c>
      <c r="E112" s="9" t="s">
        <v>79</v>
      </c>
      <c r="F112" s="9">
        <v>1119256401</v>
      </c>
      <c r="G112" s="9" t="s">
        <v>81</v>
      </c>
      <c r="H112" s="9" t="s">
        <v>84</v>
      </c>
      <c r="I112" s="13" t="s">
        <v>119</v>
      </c>
      <c r="J112" s="13" t="s">
        <v>2004</v>
      </c>
      <c r="M112" s="13" t="s">
        <v>1319</v>
      </c>
      <c r="N112" s="13" t="s">
        <v>108</v>
      </c>
      <c r="O112" s="13"/>
      <c r="P112" s="13" t="s">
        <v>87</v>
      </c>
      <c r="Q112" s="13" t="s">
        <v>1358</v>
      </c>
      <c r="S112" s="13" t="s">
        <v>84</v>
      </c>
      <c r="T112" s="13" t="s">
        <v>84</v>
      </c>
      <c r="U112" s="13" t="s">
        <v>82</v>
      </c>
      <c r="V112" s="13" t="s">
        <v>82</v>
      </c>
      <c r="W112" s="13" t="s">
        <v>82</v>
      </c>
      <c r="X112" s="13" t="s">
        <v>82</v>
      </c>
      <c r="Y112" s="13" t="s">
        <v>82</v>
      </c>
      <c r="Z112" s="13" t="s">
        <v>82</v>
      </c>
      <c r="AA112" s="13"/>
      <c r="AB112" s="13" t="s">
        <v>84</v>
      </c>
      <c r="AC112" s="13" t="s">
        <v>2074</v>
      </c>
      <c r="AD112" s="13" t="s">
        <v>84</v>
      </c>
      <c r="AE112" s="13" t="s">
        <v>2075</v>
      </c>
      <c r="AF112" s="13" t="s">
        <v>2076</v>
      </c>
      <c r="AG112" s="13" t="s">
        <v>80</v>
      </c>
      <c r="AH112" s="13"/>
      <c r="AI112" s="13" t="s">
        <v>84</v>
      </c>
      <c r="AJ112" s="13" t="s">
        <v>2077</v>
      </c>
      <c r="AK112" s="13" t="s">
        <v>2078</v>
      </c>
      <c r="AL112" s="13" t="s">
        <v>90</v>
      </c>
      <c r="AM112" s="13" t="s">
        <v>91</v>
      </c>
      <c r="AN112" s="13"/>
      <c r="AO112" s="13" t="s">
        <v>80</v>
      </c>
      <c r="AQ112" s="13" t="s">
        <v>80</v>
      </c>
      <c r="AR112" s="13" t="s">
        <v>80</v>
      </c>
      <c r="AS112" s="13" t="s">
        <v>80</v>
      </c>
      <c r="AT112" s="13" t="s">
        <v>80</v>
      </c>
      <c r="AU112" s="13"/>
      <c r="AW112" s="13" t="s">
        <v>84</v>
      </c>
      <c r="AX112" s="13" t="s">
        <v>84</v>
      </c>
      <c r="AY112" s="13" t="s">
        <v>84</v>
      </c>
      <c r="AZ112" s="13" t="s">
        <v>84</v>
      </c>
      <c r="BA112" s="13"/>
      <c r="BB112" s="13" t="s">
        <v>84</v>
      </c>
      <c r="BC112" s="13" t="s">
        <v>80</v>
      </c>
      <c r="BD112" s="13" t="s">
        <v>93</v>
      </c>
      <c r="BE112" s="13" t="s">
        <v>93</v>
      </c>
      <c r="BF112" s="13" t="s">
        <v>112</v>
      </c>
      <c r="BG112" s="13" t="s">
        <v>84</v>
      </c>
      <c r="BH112" s="13" t="s">
        <v>84</v>
      </c>
      <c r="BI112" s="13" t="s">
        <v>2147</v>
      </c>
      <c r="BJ112" s="13" t="s">
        <v>84</v>
      </c>
      <c r="BK112" s="13" t="s">
        <v>80</v>
      </c>
      <c r="BL112" s="13">
        <v>4</v>
      </c>
      <c r="BM112" s="13">
        <v>4</v>
      </c>
      <c r="BN112" s="13">
        <v>2</v>
      </c>
      <c r="BO112" s="13">
        <v>1</v>
      </c>
      <c r="BP112" s="13">
        <v>5</v>
      </c>
      <c r="BQ112" s="13">
        <v>5</v>
      </c>
      <c r="BS112" s="13" t="s">
        <v>99</v>
      </c>
      <c r="BT112" s="13"/>
      <c r="BU112" s="13"/>
      <c r="BV112" s="13"/>
      <c r="BX112" s="13" t="s">
        <v>82</v>
      </c>
      <c r="BY112" s="13"/>
      <c r="BZ112" s="13" t="s">
        <v>84</v>
      </c>
      <c r="CA112" s="13"/>
      <c r="CB112" s="13" t="s">
        <v>82</v>
      </c>
      <c r="CC112" s="13"/>
      <c r="CD112" s="13" t="s">
        <v>82</v>
      </c>
      <c r="CE112" s="13"/>
      <c r="CF112" s="13"/>
      <c r="CG112" s="13"/>
      <c r="CI112" s="13" t="s">
        <v>84</v>
      </c>
      <c r="CJ112" s="13"/>
      <c r="CK112" s="13" t="s">
        <v>82</v>
      </c>
      <c r="CL112" s="13"/>
      <c r="CM112" s="13" t="s">
        <v>82</v>
      </c>
      <c r="CN112" s="13"/>
      <c r="CO112" s="13"/>
      <c r="CP112" s="13"/>
      <c r="CQ112" s="13" t="s">
        <v>118</v>
      </c>
      <c r="CR112" s="13" t="s">
        <v>84</v>
      </c>
      <c r="CS112" s="13" t="s">
        <v>1312</v>
      </c>
      <c r="CT112" s="13"/>
      <c r="CU112" s="13" t="s">
        <v>81</v>
      </c>
      <c r="CV112" s="13"/>
      <c r="CW112" s="13" t="s">
        <v>82</v>
      </c>
      <c r="CX112" s="13"/>
      <c r="CY112" s="13" t="s">
        <v>81</v>
      </c>
      <c r="CZ112" s="13"/>
      <c r="DA112" s="13" t="s">
        <v>82</v>
      </c>
      <c r="DB112" s="13"/>
      <c r="DC112" s="13" t="s">
        <v>84</v>
      </c>
      <c r="DD112" s="13" t="s">
        <v>84</v>
      </c>
      <c r="DG112" s="13">
        <v>4</v>
      </c>
      <c r="DH112" s="13">
        <v>2</v>
      </c>
      <c r="DI112" s="13">
        <v>3</v>
      </c>
      <c r="DJ112" s="13">
        <v>2</v>
      </c>
      <c r="DK112" s="13">
        <v>3</v>
      </c>
      <c r="DL112" s="13">
        <v>3</v>
      </c>
      <c r="DM112" s="13">
        <v>2</v>
      </c>
      <c r="DN112" s="13">
        <v>1</v>
      </c>
      <c r="DO112" s="13">
        <v>3</v>
      </c>
      <c r="DP112" s="13">
        <v>2</v>
      </c>
      <c r="DQ112" s="13">
        <v>2</v>
      </c>
      <c r="DR112" s="13">
        <v>1</v>
      </c>
      <c r="DS112" s="13" t="s">
        <v>118</v>
      </c>
      <c r="DT112" s="13" t="s">
        <v>82</v>
      </c>
      <c r="DU112" s="13" t="s">
        <v>2396</v>
      </c>
      <c r="DV112" s="13" t="s">
        <v>84</v>
      </c>
      <c r="DW112" s="13" t="s">
        <v>113</v>
      </c>
      <c r="DX112" s="13" t="s">
        <v>81</v>
      </c>
      <c r="DY112" s="13"/>
      <c r="DZ112" s="13" t="s">
        <v>100</v>
      </c>
      <c r="EA112" s="13"/>
      <c r="EB112" s="13" t="s">
        <v>84</v>
      </c>
      <c r="EC112" s="13"/>
      <c r="ED112" s="13"/>
      <c r="EE112" s="13"/>
      <c r="EF112" s="13" t="s">
        <v>82</v>
      </c>
      <c r="EG112" s="13" t="s">
        <v>82</v>
      </c>
      <c r="EH112" s="13" t="s">
        <v>82</v>
      </c>
      <c r="EI112" s="13"/>
      <c r="EJ112" s="13" t="s">
        <v>2397</v>
      </c>
      <c r="EK112" s="13" t="s">
        <v>2398</v>
      </c>
      <c r="EL112" s="13" t="s">
        <v>2399</v>
      </c>
      <c r="EM112" s="9">
        <v>1346.92</v>
      </c>
      <c r="EN112" s="9">
        <v>10.029999999999999</v>
      </c>
      <c r="EO112" s="9"/>
      <c r="EP112" s="9"/>
      <c r="EQ112" s="9">
        <v>105.51</v>
      </c>
      <c r="ER112" s="9"/>
      <c r="ES112" s="9"/>
      <c r="ET112" s="9"/>
      <c r="EU112" s="9"/>
      <c r="EV112" s="9"/>
      <c r="EW112" s="9">
        <v>257.72000000000003</v>
      </c>
      <c r="EX112" s="9"/>
      <c r="EY112" s="9"/>
      <c r="EZ112" s="9"/>
      <c r="FA112" s="9"/>
      <c r="FB112" s="9"/>
      <c r="FC112" s="9"/>
      <c r="FD112" s="9"/>
      <c r="FE112" s="9"/>
      <c r="FF112" s="9">
        <v>189.97</v>
      </c>
      <c r="FG112" s="9"/>
      <c r="FH112" s="9"/>
      <c r="FI112" s="9"/>
      <c r="FJ112" s="9">
        <v>15.43</v>
      </c>
      <c r="FK112" s="9"/>
      <c r="FL112" s="9"/>
      <c r="FM112" s="9"/>
      <c r="FN112" s="9"/>
      <c r="FO112" s="9"/>
      <c r="FP112" s="9">
        <v>25.08</v>
      </c>
      <c r="FQ112" s="9"/>
      <c r="FR112" s="9"/>
      <c r="FS112" s="9"/>
      <c r="FT112" s="9"/>
      <c r="FU112" s="9"/>
      <c r="FV112" s="9">
        <v>171.27</v>
      </c>
      <c r="FW112" s="9"/>
      <c r="FX112" s="9"/>
      <c r="FY112" s="9"/>
      <c r="FZ112" s="9"/>
      <c r="GA112" s="9"/>
      <c r="GB112" s="9"/>
      <c r="GC112" s="9">
        <v>161.46</v>
      </c>
      <c r="GD112" s="9"/>
      <c r="GE112" s="9"/>
      <c r="GF112" s="9"/>
      <c r="GG112" s="9"/>
      <c r="GH112" s="9"/>
      <c r="GI112" s="9"/>
      <c r="GJ112" s="9"/>
      <c r="GK112" s="9"/>
      <c r="GL112" s="9"/>
      <c r="GM112" s="9"/>
      <c r="GN112" s="9"/>
      <c r="GO112" s="9"/>
      <c r="GP112" s="9"/>
      <c r="GQ112" s="9"/>
      <c r="GR112" s="9"/>
      <c r="GS112" s="9"/>
      <c r="GT112" s="9">
        <v>57.74</v>
      </c>
      <c r="GU112" s="9"/>
      <c r="GV112" s="9"/>
      <c r="GW112" s="9"/>
      <c r="GX112" s="9">
        <v>18.46</v>
      </c>
      <c r="GY112" s="9"/>
      <c r="GZ112" s="9"/>
      <c r="HA112" s="9"/>
      <c r="HB112" s="9">
        <v>334.25</v>
      </c>
      <c r="HC112" s="9"/>
      <c r="HD112" s="9"/>
      <c r="HE112" s="9"/>
      <c r="HF112" s="9"/>
      <c r="HG112" s="9"/>
      <c r="HH112" s="9"/>
      <c r="HI112" s="9"/>
      <c r="HJ112" s="9"/>
      <c r="HK112" s="9"/>
      <c r="HL112" s="9"/>
      <c r="HM112" s="9"/>
      <c r="HN112" s="9"/>
      <c r="HO112" s="9"/>
      <c r="HP112" s="9"/>
      <c r="HQ112" s="62">
        <f t="shared" si="9"/>
        <v>1346.92</v>
      </c>
      <c r="HR112" s="62">
        <f t="shared" si="8"/>
        <v>22.448666666666668</v>
      </c>
    </row>
    <row r="113" spans="1:226" ht="12.95" customHeight="1" x14ac:dyDescent="0.2">
      <c r="A113" s="11">
        <v>172</v>
      </c>
      <c r="B113" s="9">
        <v>160</v>
      </c>
      <c r="C113" s="9" t="s">
        <v>83</v>
      </c>
      <c r="D113" s="9">
        <v>11</v>
      </c>
      <c r="E113" s="9" t="s">
        <v>79</v>
      </c>
      <c r="F113" s="9">
        <v>119341020</v>
      </c>
      <c r="G113" s="9" t="s">
        <v>81</v>
      </c>
      <c r="H113" s="9" t="s">
        <v>84</v>
      </c>
      <c r="I113" s="13" t="s">
        <v>161</v>
      </c>
      <c r="J113" s="13"/>
      <c r="M113" s="13" t="s">
        <v>1294</v>
      </c>
      <c r="N113" s="13" t="s">
        <v>618</v>
      </c>
      <c r="O113" s="13"/>
      <c r="P113" s="13" t="s">
        <v>253</v>
      </c>
      <c r="Q113" s="13" t="s">
        <v>1358</v>
      </c>
      <c r="S113" s="13" t="s">
        <v>84</v>
      </c>
      <c r="T113" s="13" t="s">
        <v>84</v>
      </c>
      <c r="U113" s="13" t="s">
        <v>84</v>
      </c>
      <c r="V113" s="13" t="s">
        <v>84</v>
      </c>
      <c r="W113" s="13" t="s">
        <v>82</v>
      </c>
      <c r="X113" s="13" t="s">
        <v>84</v>
      </c>
      <c r="Y113" s="13" t="s">
        <v>84</v>
      </c>
      <c r="Z113" s="13" t="s">
        <v>84</v>
      </c>
      <c r="AA113" s="13"/>
      <c r="AB113" s="13" t="s">
        <v>82</v>
      </c>
      <c r="AC113" s="13"/>
      <c r="AD113" s="13" t="s">
        <v>84</v>
      </c>
      <c r="AE113" s="13" t="s">
        <v>2079</v>
      </c>
      <c r="AF113" s="13" t="s">
        <v>2080</v>
      </c>
      <c r="AG113" s="13" t="s">
        <v>80</v>
      </c>
      <c r="AH113" s="13"/>
      <c r="AI113" s="13" t="s">
        <v>84</v>
      </c>
      <c r="AJ113" s="13"/>
      <c r="AK113" s="13" t="s">
        <v>2081</v>
      </c>
      <c r="AL113" s="13" t="s">
        <v>90</v>
      </c>
      <c r="AM113" s="13" t="s">
        <v>91</v>
      </c>
      <c r="AN113" s="13"/>
      <c r="AO113" s="13" t="s">
        <v>80</v>
      </c>
      <c r="AQ113" s="13" t="s">
        <v>80</v>
      </c>
      <c r="AR113" s="13" t="s">
        <v>80</v>
      </c>
      <c r="AS113" s="13" t="s">
        <v>80</v>
      </c>
      <c r="AT113" s="13" t="s">
        <v>80</v>
      </c>
      <c r="AU113" s="13"/>
      <c r="AW113" s="13" t="s">
        <v>84</v>
      </c>
      <c r="AX113" s="13" t="s">
        <v>82</v>
      </c>
      <c r="AY113" s="13" t="s">
        <v>84</v>
      </c>
      <c r="AZ113" s="13" t="s">
        <v>84</v>
      </c>
      <c r="BA113" s="13"/>
      <c r="BB113" s="13" t="s">
        <v>84</v>
      </c>
      <c r="BC113" s="13" t="s">
        <v>80</v>
      </c>
      <c r="BD113" s="13" t="s">
        <v>113</v>
      </c>
      <c r="BE113" s="13" t="s">
        <v>113</v>
      </c>
      <c r="BF113" s="13" t="s">
        <v>112</v>
      </c>
      <c r="BG113" s="13" t="s">
        <v>82</v>
      </c>
      <c r="BH113" s="13" t="s">
        <v>82</v>
      </c>
      <c r="BI113" s="13"/>
      <c r="BJ113" s="13" t="s">
        <v>82</v>
      </c>
      <c r="BK113" s="13" t="s">
        <v>82</v>
      </c>
      <c r="BL113" s="13">
        <v>4</v>
      </c>
      <c r="BM113" s="13">
        <v>1</v>
      </c>
      <c r="BN113" s="13">
        <v>2</v>
      </c>
      <c r="BO113" s="13">
        <v>1</v>
      </c>
      <c r="BP113" s="13">
        <v>5</v>
      </c>
      <c r="BQ113" s="13">
        <v>1</v>
      </c>
      <c r="BS113" s="13" t="s">
        <v>99</v>
      </c>
      <c r="BT113" s="13"/>
      <c r="BU113" s="13"/>
      <c r="BV113" s="13"/>
      <c r="BX113" s="13" t="s">
        <v>82</v>
      </c>
      <c r="BY113" s="13"/>
      <c r="BZ113" s="13" t="s">
        <v>84</v>
      </c>
      <c r="CA113" s="13"/>
      <c r="CB113" s="13" t="s">
        <v>82</v>
      </c>
      <c r="CC113" s="13"/>
      <c r="CD113" s="13" t="s">
        <v>82</v>
      </c>
      <c r="CE113" s="13"/>
      <c r="CF113" s="13"/>
      <c r="CG113" s="13"/>
      <c r="CI113" s="13" t="s">
        <v>84</v>
      </c>
      <c r="CJ113" s="13"/>
      <c r="CK113" s="13" t="s">
        <v>84</v>
      </c>
      <c r="CL113" s="13"/>
      <c r="CM113" s="13" t="s">
        <v>82</v>
      </c>
      <c r="CN113" s="13"/>
      <c r="CO113" s="13" t="s">
        <v>2242</v>
      </c>
      <c r="CP113" s="13" t="s">
        <v>2243</v>
      </c>
      <c r="CQ113" s="13" t="s">
        <v>99</v>
      </c>
      <c r="CR113" s="13" t="s">
        <v>80</v>
      </c>
      <c r="CS113" s="13" t="s">
        <v>1312</v>
      </c>
      <c r="CT113" s="13" t="s">
        <v>2244</v>
      </c>
      <c r="CU113" s="13" t="s">
        <v>81</v>
      </c>
      <c r="CV113" s="13"/>
      <c r="CW113" s="13" t="s">
        <v>84</v>
      </c>
      <c r="CX113" s="13" t="s">
        <v>2245</v>
      </c>
      <c r="CY113" s="13"/>
      <c r="CZ113" s="13"/>
      <c r="DA113" s="13" t="s">
        <v>82</v>
      </c>
      <c r="DB113" s="13"/>
      <c r="DC113" s="13" t="s">
        <v>84</v>
      </c>
      <c r="DD113" s="13" t="s">
        <v>84</v>
      </c>
      <c r="DG113" s="13">
        <v>1</v>
      </c>
      <c r="DH113" s="13">
        <v>1</v>
      </c>
      <c r="DI113" s="13">
        <v>1</v>
      </c>
      <c r="DJ113" s="13">
        <v>1</v>
      </c>
      <c r="DK113" s="13">
        <v>2</v>
      </c>
      <c r="DL113" s="13">
        <v>1</v>
      </c>
      <c r="DM113" s="13">
        <v>2</v>
      </c>
      <c r="DN113" s="13">
        <v>1</v>
      </c>
      <c r="DO113" s="13">
        <v>3</v>
      </c>
      <c r="DP113" s="13">
        <v>2</v>
      </c>
      <c r="DQ113" s="13">
        <v>2</v>
      </c>
      <c r="DR113" s="13">
        <v>2</v>
      </c>
      <c r="DS113" s="13" t="s">
        <v>99</v>
      </c>
      <c r="DT113" s="13" t="s">
        <v>84</v>
      </c>
      <c r="DU113" s="13"/>
      <c r="DV113" s="13" t="s">
        <v>84</v>
      </c>
      <c r="DW113" s="13" t="s">
        <v>113</v>
      </c>
      <c r="DX113" s="13" t="s">
        <v>81</v>
      </c>
      <c r="DY113" s="13" t="s">
        <v>2400</v>
      </c>
      <c r="DZ113" s="13" t="s">
        <v>113</v>
      </c>
      <c r="EA113" s="13" t="s">
        <v>2401</v>
      </c>
      <c r="EB113" s="13" t="s">
        <v>82</v>
      </c>
      <c r="EC113" s="13"/>
      <c r="ED113" s="13" t="s">
        <v>81</v>
      </c>
      <c r="EE113" s="13"/>
      <c r="EF113" s="13" t="s">
        <v>82</v>
      </c>
      <c r="EG113" s="13" t="s">
        <v>84</v>
      </c>
      <c r="EH113" s="13" t="s">
        <v>82</v>
      </c>
      <c r="EI113" s="13"/>
      <c r="EJ113" s="13" t="s">
        <v>2402</v>
      </c>
      <c r="EK113" s="13" t="s">
        <v>2403</v>
      </c>
      <c r="EL113" s="13" t="s">
        <v>2404</v>
      </c>
      <c r="EM113" s="9">
        <v>2574.67</v>
      </c>
      <c r="EN113" s="9">
        <v>38.159999999999997</v>
      </c>
      <c r="EO113" s="9"/>
      <c r="EP113" s="9"/>
      <c r="EQ113" s="9">
        <v>87.93</v>
      </c>
      <c r="ER113" s="9"/>
      <c r="ES113" s="9"/>
      <c r="ET113" s="9"/>
      <c r="EU113" s="9"/>
      <c r="EV113" s="9"/>
      <c r="EW113" s="9">
        <v>107.5</v>
      </c>
      <c r="EX113" s="9"/>
      <c r="EY113" s="9"/>
      <c r="EZ113" s="9"/>
      <c r="FA113" s="9"/>
      <c r="FB113" s="9"/>
      <c r="FC113" s="9"/>
      <c r="FD113" s="9"/>
      <c r="FE113" s="9"/>
      <c r="FF113" s="9">
        <v>176.74</v>
      </c>
      <c r="FG113" s="9"/>
      <c r="FH113" s="9"/>
      <c r="FI113" s="9"/>
      <c r="FJ113" s="9">
        <v>21.82</v>
      </c>
      <c r="FK113" s="9"/>
      <c r="FL113" s="9"/>
      <c r="FM113" s="9"/>
      <c r="FN113" s="9"/>
      <c r="FO113" s="9"/>
      <c r="FP113" s="9">
        <v>41.85</v>
      </c>
      <c r="FQ113" s="9"/>
      <c r="FR113" s="9"/>
      <c r="FS113" s="9"/>
      <c r="FT113" s="9"/>
      <c r="FU113" s="9"/>
      <c r="FV113" s="9">
        <v>120.24</v>
      </c>
      <c r="FW113" s="9"/>
      <c r="FX113" s="9"/>
      <c r="FY113" s="9"/>
      <c r="FZ113" s="9"/>
      <c r="GA113" s="9"/>
      <c r="GB113" s="9"/>
      <c r="GC113" s="9">
        <v>213.99</v>
      </c>
      <c r="GD113" s="9"/>
      <c r="GE113" s="9"/>
      <c r="GF113" s="9"/>
      <c r="GG113" s="9"/>
      <c r="GH113" s="9"/>
      <c r="GI113" s="9"/>
      <c r="GJ113" s="9"/>
      <c r="GK113" s="9"/>
      <c r="GL113" s="9"/>
      <c r="GM113" s="9"/>
      <c r="GN113" s="9"/>
      <c r="GO113" s="9"/>
      <c r="GP113" s="9"/>
      <c r="GQ113" s="9"/>
      <c r="GR113" s="9"/>
      <c r="GS113" s="9"/>
      <c r="GT113" s="9">
        <v>12.15</v>
      </c>
      <c r="GU113" s="9"/>
      <c r="GV113" s="9"/>
      <c r="GW113" s="9"/>
      <c r="GX113" s="9">
        <v>25.99</v>
      </c>
      <c r="GY113" s="9"/>
      <c r="GZ113" s="9"/>
      <c r="HA113" s="9"/>
      <c r="HB113" s="9">
        <v>1728.3</v>
      </c>
      <c r="HC113" s="9"/>
      <c r="HD113" s="9"/>
      <c r="HE113" s="9"/>
      <c r="HF113" s="9"/>
      <c r="HG113" s="9"/>
      <c r="HH113" s="9"/>
      <c r="HI113" s="9"/>
      <c r="HJ113" s="9"/>
      <c r="HK113" s="9"/>
      <c r="HL113" s="9"/>
      <c r="HM113" s="9"/>
      <c r="HN113" s="9"/>
      <c r="HO113" s="9"/>
      <c r="HP113" s="9"/>
      <c r="HQ113" s="62">
        <f t="shared" si="9"/>
        <v>2574.67</v>
      </c>
      <c r="HR113" s="62">
        <f t="shared" si="8"/>
        <v>42.911166666666666</v>
      </c>
    </row>
    <row r="114" spans="1:226" ht="12.95" customHeight="1" x14ac:dyDescent="0.2">
      <c r="A114" s="11">
        <v>173</v>
      </c>
      <c r="B114" s="9">
        <v>161</v>
      </c>
      <c r="C114" s="9" t="s">
        <v>83</v>
      </c>
      <c r="D114" s="9">
        <v>11</v>
      </c>
      <c r="E114" s="9" t="s">
        <v>79</v>
      </c>
      <c r="F114" s="9">
        <v>1591690681</v>
      </c>
      <c r="G114" s="9" t="s">
        <v>81</v>
      </c>
      <c r="H114" s="9" t="s">
        <v>84</v>
      </c>
      <c r="I114" s="13" t="s">
        <v>107</v>
      </c>
      <c r="J114" s="13"/>
      <c r="M114" s="13" t="s">
        <v>1319</v>
      </c>
      <c r="N114" s="13" t="s">
        <v>108</v>
      </c>
      <c r="O114" s="13"/>
      <c r="P114" s="13" t="s">
        <v>253</v>
      </c>
      <c r="Q114" s="13" t="s">
        <v>1766</v>
      </c>
      <c r="S114" s="13" t="s">
        <v>84</v>
      </c>
      <c r="T114" s="13" t="s">
        <v>84</v>
      </c>
      <c r="U114" s="13" t="s">
        <v>84</v>
      </c>
      <c r="V114" s="13" t="s">
        <v>82</v>
      </c>
      <c r="W114" s="13" t="s">
        <v>82</v>
      </c>
      <c r="X114" s="13" t="s">
        <v>84</v>
      </c>
      <c r="Y114" s="13" t="s">
        <v>84</v>
      </c>
      <c r="Z114" s="13" t="s">
        <v>82</v>
      </c>
      <c r="AA114" s="13"/>
      <c r="AB114" s="13" t="s">
        <v>82</v>
      </c>
      <c r="AC114" s="13"/>
      <c r="AD114" s="13" t="s">
        <v>84</v>
      </c>
      <c r="AE114" s="13" t="s">
        <v>240</v>
      </c>
      <c r="AF114" s="13" t="s">
        <v>813</v>
      </c>
      <c r="AG114" s="13" t="s">
        <v>80</v>
      </c>
      <c r="AH114" s="13"/>
      <c r="AI114" s="13" t="s">
        <v>84</v>
      </c>
      <c r="AJ114" s="13"/>
      <c r="AK114" s="13" t="s">
        <v>2082</v>
      </c>
      <c r="AL114" s="13" t="s">
        <v>126</v>
      </c>
      <c r="AM114" s="13" t="s">
        <v>111</v>
      </c>
      <c r="AN114" s="13"/>
      <c r="AO114" s="13" t="s">
        <v>80</v>
      </c>
      <c r="AQ114" s="13" t="s">
        <v>84</v>
      </c>
      <c r="AR114" s="13" t="s">
        <v>82</v>
      </c>
      <c r="AS114" s="13" t="s">
        <v>84</v>
      </c>
      <c r="AT114" s="13" t="s">
        <v>84</v>
      </c>
      <c r="AU114" s="13"/>
      <c r="AW114" s="13" t="s">
        <v>80</v>
      </c>
      <c r="AX114" s="13" t="s">
        <v>80</v>
      </c>
      <c r="AY114" s="13" t="s">
        <v>80</v>
      </c>
      <c r="AZ114" s="13" t="s">
        <v>80</v>
      </c>
      <c r="BA114" s="13"/>
      <c r="BB114" s="13" t="s">
        <v>84</v>
      </c>
      <c r="BC114" s="13" t="s">
        <v>80</v>
      </c>
      <c r="BD114" s="13" t="s">
        <v>100</v>
      </c>
      <c r="BE114" s="13" t="s">
        <v>100</v>
      </c>
      <c r="BF114" s="13" t="s">
        <v>112</v>
      </c>
      <c r="BG114" s="13" t="s">
        <v>84</v>
      </c>
      <c r="BH114" s="13" t="s">
        <v>82</v>
      </c>
      <c r="BI114" s="13"/>
      <c r="BJ114" s="13" t="s">
        <v>84</v>
      </c>
      <c r="BK114" s="13" t="s">
        <v>80</v>
      </c>
      <c r="BL114" s="13">
        <v>3</v>
      </c>
      <c r="BM114" s="13">
        <v>3</v>
      </c>
      <c r="BN114" s="13">
        <v>4</v>
      </c>
      <c r="BO114" s="13">
        <v>5</v>
      </c>
      <c r="BP114" s="13">
        <v>3</v>
      </c>
      <c r="BQ114" s="13">
        <v>3</v>
      </c>
      <c r="BS114" s="13" t="s">
        <v>97</v>
      </c>
      <c r="BT114" s="13"/>
      <c r="BU114" s="13" t="s">
        <v>246</v>
      </c>
      <c r="BV114" s="13" t="s">
        <v>2169</v>
      </c>
      <c r="BX114" s="13" t="s">
        <v>80</v>
      </c>
      <c r="BY114" s="13"/>
      <c r="BZ114" s="13" t="s">
        <v>80</v>
      </c>
      <c r="CA114" s="13"/>
      <c r="CB114" s="13" t="s">
        <v>80</v>
      </c>
      <c r="CC114" s="13"/>
      <c r="CD114" s="13" t="s">
        <v>80</v>
      </c>
      <c r="CE114" s="13"/>
      <c r="CF114" s="13"/>
      <c r="CG114" s="13"/>
      <c r="CI114" s="13" t="s">
        <v>84</v>
      </c>
      <c r="CJ114" s="13"/>
      <c r="CK114" s="13" t="s">
        <v>82</v>
      </c>
      <c r="CL114" s="13"/>
      <c r="CM114" s="13" t="s">
        <v>82</v>
      </c>
      <c r="CN114" s="13"/>
      <c r="CO114" s="13"/>
      <c r="CP114" s="13"/>
      <c r="CQ114" s="13" t="s">
        <v>118</v>
      </c>
      <c r="CR114" s="13" t="s">
        <v>84</v>
      </c>
      <c r="CS114" s="13" t="s">
        <v>97</v>
      </c>
      <c r="CT114" s="13" t="s">
        <v>2246</v>
      </c>
      <c r="CU114" s="13" t="s">
        <v>246</v>
      </c>
      <c r="CV114" s="13" t="s">
        <v>2247</v>
      </c>
      <c r="CW114" s="13" t="s">
        <v>82</v>
      </c>
      <c r="CX114" s="13"/>
      <c r="CY114" s="13" t="s">
        <v>246</v>
      </c>
      <c r="CZ114" s="13" t="s">
        <v>2248</v>
      </c>
      <c r="DA114" s="13" t="s">
        <v>84</v>
      </c>
      <c r="DB114" s="13" t="s">
        <v>2249</v>
      </c>
      <c r="DC114" s="13" t="s">
        <v>84</v>
      </c>
      <c r="DD114" s="13" t="s">
        <v>84</v>
      </c>
      <c r="DG114" s="13">
        <v>4</v>
      </c>
      <c r="DH114" s="13">
        <v>4</v>
      </c>
      <c r="DI114" s="13">
        <v>5</v>
      </c>
      <c r="DJ114" s="13">
        <v>4</v>
      </c>
      <c r="DK114" s="13">
        <v>2</v>
      </c>
      <c r="DL114" s="13">
        <v>2</v>
      </c>
      <c r="DM114" s="13">
        <v>5</v>
      </c>
      <c r="DN114" s="13">
        <v>4</v>
      </c>
      <c r="DO114" s="13">
        <v>3</v>
      </c>
      <c r="DP114" s="13">
        <v>4</v>
      </c>
      <c r="DQ114" s="13">
        <v>3</v>
      </c>
      <c r="DR114" s="13">
        <v>3</v>
      </c>
      <c r="DS114" s="13" t="s">
        <v>118</v>
      </c>
      <c r="DT114" s="13" t="s">
        <v>84</v>
      </c>
      <c r="DU114" s="13"/>
      <c r="DV114" s="13" t="s">
        <v>84</v>
      </c>
      <c r="DW114" s="13" t="s">
        <v>113</v>
      </c>
      <c r="DX114" s="13" t="s">
        <v>81</v>
      </c>
      <c r="DY114" s="13" t="s">
        <v>2405</v>
      </c>
      <c r="DZ114" s="13" t="s">
        <v>113</v>
      </c>
      <c r="EA114" s="13" t="s">
        <v>2406</v>
      </c>
      <c r="EB114" s="13" t="s">
        <v>82</v>
      </c>
      <c r="EC114" s="13"/>
      <c r="ED114" s="13" t="s">
        <v>81</v>
      </c>
      <c r="EE114" s="13" t="s">
        <v>2407</v>
      </c>
      <c r="EF114" s="13" t="s">
        <v>84</v>
      </c>
      <c r="EG114" s="13" t="s">
        <v>84</v>
      </c>
      <c r="EH114" s="13" t="s">
        <v>82</v>
      </c>
      <c r="EI114" s="13"/>
      <c r="EJ114" s="13" t="s">
        <v>2408</v>
      </c>
      <c r="EK114" s="13" t="s">
        <v>2409</v>
      </c>
      <c r="EL114" s="13" t="s">
        <v>2410</v>
      </c>
      <c r="EM114" s="9">
        <v>1495.67</v>
      </c>
      <c r="EN114" s="9">
        <v>21.59</v>
      </c>
      <c r="EO114" s="9"/>
      <c r="EP114" s="9"/>
      <c r="EQ114" s="9">
        <v>85.54</v>
      </c>
      <c r="ER114" s="9"/>
      <c r="ES114" s="9"/>
      <c r="ET114" s="9"/>
      <c r="EU114" s="9"/>
      <c r="EV114" s="9"/>
      <c r="EW114" s="9">
        <v>61.92</v>
      </c>
      <c r="EX114" s="9"/>
      <c r="EY114" s="9"/>
      <c r="EZ114" s="9"/>
      <c r="FA114" s="9"/>
      <c r="FB114" s="9"/>
      <c r="FC114" s="9"/>
      <c r="FD114" s="9"/>
      <c r="FE114" s="9"/>
      <c r="FF114" s="9">
        <v>36.99</v>
      </c>
      <c r="FG114" s="9"/>
      <c r="FH114" s="9"/>
      <c r="FI114" s="9"/>
      <c r="FJ114" s="9">
        <v>24.6</v>
      </c>
      <c r="FK114" s="9"/>
      <c r="FL114" s="9"/>
      <c r="FM114" s="9"/>
      <c r="FN114" s="9"/>
      <c r="FO114" s="9"/>
      <c r="FP114" s="9">
        <v>37.770000000000003</v>
      </c>
      <c r="FQ114" s="9"/>
      <c r="FR114" s="9"/>
      <c r="FS114" s="9"/>
      <c r="FT114" s="9"/>
      <c r="FU114" s="9"/>
      <c r="FV114" s="9">
        <v>65.98</v>
      </c>
      <c r="FW114" s="9"/>
      <c r="FX114" s="9"/>
      <c r="FY114" s="9"/>
      <c r="FZ114" s="9"/>
      <c r="GA114" s="9"/>
      <c r="GB114" s="9"/>
      <c r="GC114" s="9">
        <v>614.91999999999996</v>
      </c>
      <c r="GD114" s="9"/>
      <c r="GE114" s="9"/>
      <c r="GF114" s="9"/>
      <c r="GG114" s="9"/>
      <c r="GH114" s="9"/>
      <c r="GI114" s="9"/>
      <c r="GJ114" s="9"/>
      <c r="GK114" s="9"/>
      <c r="GL114" s="9"/>
      <c r="GM114" s="9"/>
      <c r="GN114" s="9"/>
      <c r="GO114" s="9"/>
      <c r="GP114" s="9"/>
      <c r="GQ114" s="9"/>
      <c r="GR114" s="9"/>
      <c r="GS114" s="9"/>
      <c r="GT114" s="9">
        <v>14.4</v>
      </c>
      <c r="GU114" s="9"/>
      <c r="GV114" s="9"/>
      <c r="GW114" s="9"/>
      <c r="GX114" s="9">
        <v>187.74</v>
      </c>
      <c r="GY114" s="9"/>
      <c r="GZ114" s="9"/>
      <c r="HA114" s="9"/>
      <c r="HB114" s="9">
        <v>344.22</v>
      </c>
      <c r="HC114" s="9"/>
      <c r="HD114" s="9"/>
      <c r="HE114" s="9"/>
      <c r="HF114" s="9"/>
      <c r="HG114" s="9"/>
      <c r="HH114" s="9"/>
      <c r="HI114" s="9"/>
      <c r="HJ114" s="9"/>
      <c r="HK114" s="9"/>
      <c r="HL114" s="9"/>
      <c r="HM114" s="9"/>
      <c r="HN114" s="9"/>
      <c r="HO114" s="9"/>
      <c r="HP114" s="9"/>
      <c r="HQ114" s="62">
        <f t="shared" si="9"/>
        <v>1495.67</v>
      </c>
      <c r="HR114" s="62">
        <f t="shared" si="8"/>
        <v>24.927833333333336</v>
      </c>
    </row>
    <row r="115" spans="1:226" ht="12.95" customHeight="1" x14ac:dyDescent="0.2">
      <c r="A115" s="11">
        <v>174</v>
      </c>
      <c r="B115" s="9">
        <v>162</v>
      </c>
      <c r="C115" s="9" t="s">
        <v>83</v>
      </c>
      <c r="D115" s="9">
        <v>11</v>
      </c>
      <c r="E115" s="9" t="s">
        <v>79</v>
      </c>
      <c r="F115" s="9">
        <v>23283661</v>
      </c>
      <c r="G115" s="9" t="s">
        <v>81</v>
      </c>
      <c r="H115" s="9" t="s">
        <v>84</v>
      </c>
      <c r="I115" s="13" t="s">
        <v>105</v>
      </c>
      <c r="J115" s="13"/>
      <c r="M115" s="13" t="s">
        <v>1319</v>
      </c>
      <c r="N115" s="13" t="s">
        <v>618</v>
      </c>
      <c r="O115" s="13"/>
      <c r="P115" s="13" t="s">
        <v>87</v>
      </c>
      <c r="Q115" s="13" t="s">
        <v>1296</v>
      </c>
      <c r="S115" s="13" t="s">
        <v>84</v>
      </c>
      <c r="T115" s="13" t="s">
        <v>84</v>
      </c>
      <c r="U115" s="13" t="s">
        <v>84</v>
      </c>
      <c r="V115" s="13" t="s">
        <v>82</v>
      </c>
      <c r="W115" s="13" t="s">
        <v>82</v>
      </c>
      <c r="X115" s="13" t="s">
        <v>82</v>
      </c>
      <c r="Y115" s="13" t="s">
        <v>84</v>
      </c>
      <c r="Z115" s="13" t="s">
        <v>84</v>
      </c>
      <c r="AA115" s="13"/>
      <c r="AB115" s="13" t="s">
        <v>82</v>
      </c>
      <c r="AC115" s="13"/>
      <c r="AD115" s="13" t="s">
        <v>82</v>
      </c>
      <c r="AE115" s="13"/>
      <c r="AF115" s="13"/>
      <c r="AG115" s="13" t="s">
        <v>84</v>
      </c>
      <c r="AH115" s="13"/>
      <c r="AI115" s="13" t="s">
        <v>84</v>
      </c>
      <c r="AJ115" s="13"/>
      <c r="AK115" s="13" t="s">
        <v>2083</v>
      </c>
      <c r="AL115" s="13" t="s">
        <v>126</v>
      </c>
      <c r="AM115" s="13" t="s">
        <v>91</v>
      </c>
      <c r="AN115" s="13"/>
      <c r="AO115" s="13" t="s">
        <v>80</v>
      </c>
      <c r="AQ115" s="13" t="s">
        <v>80</v>
      </c>
      <c r="AR115" s="13" t="s">
        <v>80</v>
      </c>
      <c r="AS115" s="13" t="s">
        <v>80</v>
      </c>
      <c r="AT115" s="13" t="s">
        <v>80</v>
      </c>
      <c r="AU115" s="13"/>
      <c r="AW115" s="13" t="s">
        <v>84</v>
      </c>
      <c r="AX115" s="13" t="s">
        <v>82</v>
      </c>
      <c r="AY115" s="13" t="s">
        <v>82</v>
      </c>
      <c r="AZ115" s="13" t="s">
        <v>84</v>
      </c>
      <c r="BA115" s="13"/>
      <c r="BB115" s="13" t="s">
        <v>84</v>
      </c>
      <c r="BC115" s="13" t="s">
        <v>80</v>
      </c>
      <c r="BD115" s="13" t="s">
        <v>100</v>
      </c>
      <c r="BE115" s="13" t="s">
        <v>112</v>
      </c>
      <c r="BF115" s="13" t="s">
        <v>113</v>
      </c>
      <c r="BG115" s="13" t="s">
        <v>84</v>
      </c>
      <c r="BH115" s="13" t="s">
        <v>84</v>
      </c>
      <c r="BI115" s="13" t="s">
        <v>2148</v>
      </c>
      <c r="BJ115" s="13" t="s">
        <v>84</v>
      </c>
      <c r="BK115" s="13" t="s">
        <v>80</v>
      </c>
      <c r="BL115" s="13">
        <v>2</v>
      </c>
      <c r="BM115" s="13">
        <v>1</v>
      </c>
      <c r="BN115" s="13">
        <v>1</v>
      </c>
      <c r="BO115" s="13">
        <v>1</v>
      </c>
      <c r="BP115" s="13">
        <v>2</v>
      </c>
      <c r="BQ115" s="13">
        <v>2</v>
      </c>
      <c r="BS115" s="13" t="s">
        <v>97</v>
      </c>
      <c r="BT115" s="13"/>
      <c r="BU115" s="13" t="s">
        <v>246</v>
      </c>
      <c r="BV115" s="13"/>
      <c r="BX115" s="13" t="s">
        <v>80</v>
      </c>
      <c r="BY115" s="13"/>
      <c r="BZ115" s="13" t="s">
        <v>80</v>
      </c>
      <c r="CA115" s="13"/>
      <c r="CB115" s="13" t="s">
        <v>80</v>
      </c>
      <c r="CC115" s="13"/>
      <c r="CD115" s="13" t="s">
        <v>80</v>
      </c>
      <c r="CE115" s="13"/>
      <c r="CF115" s="13"/>
      <c r="CG115" s="13"/>
      <c r="CI115" s="13" t="s">
        <v>84</v>
      </c>
      <c r="CJ115" s="13"/>
      <c r="CK115" s="13" t="s">
        <v>84</v>
      </c>
      <c r="CL115" s="13"/>
      <c r="CM115" s="13" t="s">
        <v>84</v>
      </c>
      <c r="CN115" s="13"/>
      <c r="CO115" s="13"/>
      <c r="CP115" s="13"/>
      <c r="CQ115" s="13" t="s">
        <v>97</v>
      </c>
      <c r="CR115" s="13" t="s">
        <v>84</v>
      </c>
      <c r="CS115" s="13" t="s">
        <v>97</v>
      </c>
      <c r="CT115" s="13"/>
      <c r="CU115" s="13" t="s">
        <v>246</v>
      </c>
      <c r="CV115" s="13"/>
      <c r="CW115" s="13" t="s">
        <v>82</v>
      </c>
      <c r="CX115" s="13"/>
      <c r="CY115" s="13" t="s">
        <v>81</v>
      </c>
      <c r="CZ115" s="13"/>
      <c r="DA115" s="13" t="s">
        <v>82</v>
      </c>
      <c r="DB115" s="13"/>
      <c r="DC115" s="13" t="s">
        <v>82</v>
      </c>
      <c r="DD115" s="13" t="s">
        <v>82</v>
      </c>
      <c r="DG115" s="13">
        <v>1</v>
      </c>
      <c r="DH115" s="13">
        <v>1</v>
      </c>
      <c r="DI115" s="13">
        <v>2</v>
      </c>
      <c r="DJ115" s="13">
        <v>1</v>
      </c>
      <c r="DK115" s="13">
        <v>1</v>
      </c>
      <c r="DL115" s="13">
        <v>1</v>
      </c>
      <c r="DM115" s="13">
        <v>2</v>
      </c>
      <c r="DN115" s="13">
        <v>2</v>
      </c>
      <c r="DO115" s="13">
        <v>1</v>
      </c>
      <c r="DP115" s="13">
        <v>1</v>
      </c>
      <c r="DQ115" s="13">
        <v>1</v>
      </c>
      <c r="DR115" s="13">
        <v>1</v>
      </c>
      <c r="DS115" s="13" t="s">
        <v>99</v>
      </c>
      <c r="DT115" s="13" t="s">
        <v>82</v>
      </c>
      <c r="DU115" s="13"/>
      <c r="DV115" s="13" t="s">
        <v>84</v>
      </c>
      <c r="DW115" s="13" t="s">
        <v>112</v>
      </c>
      <c r="DX115" s="13" t="s">
        <v>81</v>
      </c>
      <c r="DY115" s="13"/>
      <c r="DZ115" s="13" t="s">
        <v>100</v>
      </c>
      <c r="EA115" s="13"/>
      <c r="EB115" s="13" t="s">
        <v>82</v>
      </c>
      <c r="EC115" s="13"/>
      <c r="ED115" s="13" t="s">
        <v>81</v>
      </c>
      <c r="EE115" s="13"/>
      <c r="EF115" s="13" t="s">
        <v>84</v>
      </c>
      <c r="EG115" s="13" t="s">
        <v>84</v>
      </c>
      <c r="EH115" s="13" t="s">
        <v>84</v>
      </c>
      <c r="EI115" s="13" t="s">
        <v>2411</v>
      </c>
      <c r="EJ115" s="13" t="s">
        <v>2412</v>
      </c>
      <c r="EK115" s="13" t="s">
        <v>2413</v>
      </c>
      <c r="EL115" s="13" t="s">
        <v>2414</v>
      </c>
      <c r="EM115" s="9">
        <v>487.9</v>
      </c>
      <c r="EN115" s="9">
        <v>8.9700000000000006</v>
      </c>
      <c r="EO115" s="9"/>
      <c r="EP115" s="9"/>
      <c r="EQ115" s="9">
        <v>56.91</v>
      </c>
      <c r="ER115" s="9"/>
      <c r="ES115" s="9"/>
      <c r="ET115" s="9"/>
      <c r="EU115" s="9"/>
      <c r="EV115" s="9"/>
      <c r="EW115" s="9">
        <v>20.36</v>
      </c>
      <c r="EX115" s="9"/>
      <c r="EY115" s="9"/>
      <c r="EZ115" s="9"/>
      <c r="FA115" s="9"/>
      <c r="FB115" s="9"/>
      <c r="FC115" s="9"/>
      <c r="FD115" s="9"/>
      <c r="FE115" s="9"/>
      <c r="FF115" s="9">
        <v>98.85</v>
      </c>
      <c r="FG115" s="9"/>
      <c r="FH115" s="9"/>
      <c r="FI115" s="9"/>
      <c r="FJ115" s="9">
        <v>12.93</v>
      </c>
      <c r="FK115" s="9"/>
      <c r="FL115" s="9"/>
      <c r="FM115" s="9"/>
      <c r="FN115" s="9"/>
      <c r="FO115" s="9"/>
      <c r="FP115" s="9">
        <v>18.350000000000001</v>
      </c>
      <c r="FQ115" s="9"/>
      <c r="FR115" s="9"/>
      <c r="FS115" s="9"/>
      <c r="FT115" s="9"/>
      <c r="FU115" s="9"/>
      <c r="FV115" s="9">
        <v>58.82</v>
      </c>
      <c r="FW115" s="9"/>
      <c r="FX115" s="9"/>
      <c r="FY115" s="9"/>
      <c r="FZ115" s="9"/>
      <c r="GA115" s="9"/>
      <c r="GB115" s="9"/>
      <c r="GC115" s="9">
        <v>78.75</v>
      </c>
      <c r="GD115" s="9"/>
      <c r="GE115" s="9"/>
      <c r="GF115" s="9"/>
      <c r="GG115" s="9"/>
      <c r="GH115" s="9"/>
      <c r="GI115" s="9"/>
      <c r="GJ115" s="9"/>
      <c r="GK115" s="9"/>
      <c r="GL115" s="9"/>
      <c r="GM115" s="9"/>
      <c r="GN115" s="9"/>
      <c r="GO115" s="9"/>
      <c r="GP115" s="9"/>
      <c r="GQ115" s="9"/>
      <c r="GR115" s="9"/>
      <c r="GS115" s="9"/>
      <c r="GT115" s="9">
        <v>11.31</v>
      </c>
      <c r="GU115" s="9"/>
      <c r="GV115" s="9"/>
      <c r="GW115" s="9"/>
      <c r="GX115" s="9">
        <v>13.57</v>
      </c>
      <c r="GY115" s="9"/>
      <c r="GZ115" s="9"/>
      <c r="HA115" s="9"/>
      <c r="HB115" s="9">
        <v>109.08</v>
      </c>
      <c r="HC115" s="9"/>
      <c r="HD115" s="9"/>
      <c r="HE115" s="9"/>
      <c r="HF115" s="9"/>
      <c r="HG115" s="9"/>
      <c r="HH115" s="9"/>
      <c r="HI115" s="9"/>
      <c r="HJ115" s="9"/>
      <c r="HK115" s="9"/>
      <c r="HL115" s="9"/>
      <c r="HM115" s="9"/>
      <c r="HN115" s="9"/>
      <c r="HO115" s="9"/>
      <c r="HP115" s="9"/>
      <c r="HQ115" s="62">
        <f t="shared" si="9"/>
        <v>487.9</v>
      </c>
      <c r="HR115" s="62">
        <f t="shared" si="8"/>
        <v>8.1316666666666659</v>
      </c>
    </row>
    <row r="116" spans="1:226" ht="12.95" customHeight="1" x14ac:dyDescent="0.2">
      <c r="A116" s="11">
        <v>175</v>
      </c>
      <c r="B116" s="9">
        <v>164</v>
      </c>
      <c r="C116" s="9" t="s">
        <v>83</v>
      </c>
      <c r="D116" s="9">
        <v>11</v>
      </c>
      <c r="E116" s="9" t="s">
        <v>79</v>
      </c>
      <c r="F116" s="9">
        <v>1077405461</v>
      </c>
      <c r="G116" s="9" t="s">
        <v>81</v>
      </c>
      <c r="H116" s="9" t="s">
        <v>84</v>
      </c>
      <c r="I116" s="13" t="s">
        <v>324</v>
      </c>
      <c r="J116" s="13"/>
      <c r="M116" s="13" t="s">
        <v>1319</v>
      </c>
      <c r="N116" s="13" t="s">
        <v>108</v>
      </c>
      <c r="O116" s="13"/>
      <c r="P116" s="13" t="s">
        <v>253</v>
      </c>
      <c r="Q116" s="13" t="s">
        <v>1296</v>
      </c>
      <c r="S116" s="13" t="s">
        <v>84</v>
      </c>
      <c r="T116" s="13" t="s">
        <v>84</v>
      </c>
      <c r="U116" s="13" t="s">
        <v>84</v>
      </c>
      <c r="V116" s="13" t="s">
        <v>84</v>
      </c>
      <c r="W116" s="13" t="s">
        <v>82</v>
      </c>
      <c r="X116" s="13" t="s">
        <v>82</v>
      </c>
      <c r="Y116" s="13" t="s">
        <v>84</v>
      </c>
      <c r="Z116" s="13" t="s">
        <v>84</v>
      </c>
      <c r="AA116" s="13"/>
      <c r="AB116" s="13" t="s">
        <v>84</v>
      </c>
      <c r="AC116" s="13" t="s">
        <v>2084</v>
      </c>
      <c r="AD116" s="13" t="s">
        <v>82</v>
      </c>
      <c r="AE116" s="13"/>
      <c r="AF116" s="13"/>
      <c r="AG116" s="13" t="s">
        <v>82</v>
      </c>
      <c r="AH116" s="13" t="s">
        <v>2085</v>
      </c>
      <c r="AI116" s="13" t="s">
        <v>84</v>
      </c>
      <c r="AJ116" s="13"/>
      <c r="AK116" s="13" t="s">
        <v>2086</v>
      </c>
      <c r="AL116" s="13" t="s">
        <v>126</v>
      </c>
      <c r="AM116" s="13" t="s">
        <v>91</v>
      </c>
      <c r="AN116" s="13"/>
      <c r="AO116" s="13" t="s">
        <v>80</v>
      </c>
      <c r="AQ116" s="13" t="s">
        <v>80</v>
      </c>
      <c r="AR116" s="13" t="s">
        <v>80</v>
      </c>
      <c r="AS116" s="13" t="s">
        <v>80</v>
      </c>
      <c r="AT116" s="13" t="s">
        <v>80</v>
      </c>
      <c r="AU116" s="13"/>
      <c r="AW116" s="13" t="s">
        <v>84</v>
      </c>
      <c r="AX116" s="13" t="s">
        <v>84</v>
      </c>
      <c r="AY116" s="13" t="s">
        <v>82</v>
      </c>
      <c r="AZ116" s="13" t="s">
        <v>84</v>
      </c>
      <c r="BA116" s="13"/>
      <c r="BB116" s="13" t="s">
        <v>84</v>
      </c>
      <c r="BC116" s="13" t="s">
        <v>80</v>
      </c>
      <c r="BD116" s="13" t="s">
        <v>100</v>
      </c>
      <c r="BE116" s="13" t="s">
        <v>113</v>
      </c>
      <c r="BF116" s="13" t="s">
        <v>100</v>
      </c>
      <c r="BG116" s="13" t="s">
        <v>82</v>
      </c>
      <c r="BH116" s="13" t="s">
        <v>84</v>
      </c>
      <c r="BI116" s="13" t="s">
        <v>2149</v>
      </c>
      <c r="BJ116" s="13" t="s">
        <v>84</v>
      </c>
      <c r="BK116" s="13" t="s">
        <v>80</v>
      </c>
      <c r="BL116" s="13">
        <v>2</v>
      </c>
      <c r="BM116" s="13">
        <v>2</v>
      </c>
      <c r="BN116" s="13">
        <v>1</v>
      </c>
      <c r="BO116" s="13">
        <v>1</v>
      </c>
      <c r="BP116" s="13">
        <v>5</v>
      </c>
      <c r="BQ116" s="13">
        <v>5</v>
      </c>
      <c r="BS116" s="13" t="s">
        <v>118</v>
      </c>
      <c r="BT116" s="13"/>
      <c r="BU116" s="13"/>
      <c r="BV116" s="13"/>
      <c r="BX116" s="13" t="s">
        <v>84</v>
      </c>
      <c r="BY116" s="13" t="s">
        <v>2184</v>
      </c>
      <c r="BZ116" s="13" t="s">
        <v>82</v>
      </c>
      <c r="CA116" s="13"/>
      <c r="CB116" s="13" t="s">
        <v>84</v>
      </c>
      <c r="CC116" s="13" t="s">
        <v>2185</v>
      </c>
      <c r="CD116" s="13" t="s">
        <v>82</v>
      </c>
      <c r="CE116" s="13"/>
      <c r="CF116" s="13"/>
      <c r="CG116" s="13"/>
      <c r="CI116" s="13" t="s">
        <v>84</v>
      </c>
      <c r="CJ116" s="13"/>
      <c r="CK116" s="13" t="s">
        <v>84</v>
      </c>
      <c r="CL116" s="13"/>
      <c r="CM116" s="13" t="s">
        <v>82</v>
      </c>
      <c r="CN116" s="13"/>
      <c r="CO116" s="13"/>
      <c r="CP116" s="13"/>
      <c r="CQ116" s="13" t="s">
        <v>99</v>
      </c>
      <c r="CR116" s="13" t="s">
        <v>80</v>
      </c>
      <c r="CS116" s="13" t="s">
        <v>97</v>
      </c>
      <c r="CT116" s="13"/>
      <c r="CU116" s="13" t="s">
        <v>246</v>
      </c>
      <c r="CV116" s="13"/>
      <c r="CW116" s="13" t="s">
        <v>82</v>
      </c>
      <c r="CX116" s="13"/>
      <c r="CY116" s="13" t="s">
        <v>246</v>
      </c>
      <c r="CZ116" s="13" t="s">
        <v>2250</v>
      </c>
      <c r="DA116" s="13" t="s">
        <v>82</v>
      </c>
      <c r="DB116" s="13"/>
      <c r="DC116" s="13" t="s">
        <v>84</v>
      </c>
      <c r="DD116" s="13" t="s">
        <v>84</v>
      </c>
      <c r="DG116" s="13">
        <v>2</v>
      </c>
      <c r="DH116" s="13">
        <v>1</v>
      </c>
      <c r="DI116" s="13">
        <v>3</v>
      </c>
      <c r="DJ116" s="13">
        <v>4</v>
      </c>
      <c r="DK116" s="13">
        <v>2</v>
      </c>
      <c r="DL116" s="13">
        <v>3</v>
      </c>
      <c r="DM116" s="13">
        <v>1</v>
      </c>
      <c r="DN116" s="13">
        <v>1</v>
      </c>
      <c r="DO116" s="13">
        <v>4</v>
      </c>
      <c r="DP116" s="13">
        <v>3</v>
      </c>
      <c r="DQ116" s="13">
        <v>4</v>
      </c>
      <c r="DR116" s="13">
        <v>4</v>
      </c>
      <c r="DS116" s="13" t="s">
        <v>99</v>
      </c>
      <c r="DT116" s="13" t="s">
        <v>82</v>
      </c>
      <c r="DU116" s="13" t="s">
        <v>2415</v>
      </c>
      <c r="DV116" s="13" t="s">
        <v>84</v>
      </c>
      <c r="DW116" s="13" t="s">
        <v>100</v>
      </c>
      <c r="DX116" s="13" t="s">
        <v>246</v>
      </c>
      <c r="DY116" s="13" t="s">
        <v>2416</v>
      </c>
      <c r="DZ116" s="13" t="s">
        <v>113</v>
      </c>
      <c r="EA116" s="13" t="s">
        <v>2417</v>
      </c>
      <c r="EB116" s="13" t="s">
        <v>82</v>
      </c>
      <c r="EC116" s="13"/>
      <c r="ED116" s="13" t="s">
        <v>246</v>
      </c>
      <c r="EE116" s="13" t="s">
        <v>2418</v>
      </c>
      <c r="EF116" s="13" t="s">
        <v>82</v>
      </c>
      <c r="EG116" s="13" t="s">
        <v>84</v>
      </c>
      <c r="EH116" s="13" t="s">
        <v>84</v>
      </c>
      <c r="EI116" s="13" t="s">
        <v>2419</v>
      </c>
      <c r="EJ116" s="13" t="s">
        <v>2420</v>
      </c>
      <c r="EK116" s="13" t="s">
        <v>2421</v>
      </c>
      <c r="EL116" s="13" t="s">
        <v>2422</v>
      </c>
      <c r="EM116" s="9">
        <v>1600.45</v>
      </c>
      <c r="EN116" s="9">
        <v>19.3</v>
      </c>
      <c r="EO116" s="9"/>
      <c r="EP116" s="9"/>
      <c r="EQ116" s="9">
        <v>52.45</v>
      </c>
      <c r="ER116" s="9"/>
      <c r="ES116" s="9"/>
      <c r="ET116" s="9"/>
      <c r="EU116" s="9"/>
      <c r="EV116" s="9"/>
      <c r="EW116" s="9">
        <v>436.32</v>
      </c>
      <c r="EX116" s="9"/>
      <c r="EY116" s="9"/>
      <c r="EZ116" s="9"/>
      <c r="FA116" s="9"/>
      <c r="FB116" s="9"/>
      <c r="FC116" s="9"/>
      <c r="FD116" s="9"/>
      <c r="FE116" s="9"/>
      <c r="FF116" s="9">
        <v>42.35</v>
      </c>
      <c r="FG116" s="9"/>
      <c r="FH116" s="9"/>
      <c r="FI116" s="9"/>
      <c r="FJ116" s="9">
        <v>15.91</v>
      </c>
      <c r="FK116" s="9"/>
      <c r="FL116" s="9"/>
      <c r="FM116" s="9"/>
      <c r="FN116" s="9"/>
      <c r="FO116" s="9"/>
      <c r="FP116" s="9">
        <v>26.32</v>
      </c>
      <c r="FQ116" s="9"/>
      <c r="FR116" s="9"/>
      <c r="FS116" s="9"/>
      <c r="FT116" s="9"/>
      <c r="FU116" s="9"/>
      <c r="FV116" s="9">
        <v>116.4</v>
      </c>
      <c r="FW116" s="9"/>
      <c r="FX116" s="9"/>
      <c r="FY116" s="9"/>
      <c r="FZ116" s="9"/>
      <c r="GA116" s="9"/>
      <c r="GB116" s="9"/>
      <c r="GC116" s="9">
        <v>363.56</v>
      </c>
      <c r="GD116" s="9"/>
      <c r="GE116" s="9"/>
      <c r="GF116" s="9"/>
      <c r="GG116" s="9"/>
      <c r="GH116" s="9"/>
      <c r="GI116" s="9"/>
      <c r="GJ116" s="9"/>
      <c r="GK116" s="9"/>
      <c r="GL116" s="9"/>
      <c r="GM116" s="9"/>
      <c r="GN116" s="9"/>
      <c r="GO116" s="9"/>
      <c r="GP116" s="9"/>
      <c r="GQ116" s="9"/>
      <c r="GR116" s="9"/>
      <c r="GS116" s="9"/>
      <c r="GT116" s="9">
        <v>75.989999999999995</v>
      </c>
      <c r="GU116" s="9"/>
      <c r="GV116" s="9"/>
      <c r="GW116" s="9"/>
      <c r="GX116" s="9">
        <v>130.47999999999999</v>
      </c>
      <c r="GY116" s="9"/>
      <c r="GZ116" s="9"/>
      <c r="HA116" s="9"/>
      <c r="HB116" s="9">
        <v>321.37</v>
      </c>
      <c r="HC116" s="9"/>
      <c r="HD116" s="9"/>
      <c r="HE116" s="9"/>
      <c r="HF116" s="9"/>
      <c r="HG116" s="9"/>
      <c r="HH116" s="9"/>
      <c r="HI116" s="9"/>
      <c r="HJ116" s="9"/>
      <c r="HK116" s="9"/>
      <c r="HL116" s="9"/>
      <c r="HM116" s="9"/>
      <c r="HN116" s="9"/>
      <c r="HO116" s="9"/>
      <c r="HP116" s="9"/>
      <c r="HQ116" s="62">
        <f t="shared" si="9"/>
        <v>1600.45</v>
      </c>
      <c r="HR116" s="62">
        <f t="shared" si="8"/>
        <v>26.674166666666668</v>
      </c>
    </row>
    <row r="117" spans="1:226" ht="12.95" customHeight="1" x14ac:dyDescent="0.2">
      <c r="A117" s="11">
        <v>176</v>
      </c>
      <c r="B117" s="9">
        <v>165</v>
      </c>
      <c r="C117" s="9" t="s">
        <v>83</v>
      </c>
      <c r="D117" s="9">
        <v>11</v>
      </c>
      <c r="E117" s="9" t="s">
        <v>79</v>
      </c>
      <c r="F117" s="9">
        <v>1038766703</v>
      </c>
      <c r="G117" s="9" t="s">
        <v>81</v>
      </c>
      <c r="H117" s="9" t="s">
        <v>84</v>
      </c>
      <c r="I117" s="13" t="s">
        <v>107</v>
      </c>
      <c r="J117" s="13"/>
      <c r="M117" s="13" t="s">
        <v>1319</v>
      </c>
      <c r="N117" s="13" t="s">
        <v>108</v>
      </c>
      <c r="O117" s="13"/>
      <c r="P117" s="13" t="s">
        <v>87</v>
      </c>
      <c r="Q117" s="13" t="s">
        <v>1310</v>
      </c>
      <c r="S117" s="13" t="s">
        <v>84</v>
      </c>
      <c r="T117" s="13" t="s">
        <v>84</v>
      </c>
      <c r="U117" s="13" t="s">
        <v>84</v>
      </c>
      <c r="V117" s="13" t="s">
        <v>82</v>
      </c>
      <c r="W117" s="13" t="s">
        <v>82</v>
      </c>
      <c r="X117" s="13" t="s">
        <v>82</v>
      </c>
      <c r="Y117" s="13" t="s">
        <v>84</v>
      </c>
      <c r="Z117" s="13" t="s">
        <v>84</v>
      </c>
      <c r="AA117" s="13"/>
      <c r="AB117" s="13" t="s">
        <v>82</v>
      </c>
      <c r="AC117" s="13"/>
      <c r="AD117" s="13" t="s">
        <v>82</v>
      </c>
      <c r="AE117" s="13"/>
      <c r="AF117" s="13"/>
      <c r="AG117" s="13" t="s">
        <v>84</v>
      </c>
      <c r="AH117" s="13" t="s">
        <v>246</v>
      </c>
      <c r="AI117" s="13" t="s">
        <v>84</v>
      </c>
      <c r="AJ117" s="13"/>
      <c r="AK117" s="13" t="s">
        <v>2087</v>
      </c>
      <c r="AL117" s="13" t="s">
        <v>126</v>
      </c>
      <c r="AM117" s="13" t="s">
        <v>111</v>
      </c>
      <c r="AN117" s="13"/>
      <c r="AO117" s="13" t="s">
        <v>80</v>
      </c>
      <c r="AQ117" s="13" t="s">
        <v>84</v>
      </c>
      <c r="AR117" s="13" t="s">
        <v>84</v>
      </c>
      <c r="AS117" s="13" t="s">
        <v>84</v>
      </c>
      <c r="AT117" s="13" t="s">
        <v>84</v>
      </c>
      <c r="AU117" s="13"/>
      <c r="AW117" s="13" t="s">
        <v>80</v>
      </c>
      <c r="AX117" s="13" t="s">
        <v>80</v>
      </c>
      <c r="AY117" s="13" t="s">
        <v>80</v>
      </c>
      <c r="AZ117" s="13" t="s">
        <v>80</v>
      </c>
      <c r="BA117" s="13"/>
      <c r="BB117" s="13" t="s">
        <v>84</v>
      </c>
      <c r="BC117" s="13" t="s">
        <v>80</v>
      </c>
      <c r="BD117" s="13" t="s">
        <v>113</v>
      </c>
      <c r="BE117" s="13" t="s">
        <v>113</v>
      </c>
      <c r="BF117" s="13" t="s">
        <v>112</v>
      </c>
      <c r="BG117" s="13" t="s">
        <v>84</v>
      </c>
      <c r="BH117" s="13" t="s">
        <v>84</v>
      </c>
      <c r="BI117" s="13" t="s">
        <v>2150</v>
      </c>
      <c r="BJ117" s="13" t="s">
        <v>84</v>
      </c>
      <c r="BK117" s="13" t="s">
        <v>80</v>
      </c>
      <c r="BL117" s="13">
        <v>3</v>
      </c>
      <c r="BM117" s="13">
        <v>3</v>
      </c>
      <c r="BN117" s="13">
        <v>1</v>
      </c>
      <c r="BO117" s="13">
        <v>1</v>
      </c>
      <c r="BP117" s="13">
        <v>3</v>
      </c>
      <c r="BQ117" s="13">
        <v>3</v>
      </c>
      <c r="BS117" s="13" t="s">
        <v>118</v>
      </c>
      <c r="BT117" s="13"/>
      <c r="BU117" s="13"/>
      <c r="BV117" s="13"/>
      <c r="BX117" s="13" t="s">
        <v>82</v>
      </c>
      <c r="BY117" s="13"/>
      <c r="BZ117" s="13" t="s">
        <v>84</v>
      </c>
      <c r="CA117" s="13"/>
      <c r="CB117" s="13" t="s">
        <v>82</v>
      </c>
      <c r="CC117" s="13"/>
      <c r="CD117" s="13" t="s">
        <v>82</v>
      </c>
      <c r="CE117" s="13"/>
      <c r="CF117" s="13"/>
      <c r="CG117" s="13"/>
      <c r="CI117" s="13" t="s">
        <v>84</v>
      </c>
      <c r="CJ117" s="13"/>
      <c r="CK117" s="13" t="s">
        <v>82</v>
      </c>
      <c r="CL117" s="13"/>
      <c r="CM117" s="13" t="s">
        <v>82</v>
      </c>
      <c r="CN117" s="13"/>
      <c r="CO117" s="13"/>
      <c r="CP117" s="13"/>
      <c r="CQ117" s="13" t="s">
        <v>97</v>
      </c>
      <c r="CR117" s="13" t="s">
        <v>82</v>
      </c>
      <c r="CS117" s="13" t="s">
        <v>97</v>
      </c>
      <c r="CT117" s="13"/>
      <c r="CU117" s="13" t="s">
        <v>246</v>
      </c>
      <c r="CV117" s="13"/>
      <c r="CW117" s="13" t="s">
        <v>82</v>
      </c>
      <c r="CX117" s="13"/>
      <c r="CY117" s="13" t="s">
        <v>246</v>
      </c>
      <c r="CZ117" s="13"/>
      <c r="DA117" s="13" t="s">
        <v>82</v>
      </c>
      <c r="DB117" s="13"/>
      <c r="DC117" s="13" t="s">
        <v>84</v>
      </c>
      <c r="DD117" s="13" t="s">
        <v>84</v>
      </c>
      <c r="DG117" s="13">
        <v>4</v>
      </c>
      <c r="DH117" s="13">
        <v>1</v>
      </c>
      <c r="DI117" s="13">
        <v>3</v>
      </c>
      <c r="DJ117" s="13">
        <v>1</v>
      </c>
      <c r="DK117" s="13">
        <v>5</v>
      </c>
      <c r="DL117" s="13">
        <v>1</v>
      </c>
      <c r="DM117" s="13">
        <v>1</v>
      </c>
      <c r="DN117" s="13">
        <v>3</v>
      </c>
      <c r="DO117" s="13">
        <v>3</v>
      </c>
      <c r="DP117" s="13">
        <v>1</v>
      </c>
      <c r="DQ117" s="13">
        <v>5</v>
      </c>
      <c r="DR117" s="13">
        <v>1</v>
      </c>
      <c r="DS117" s="13" t="s">
        <v>97</v>
      </c>
      <c r="DT117" s="13" t="s">
        <v>106</v>
      </c>
      <c r="DU117" s="13"/>
      <c r="DV117" s="13" t="s">
        <v>84</v>
      </c>
      <c r="DW117" s="13" t="s">
        <v>100</v>
      </c>
      <c r="DX117" s="13" t="s">
        <v>81</v>
      </c>
      <c r="DY117" s="13"/>
      <c r="DZ117" s="13" t="s">
        <v>113</v>
      </c>
      <c r="EA117" s="13"/>
      <c r="EB117" s="13" t="s">
        <v>82</v>
      </c>
      <c r="EC117" s="13"/>
      <c r="ED117" s="13" t="s">
        <v>81</v>
      </c>
      <c r="EE117" s="13"/>
      <c r="EF117" s="13" t="s">
        <v>82</v>
      </c>
      <c r="EG117" s="13" t="s">
        <v>82</v>
      </c>
      <c r="EH117" s="13" t="s">
        <v>82</v>
      </c>
      <c r="EI117" s="13"/>
      <c r="EJ117" s="13"/>
      <c r="EK117" s="13"/>
      <c r="EL117" s="13"/>
      <c r="EM117" s="9">
        <v>449.82</v>
      </c>
      <c r="EN117" s="9">
        <v>18.190000000000001</v>
      </c>
      <c r="EO117" s="9"/>
      <c r="EP117" s="9"/>
      <c r="EQ117" s="9">
        <v>44.77</v>
      </c>
      <c r="ER117" s="9"/>
      <c r="ES117" s="9"/>
      <c r="ET117" s="9"/>
      <c r="EU117" s="9"/>
      <c r="EV117" s="9"/>
      <c r="EW117" s="9">
        <v>40.020000000000003</v>
      </c>
      <c r="EX117" s="9"/>
      <c r="EY117" s="9"/>
      <c r="EZ117" s="9"/>
      <c r="FA117" s="9"/>
      <c r="FB117" s="9"/>
      <c r="FC117" s="9"/>
      <c r="FD117" s="9"/>
      <c r="FE117" s="9"/>
      <c r="FF117" s="9">
        <v>41.07</v>
      </c>
      <c r="FG117" s="9"/>
      <c r="FH117" s="9"/>
      <c r="FI117" s="9"/>
      <c r="FJ117" s="9">
        <v>11</v>
      </c>
      <c r="FK117" s="9"/>
      <c r="FL117" s="9"/>
      <c r="FM117" s="9"/>
      <c r="FN117" s="9"/>
      <c r="FO117" s="9"/>
      <c r="FP117" s="9">
        <v>36.74</v>
      </c>
      <c r="FQ117" s="9"/>
      <c r="FR117" s="9"/>
      <c r="FS117" s="9"/>
      <c r="FT117" s="9"/>
      <c r="FU117" s="9"/>
      <c r="FV117" s="9">
        <v>89.25</v>
      </c>
      <c r="FW117" s="9"/>
      <c r="FX117" s="9"/>
      <c r="FY117" s="9"/>
      <c r="FZ117" s="9"/>
      <c r="GA117" s="9"/>
      <c r="GB117" s="9"/>
      <c r="GC117" s="9">
        <v>102.78</v>
      </c>
      <c r="GD117" s="9"/>
      <c r="GE117" s="9"/>
      <c r="GF117" s="9"/>
      <c r="GG117" s="9"/>
      <c r="GH117" s="9"/>
      <c r="GI117" s="9"/>
      <c r="GJ117" s="9"/>
      <c r="GK117" s="9"/>
      <c r="GL117" s="9"/>
      <c r="GM117" s="9"/>
      <c r="GN117" s="9"/>
      <c r="GO117" s="9"/>
      <c r="GP117" s="9"/>
      <c r="GQ117" s="9"/>
      <c r="GR117" s="9"/>
      <c r="GS117" s="9"/>
      <c r="GT117" s="9">
        <v>10.17</v>
      </c>
      <c r="GU117" s="9"/>
      <c r="GV117" s="9"/>
      <c r="GW117" s="9"/>
      <c r="GX117" s="9">
        <v>22.76</v>
      </c>
      <c r="GY117" s="9"/>
      <c r="GZ117" s="9"/>
      <c r="HA117" s="9"/>
      <c r="HB117" s="9">
        <v>33.07</v>
      </c>
      <c r="HC117" s="9"/>
      <c r="HD117" s="9"/>
      <c r="HE117" s="9"/>
      <c r="HF117" s="9"/>
      <c r="HG117" s="9"/>
      <c r="HH117" s="9"/>
      <c r="HI117" s="9"/>
      <c r="HJ117" s="9"/>
      <c r="HK117" s="9"/>
      <c r="HL117" s="9"/>
      <c r="HM117" s="9"/>
      <c r="HN117" s="9"/>
      <c r="HO117" s="9"/>
      <c r="HP117" s="9"/>
      <c r="HQ117" s="62">
        <f t="shared" si="9"/>
        <v>449.82</v>
      </c>
      <c r="HR117" s="62">
        <f t="shared" si="8"/>
        <v>7.4969999999999999</v>
      </c>
    </row>
    <row r="118" spans="1:226" ht="12.95" customHeight="1" x14ac:dyDescent="0.2">
      <c r="A118" s="11">
        <v>177</v>
      </c>
      <c r="B118" s="9">
        <v>166</v>
      </c>
      <c r="C118" s="9" t="s">
        <v>83</v>
      </c>
      <c r="D118" s="9">
        <v>11</v>
      </c>
      <c r="E118" s="9" t="s">
        <v>79</v>
      </c>
      <c r="F118" s="9">
        <v>1245905029</v>
      </c>
      <c r="G118" s="9" t="s">
        <v>81</v>
      </c>
      <c r="H118" s="9" t="s">
        <v>84</v>
      </c>
      <c r="I118" s="13" t="s">
        <v>119</v>
      </c>
      <c r="J118" s="13" t="s">
        <v>1485</v>
      </c>
      <c r="M118" s="13" t="s">
        <v>1319</v>
      </c>
      <c r="N118" s="13" t="s">
        <v>618</v>
      </c>
      <c r="O118" s="13"/>
      <c r="P118" s="13" t="s">
        <v>87</v>
      </c>
      <c r="Q118" s="13" t="s">
        <v>1296</v>
      </c>
      <c r="S118" s="13" t="s">
        <v>84</v>
      </c>
      <c r="T118" s="13" t="s">
        <v>84</v>
      </c>
      <c r="U118" s="13" t="s">
        <v>84</v>
      </c>
      <c r="V118" s="13" t="s">
        <v>84</v>
      </c>
      <c r="W118" s="13" t="s">
        <v>82</v>
      </c>
      <c r="X118" s="13" t="s">
        <v>82</v>
      </c>
      <c r="Y118" s="13" t="s">
        <v>82</v>
      </c>
      <c r="Z118" s="13" t="s">
        <v>82</v>
      </c>
      <c r="AA118" s="13"/>
      <c r="AB118" s="13" t="s">
        <v>84</v>
      </c>
      <c r="AC118" s="13" t="s">
        <v>2088</v>
      </c>
      <c r="AD118" s="13" t="s">
        <v>82</v>
      </c>
      <c r="AE118" s="13"/>
      <c r="AF118" s="13"/>
      <c r="AG118" s="13" t="s">
        <v>84</v>
      </c>
      <c r="AH118" s="13" t="s">
        <v>2089</v>
      </c>
      <c r="AI118" s="13" t="s">
        <v>84</v>
      </c>
      <c r="AJ118" s="13"/>
      <c r="AK118" s="13" t="s">
        <v>2090</v>
      </c>
      <c r="AL118" s="13" t="s">
        <v>126</v>
      </c>
      <c r="AM118" s="13" t="s">
        <v>111</v>
      </c>
      <c r="AN118" s="13"/>
      <c r="AO118" s="13" t="s">
        <v>80</v>
      </c>
      <c r="AQ118" s="13" t="s">
        <v>84</v>
      </c>
      <c r="AR118" s="13" t="s">
        <v>84</v>
      </c>
      <c r="AS118" s="13" t="s">
        <v>82</v>
      </c>
      <c r="AT118" s="13" t="s">
        <v>84</v>
      </c>
      <c r="AU118" s="13"/>
      <c r="AW118" s="13" t="s">
        <v>80</v>
      </c>
      <c r="AX118" s="13" t="s">
        <v>80</v>
      </c>
      <c r="AY118" s="13" t="s">
        <v>80</v>
      </c>
      <c r="AZ118" s="13" t="s">
        <v>80</v>
      </c>
      <c r="BA118" s="13"/>
      <c r="BB118" s="13" t="s">
        <v>84</v>
      </c>
      <c r="BC118" s="13" t="s">
        <v>80</v>
      </c>
      <c r="BD118" s="13" t="s">
        <v>112</v>
      </c>
      <c r="BE118" s="13" t="s">
        <v>112</v>
      </c>
      <c r="BF118" s="13" t="s">
        <v>100</v>
      </c>
      <c r="BG118" s="13" t="s">
        <v>84</v>
      </c>
      <c r="BH118" s="13" t="s">
        <v>82</v>
      </c>
      <c r="BI118" s="13"/>
      <c r="BJ118" s="13" t="s">
        <v>84</v>
      </c>
      <c r="BK118" s="13" t="s">
        <v>80</v>
      </c>
      <c r="BL118" s="13">
        <v>3</v>
      </c>
      <c r="BM118" s="13">
        <v>1</v>
      </c>
      <c r="BN118" s="13">
        <v>3</v>
      </c>
      <c r="BO118" s="13">
        <v>1</v>
      </c>
      <c r="BP118" s="13">
        <v>3</v>
      </c>
      <c r="BQ118" s="13">
        <v>1</v>
      </c>
      <c r="BS118" s="13" t="s">
        <v>97</v>
      </c>
      <c r="BT118" s="13"/>
      <c r="BU118" s="13" t="s">
        <v>81</v>
      </c>
      <c r="BV118" s="13"/>
      <c r="BX118" s="13" t="s">
        <v>80</v>
      </c>
      <c r="BY118" s="13"/>
      <c r="BZ118" s="13" t="s">
        <v>80</v>
      </c>
      <c r="CA118" s="13"/>
      <c r="CB118" s="13" t="s">
        <v>80</v>
      </c>
      <c r="CC118" s="13"/>
      <c r="CD118" s="13" t="s">
        <v>80</v>
      </c>
      <c r="CE118" s="13"/>
      <c r="CF118" s="13"/>
      <c r="CG118" s="13"/>
      <c r="CI118" s="13" t="s">
        <v>84</v>
      </c>
      <c r="CJ118" s="13"/>
      <c r="CK118" s="13" t="s">
        <v>84</v>
      </c>
      <c r="CL118" s="13"/>
      <c r="CM118" s="13" t="s">
        <v>82</v>
      </c>
      <c r="CN118" s="13"/>
      <c r="CO118" s="13"/>
      <c r="CP118" s="13"/>
      <c r="CQ118" s="13" t="s">
        <v>97</v>
      </c>
      <c r="CR118" s="13" t="s">
        <v>84</v>
      </c>
      <c r="CS118" s="13" t="s">
        <v>97</v>
      </c>
      <c r="CT118" s="13"/>
      <c r="CU118" s="13" t="s">
        <v>246</v>
      </c>
      <c r="CV118" s="13"/>
      <c r="CW118" s="13" t="s">
        <v>82</v>
      </c>
      <c r="CX118" s="13"/>
      <c r="CY118" s="13" t="s">
        <v>246</v>
      </c>
      <c r="CZ118" s="13" t="s">
        <v>2251</v>
      </c>
      <c r="DA118" s="13" t="s">
        <v>82</v>
      </c>
      <c r="DB118" s="13"/>
      <c r="DC118" s="13" t="s">
        <v>82</v>
      </c>
      <c r="DD118" s="13" t="s">
        <v>82</v>
      </c>
      <c r="DG118" s="13">
        <v>4</v>
      </c>
      <c r="DH118" s="13">
        <v>1</v>
      </c>
      <c r="DI118" s="13">
        <v>3</v>
      </c>
      <c r="DJ118" s="13">
        <v>1</v>
      </c>
      <c r="DK118" s="13">
        <v>1</v>
      </c>
      <c r="DL118" s="13">
        <v>1</v>
      </c>
      <c r="DM118" s="13">
        <v>1</v>
      </c>
      <c r="DN118" s="13">
        <v>1</v>
      </c>
      <c r="DO118" s="13">
        <v>4</v>
      </c>
      <c r="DP118" s="13">
        <v>2</v>
      </c>
      <c r="DQ118" s="13">
        <v>4</v>
      </c>
      <c r="DR118" s="13">
        <v>3</v>
      </c>
      <c r="DS118" s="13" t="s">
        <v>97</v>
      </c>
      <c r="DT118" s="13" t="s">
        <v>84</v>
      </c>
      <c r="DU118" s="13"/>
      <c r="DV118" s="13" t="s">
        <v>84</v>
      </c>
      <c r="DW118" s="13" t="s">
        <v>100</v>
      </c>
      <c r="DX118" s="13" t="s">
        <v>81</v>
      </c>
      <c r="DY118" s="13" t="s">
        <v>2423</v>
      </c>
      <c r="DZ118" s="13" t="s">
        <v>113</v>
      </c>
      <c r="EA118" s="13" t="s">
        <v>2424</v>
      </c>
      <c r="EB118" s="13" t="s">
        <v>82</v>
      </c>
      <c r="EC118" s="13"/>
      <c r="ED118" s="13" t="s">
        <v>246</v>
      </c>
      <c r="EE118" s="13" t="s">
        <v>2425</v>
      </c>
      <c r="EF118" s="13" t="s">
        <v>82</v>
      </c>
      <c r="EG118" s="13" t="s">
        <v>82</v>
      </c>
      <c r="EH118" s="13" t="s">
        <v>82</v>
      </c>
      <c r="EI118" s="13"/>
      <c r="EJ118" s="13" t="s">
        <v>2426</v>
      </c>
      <c r="EK118" s="13" t="s">
        <v>2427</v>
      </c>
      <c r="EL118" s="13" t="s">
        <v>2428</v>
      </c>
      <c r="EM118" s="9">
        <v>919.87</v>
      </c>
      <c r="EN118" s="9">
        <v>18.350000000000001</v>
      </c>
      <c r="EO118" s="9"/>
      <c r="EP118" s="9"/>
      <c r="EQ118" s="9">
        <v>163.38999999999999</v>
      </c>
      <c r="ER118" s="9"/>
      <c r="ES118" s="9"/>
      <c r="ET118" s="9"/>
      <c r="EU118" s="9"/>
      <c r="EV118" s="9"/>
      <c r="EW118" s="9">
        <v>105.31</v>
      </c>
      <c r="EX118" s="9"/>
      <c r="EY118" s="9"/>
      <c r="EZ118" s="9"/>
      <c r="FA118" s="9"/>
      <c r="FB118" s="9"/>
      <c r="FC118" s="9"/>
      <c r="FD118" s="9"/>
      <c r="FE118" s="9"/>
      <c r="FF118" s="9">
        <v>59.5</v>
      </c>
      <c r="FG118" s="9"/>
      <c r="FH118" s="9"/>
      <c r="FI118" s="9"/>
      <c r="FJ118" s="9">
        <v>21.46</v>
      </c>
      <c r="FK118" s="9"/>
      <c r="FL118" s="9"/>
      <c r="FM118" s="9"/>
      <c r="FN118" s="9"/>
      <c r="FO118" s="9"/>
      <c r="FP118" s="9">
        <v>43.29</v>
      </c>
      <c r="FQ118" s="9"/>
      <c r="FR118" s="9"/>
      <c r="FS118" s="9"/>
      <c r="FT118" s="9"/>
      <c r="FU118" s="9"/>
      <c r="FV118" s="9">
        <v>91.47</v>
      </c>
      <c r="FW118" s="9"/>
      <c r="FX118" s="9"/>
      <c r="FY118" s="9"/>
      <c r="FZ118" s="9"/>
      <c r="GA118" s="9"/>
      <c r="GB118" s="9"/>
      <c r="GC118" s="9">
        <v>200.86</v>
      </c>
      <c r="GD118" s="9"/>
      <c r="GE118" s="9"/>
      <c r="GF118" s="9"/>
      <c r="GG118" s="9"/>
      <c r="GH118" s="9"/>
      <c r="GI118" s="9"/>
      <c r="GJ118" s="9"/>
      <c r="GK118" s="9"/>
      <c r="GL118" s="9"/>
      <c r="GM118" s="9"/>
      <c r="GN118" s="9"/>
      <c r="GO118" s="9"/>
      <c r="GP118" s="9"/>
      <c r="GQ118" s="9"/>
      <c r="GR118" s="9"/>
      <c r="GS118" s="9"/>
      <c r="GT118" s="9">
        <v>25.79</v>
      </c>
      <c r="GU118" s="9"/>
      <c r="GV118" s="9"/>
      <c r="GW118" s="9"/>
      <c r="GX118" s="9">
        <v>50.94</v>
      </c>
      <c r="GY118" s="9"/>
      <c r="GZ118" s="9"/>
      <c r="HA118" s="9"/>
      <c r="HB118" s="9">
        <v>139.51</v>
      </c>
      <c r="HC118" s="9"/>
      <c r="HD118" s="9"/>
      <c r="HE118" s="9"/>
      <c r="HF118" s="9"/>
      <c r="HG118" s="9"/>
      <c r="HH118" s="9"/>
      <c r="HI118" s="9"/>
      <c r="HJ118" s="9"/>
      <c r="HK118" s="9"/>
      <c r="HL118" s="9"/>
      <c r="HM118" s="9"/>
      <c r="HN118" s="9"/>
      <c r="HO118" s="9"/>
      <c r="HP118" s="9"/>
      <c r="HQ118" s="62">
        <f t="shared" si="9"/>
        <v>919.87</v>
      </c>
      <c r="HR118" s="62">
        <f t="shared" si="8"/>
        <v>15.331166666666666</v>
      </c>
    </row>
    <row r="119" spans="1:226" ht="12.95" customHeight="1" x14ac:dyDescent="0.2">
      <c r="A119" s="11">
        <v>178</v>
      </c>
      <c r="B119" s="9">
        <v>167</v>
      </c>
      <c r="C119" s="9" t="s">
        <v>83</v>
      </c>
      <c r="D119" s="9">
        <v>11</v>
      </c>
      <c r="E119" s="9" t="s">
        <v>79</v>
      </c>
      <c r="F119" s="9">
        <v>1511269866</v>
      </c>
      <c r="G119" s="9" t="s">
        <v>81</v>
      </c>
      <c r="H119" s="9" t="s">
        <v>84</v>
      </c>
      <c r="I119" s="13" t="s">
        <v>105</v>
      </c>
      <c r="J119" s="13"/>
      <c r="M119" s="13" t="s">
        <v>1319</v>
      </c>
      <c r="N119" s="13" t="s">
        <v>86</v>
      </c>
      <c r="O119" s="13"/>
      <c r="P119" s="13" t="s">
        <v>87</v>
      </c>
      <c r="Q119" s="13" t="s">
        <v>1296</v>
      </c>
      <c r="S119" s="13" t="s">
        <v>84</v>
      </c>
      <c r="T119" s="13" t="s">
        <v>84</v>
      </c>
      <c r="U119" s="13" t="s">
        <v>84</v>
      </c>
      <c r="V119" s="13" t="s">
        <v>84</v>
      </c>
      <c r="W119" s="13" t="s">
        <v>82</v>
      </c>
      <c r="X119" s="13" t="s">
        <v>84</v>
      </c>
      <c r="Y119" s="13" t="s">
        <v>82</v>
      </c>
      <c r="Z119" s="13" t="s">
        <v>84</v>
      </c>
      <c r="AA119" s="13"/>
      <c r="AB119" s="13" t="s">
        <v>84</v>
      </c>
      <c r="AC119" s="13" t="s">
        <v>2091</v>
      </c>
      <c r="AD119" s="13" t="s">
        <v>84</v>
      </c>
      <c r="AE119" s="13" t="s">
        <v>2092</v>
      </c>
      <c r="AF119" s="13" t="s">
        <v>2093</v>
      </c>
      <c r="AG119" s="13" t="s">
        <v>80</v>
      </c>
      <c r="AH119" s="13"/>
      <c r="AI119" s="13" t="s">
        <v>84</v>
      </c>
      <c r="AJ119" s="13"/>
      <c r="AK119" s="13" t="s">
        <v>2094</v>
      </c>
      <c r="AL119" s="13" t="s">
        <v>126</v>
      </c>
      <c r="AM119" s="13" t="s">
        <v>91</v>
      </c>
      <c r="AN119" s="13"/>
      <c r="AO119" s="13" t="s">
        <v>80</v>
      </c>
      <c r="AQ119" s="13" t="s">
        <v>80</v>
      </c>
      <c r="AR119" s="13" t="s">
        <v>80</v>
      </c>
      <c r="AS119" s="13" t="s">
        <v>80</v>
      </c>
      <c r="AT119" s="13" t="s">
        <v>80</v>
      </c>
      <c r="AU119" s="13"/>
      <c r="AW119" s="13" t="s">
        <v>84</v>
      </c>
      <c r="AX119" s="13" t="s">
        <v>84</v>
      </c>
      <c r="AY119" s="13" t="s">
        <v>84</v>
      </c>
      <c r="AZ119" s="13" t="s">
        <v>84</v>
      </c>
      <c r="BA119" s="13"/>
      <c r="BB119" s="13" t="s">
        <v>84</v>
      </c>
      <c r="BC119" s="13" t="s">
        <v>80</v>
      </c>
      <c r="BD119" s="13" t="s">
        <v>113</v>
      </c>
      <c r="BE119" s="13" t="s">
        <v>100</v>
      </c>
      <c r="BF119" s="13" t="s">
        <v>113</v>
      </c>
      <c r="BG119" s="13" t="s">
        <v>84</v>
      </c>
      <c r="BH119" s="13" t="s">
        <v>84</v>
      </c>
      <c r="BI119" s="13" t="s">
        <v>2151</v>
      </c>
      <c r="BJ119" s="13" t="s">
        <v>84</v>
      </c>
      <c r="BK119" s="13" t="s">
        <v>80</v>
      </c>
      <c r="BL119" s="13">
        <v>3</v>
      </c>
      <c r="BM119" s="13">
        <v>2</v>
      </c>
      <c r="BN119" s="13">
        <v>3</v>
      </c>
      <c r="BO119" s="13">
        <v>2</v>
      </c>
      <c r="BP119" s="13">
        <v>5</v>
      </c>
      <c r="BQ119" s="13">
        <v>3</v>
      </c>
      <c r="BS119" s="13" t="s">
        <v>118</v>
      </c>
      <c r="BT119" s="13"/>
      <c r="BU119" s="13"/>
      <c r="BV119" s="13"/>
      <c r="BX119" s="13" t="s">
        <v>84</v>
      </c>
      <c r="BY119" s="13" t="s">
        <v>2177</v>
      </c>
      <c r="BZ119" s="13" t="s">
        <v>84</v>
      </c>
      <c r="CA119" s="13" t="s">
        <v>2186</v>
      </c>
      <c r="CB119" s="13" t="s">
        <v>82</v>
      </c>
      <c r="CC119" s="13"/>
      <c r="CD119" s="13" t="s">
        <v>82</v>
      </c>
      <c r="CE119" s="13"/>
      <c r="CF119" s="13" t="s">
        <v>2187</v>
      </c>
      <c r="CG119" s="13" t="s">
        <v>2188</v>
      </c>
      <c r="CI119" s="13" t="s">
        <v>82</v>
      </c>
      <c r="CJ119" s="13"/>
      <c r="CK119" s="13" t="s">
        <v>84</v>
      </c>
      <c r="CL119" s="13" t="s">
        <v>2252</v>
      </c>
      <c r="CM119" s="13" t="s">
        <v>82</v>
      </c>
      <c r="CN119" s="13"/>
      <c r="CO119" s="13"/>
      <c r="CP119" s="13"/>
      <c r="CQ119" s="13" t="s">
        <v>118</v>
      </c>
      <c r="CR119" s="13" t="s">
        <v>84</v>
      </c>
      <c r="CS119" s="13" t="s">
        <v>97</v>
      </c>
      <c r="CT119" s="13" t="s">
        <v>2253</v>
      </c>
      <c r="CU119" s="13" t="s">
        <v>246</v>
      </c>
      <c r="CV119" s="13"/>
      <c r="CW119" s="13" t="s">
        <v>82</v>
      </c>
      <c r="CX119" s="13"/>
      <c r="CY119" s="13" t="s">
        <v>246</v>
      </c>
      <c r="CZ119" s="13" t="s">
        <v>2254</v>
      </c>
      <c r="DA119" s="13" t="s">
        <v>82</v>
      </c>
      <c r="DB119" s="13"/>
      <c r="DC119" s="13" t="s">
        <v>84</v>
      </c>
      <c r="DD119" s="13" t="s">
        <v>82</v>
      </c>
      <c r="DG119" s="13">
        <v>2</v>
      </c>
      <c r="DH119" s="13">
        <v>2</v>
      </c>
      <c r="DI119" s="13">
        <v>1</v>
      </c>
      <c r="DJ119" s="13">
        <v>3</v>
      </c>
      <c r="DK119" s="13">
        <v>1</v>
      </c>
      <c r="DL119" s="13">
        <v>5</v>
      </c>
      <c r="DM119" s="13">
        <v>3</v>
      </c>
      <c r="DN119" s="13">
        <v>2</v>
      </c>
      <c r="DO119" s="13">
        <v>2</v>
      </c>
      <c r="DP119" s="13">
        <v>3</v>
      </c>
      <c r="DQ119" s="13">
        <v>2</v>
      </c>
      <c r="DR119" s="13">
        <v>2</v>
      </c>
      <c r="DS119" s="13" t="s">
        <v>99</v>
      </c>
      <c r="DT119" s="13" t="s">
        <v>106</v>
      </c>
      <c r="DU119" s="13"/>
      <c r="DV119" s="13" t="s">
        <v>84</v>
      </c>
      <c r="DW119" s="13" t="s">
        <v>112</v>
      </c>
      <c r="DX119" s="13" t="s">
        <v>81</v>
      </c>
      <c r="DY119" s="13"/>
      <c r="DZ119" s="13" t="s">
        <v>113</v>
      </c>
      <c r="EA119" s="13" t="s">
        <v>2429</v>
      </c>
      <c r="EB119" s="13" t="s">
        <v>82</v>
      </c>
      <c r="EC119" s="13"/>
      <c r="ED119" s="13" t="s">
        <v>81</v>
      </c>
      <c r="EE119" s="13"/>
      <c r="EF119" s="13" t="s">
        <v>84</v>
      </c>
      <c r="EG119" s="13" t="s">
        <v>82</v>
      </c>
      <c r="EH119" s="13" t="s">
        <v>82</v>
      </c>
      <c r="EI119" s="13"/>
      <c r="EJ119" s="13" t="s">
        <v>2430</v>
      </c>
      <c r="EK119" s="13" t="s">
        <v>2431</v>
      </c>
      <c r="EL119" s="13" t="s">
        <v>2432</v>
      </c>
      <c r="EM119" s="9">
        <v>1921.93</v>
      </c>
      <c r="EN119" s="9">
        <v>22</v>
      </c>
      <c r="EO119" s="9"/>
      <c r="EP119" s="9"/>
      <c r="EQ119" s="9">
        <v>94.13</v>
      </c>
      <c r="ER119" s="9"/>
      <c r="ES119" s="9"/>
      <c r="ET119" s="9"/>
      <c r="EU119" s="9"/>
      <c r="EV119" s="9"/>
      <c r="EW119" s="9">
        <v>524.64</v>
      </c>
      <c r="EX119" s="9"/>
      <c r="EY119" s="9"/>
      <c r="EZ119" s="9"/>
      <c r="FA119" s="9"/>
      <c r="FB119" s="9"/>
      <c r="FC119" s="9"/>
      <c r="FD119" s="9"/>
      <c r="FE119" s="9"/>
      <c r="FF119" s="9">
        <v>76.540000000000006</v>
      </c>
      <c r="FG119" s="9"/>
      <c r="FH119" s="9"/>
      <c r="FI119" s="9"/>
      <c r="FJ119" s="9">
        <v>19.670000000000002</v>
      </c>
      <c r="FK119" s="9"/>
      <c r="FL119" s="9"/>
      <c r="FM119" s="9"/>
      <c r="FN119" s="9"/>
      <c r="FO119" s="9"/>
      <c r="FP119" s="9">
        <v>33.950000000000003</v>
      </c>
      <c r="FQ119" s="9"/>
      <c r="FR119" s="9"/>
      <c r="FS119" s="9"/>
      <c r="FT119" s="9"/>
      <c r="FU119" s="9"/>
      <c r="FV119" s="9">
        <v>282.41000000000003</v>
      </c>
      <c r="FW119" s="9"/>
      <c r="FX119" s="9"/>
      <c r="FY119" s="9"/>
      <c r="FZ119" s="9"/>
      <c r="GA119" s="9"/>
      <c r="GB119" s="9"/>
      <c r="GC119" s="9">
        <v>555</v>
      </c>
      <c r="GD119" s="9"/>
      <c r="GE119" s="9"/>
      <c r="GF119" s="9"/>
      <c r="GG119" s="9"/>
      <c r="GH119" s="9"/>
      <c r="GI119" s="9"/>
      <c r="GJ119" s="9"/>
      <c r="GK119" s="9"/>
      <c r="GL119" s="9"/>
      <c r="GM119" s="9"/>
      <c r="GN119" s="9"/>
      <c r="GO119" s="9"/>
      <c r="GP119" s="9"/>
      <c r="GQ119" s="9"/>
      <c r="GR119" s="9"/>
      <c r="GS119" s="9"/>
      <c r="GT119" s="9">
        <v>21.83</v>
      </c>
      <c r="GU119" s="9"/>
      <c r="GV119" s="9"/>
      <c r="GW119" s="9"/>
      <c r="GX119" s="9">
        <v>27.68</v>
      </c>
      <c r="GY119" s="9"/>
      <c r="GZ119" s="9"/>
      <c r="HA119" s="9"/>
      <c r="HB119" s="9">
        <v>264.08</v>
      </c>
      <c r="HC119" s="9"/>
      <c r="HD119" s="9"/>
      <c r="HE119" s="9"/>
      <c r="HF119" s="9"/>
      <c r="HG119" s="9"/>
      <c r="HH119" s="9"/>
      <c r="HI119" s="9"/>
      <c r="HJ119" s="9"/>
      <c r="HK119" s="9"/>
      <c r="HL119" s="9"/>
      <c r="HM119" s="9"/>
      <c r="HN119" s="9"/>
      <c r="HO119" s="9"/>
      <c r="HP119" s="9"/>
      <c r="HQ119" s="62">
        <f t="shared" si="9"/>
        <v>1921.93</v>
      </c>
      <c r="HR119" s="62">
        <f t="shared" si="8"/>
        <v>32.032166666666669</v>
      </c>
    </row>
    <row r="120" spans="1:226" ht="12.95" customHeight="1" x14ac:dyDescent="0.2">
      <c r="A120" s="11">
        <v>179</v>
      </c>
      <c r="B120" s="9">
        <v>169</v>
      </c>
      <c r="C120" s="9" t="s">
        <v>83</v>
      </c>
      <c r="D120" s="9">
        <v>11</v>
      </c>
      <c r="E120" s="9" t="s">
        <v>79</v>
      </c>
      <c r="F120" s="9">
        <v>198724796</v>
      </c>
      <c r="G120" s="9" t="s">
        <v>81</v>
      </c>
      <c r="H120" s="9" t="s">
        <v>84</v>
      </c>
      <c r="I120" s="13" t="s">
        <v>161</v>
      </c>
      <c r="J120" s="13"/>
      <c r="M120" s="13" t="s">
        <v>1294</v>
      </c>
      <c r="N120" s="13" t="s">
        <v>108</v>
      </c>
      <c r="O120" s="13"/>
      <c r="P120" s="13" t="s">
        <v>87</v>
      </c>
      <c r="Q120" s="13" t="s">
        <v>1296</v>
      </c>
      <c r="S120" s="13" t="s">
        <v>84</v>
      </c>
      <c r="T120" s="13" t="s">
        <v>84</v>
      </c>
      <c r="U120" s="13" t="s">
        <v>84</v>
      </c>
      <c r="V120" s="13" t="s">
        <v>82</v>
      </c>
      <c r="W120" s="13" t="s">
        <v>82</v>
      </c>
      <c r="X120" s="13" t="s">
        <v>82</v>
      </c>
      <c r="Y120" s="13" t="s">
        <v>84</v>
      </c>
      <c r="Z120" s="13" t="s">
        <v>82</v>
      </c>
      <c r="AA120" s="13"/>
      <c r="AB120" s="13" t="s">
        <v>82</v>
      </c>
      <c r="AC120" s="13"/>
      <c r="AD120" s="13" t="s">
        <v>82</v>
      </c>
      <c r="AE120" s="13"/>
      <c r="AF120" s="13"/>
      <c r="AG120" s="13" t="s">
        <v>84</v>
      </c>
      <c r="AH120" s="13" t="s">
        <v>2095</v>
      </c>
      <c r="AI120" s="13" t="s">
        <v>82</v>
      </c>
      <c r="AJ120" s="13" t="s">
        <v>2096</v>
      </c>
      <c r="AK120" s="13"/>
      <c r="AL120" s="13" t="s">
        <v>296</v>
      </c>
      <c r="AM120" s="13" t="s">
        <v>91</v>
      </c>
      <c r="AN120" s="13"/>
      <c r="AO120" s="13" t="s">
        <v>80</v>
      </c>
      <c r="AQ120" s="13" t="s">
        <v>80</v>
      </c>
      <c r="AR120" s="13" t="s">
        <v>80</v>
      </c>
      <c r="AS120" s="13" t="s">
        <v>80</v>
      </c>
      <c r="AT120" s="13" t="s">
        <v>80</v>
      </c>
      <c r="AU120" s="13"/>
      <c r="AW120" s="13" t="s">
        <v>84</v>
      </c>
      <c r="AX120" s="13" t="s">
        <v>84</v>
      </c>
      <c r="AY120" s="13" t="s">
        <v>84</v>
      </c>
      <c r="AZ120" s="13" t="s">
        <v>84</v>
      </c>
      <c r="BA120" s="13"/>
      <c r="BB120" s="13" t="s">
        <v>84</v>
      </c>
      <c r="BC120" s="13" t="s">
        <v>80</v>
      </c>
      <c r="BD120" s="13" t="s">
        <v>113</v>
      </c>
      <c r="BE120" s="13" t="s">
        <v>93</v>
      </c>
      <c r="BF120" s="13" t="s">
        <v>112</v>
      </c>
      <c r="BG120" s="13" t="s">
        <v>84</v>
      </c>
      <c r="BH120" s="13" t="s">
        <v>84</v>
      </c>
      <c r="BI120" s="13" t="s">
        <v>2152</v>
      </c>
      <c r="BJ120" s="13" t="s">
        <v>84</v>
      </c>
      <c r="BK120" s="13" t="s">
        <v>80</v>
      </c>
      <c r="BL120" s="13">
        <v>2</v>
      </c>
      <c r="BM120" s="13">
        <v>2</v>
      </c>
      <c r="BN120" s="13">
        <v>2</v>
      </c>
      <c r="BO120" s="13">
        <v>2</v>
      </c>
      <c r="BP120" s="13">
        <v>3</v>
      </c>
      <c r="BQ120" s="13">
        <v>3</v>
      </c>
      <c r="BS120" s="13" t="s">
        <v>99</v>
      </c>
      <c r="BT120" s="13"/>
      <c r="BU120" s="13"/>
      <c r="BV120" s="13"/>
      <c r="BX120" s="13" t="s">
        <v>84</v>
      </c>
      <c r="BY120" s="13"/>
      <c r="BZ120" s="13" t="s">
        <v>84</v>
      </c>
      <c r="CA120" s="13"/>
      <c r="CB120" s="13" t="s">
        <v>82</v>
      </c>
      <c r="CC120" s="13"/>
      <c r="CD120" s="13" t="s">
        <v>82</v>
      </c>
      <c r="CE120" s="13"/>
      <c r="CF120" s="13"/>
      <c r="CG120" s="13"/>
      <c r="CI120" s="13" t="s">
        <v>82</v>
      </c>
      <c r="CJ120" s="13"/>
      <c r="CK120" s="13" t="s">
        <v>82</v>
      </c>
      <c r="CL120" s="13"/>
      <c r="CM120" s="13" t="s">
        <v>82</v>
      </c>
      <c r="CN120" s="13"/>
      <c r="CO120" s="13" t="s">
        <v>2255</v>
      </c>
      <c r="CP120" s="13" t="s">
        <v>2256</v>
      </c>
      <c r="CQ120" s="13" t="s">
        <v>99</v>
      </c>
      <c r="CR120" s="13" t="s">
        <v>80</v>
      </c>
      <c r="CS120" s="13" t="s">
        <v>1312</v>
      </c>
      <c r="CT120" s="13"/>
      <c r="CU120" s="13" t="s">
        <v>246</v>
      </c>
      <c r="CV120" s="13" t="s">
        <v>2257</v>
      </c>
      <c r="CW120" s="13" t="s">
        <v>82</v>
      </c>
      <c r="CX120" s="13"/>
      <c r="CY120" s="13" t="s">
        <v>246</v>
      </c>
      <c r="CZ120" s="13" t="s">
        <v>2258</v>
      </c>
      <c r="DA120" s="13" t="s">
        <v>82</v>
      </c>
      <c r="DB120" s="13"/>
      <c r="DC120" s="13" t="s">
        <v>84</v>
      </c>
      <c r="DD120" s="13" t="s">
        <v>84</v>
      </c>
      <c r="DG120" s="13">
        <v>2</v>
      </c>
      <c r="DH120" s="13">
        <v>1</v>
      </c>
      <c r="DI120" s="13">
        <v>1</v>
      </c>
      <c r="DJ120" s="13">
        <v>1</v>
      </c>
      <c r="DK120" s="13">
        <v>3</v>
      </c>
      <c r="DL120" s="13">
        <v>3</v>
      </c>
      <c r="DM120" s="13">
        <v>1</v>
      </c>
      <c r="DN120" s="13">
        <v>1</v>
      </c>
      <c r="DO120" s="13">
        <v>3</v>
      </c>
      <c r="DP120" s="13">
        <v>3</v>
      </c>
      <c r="DQ120" s="13">
        <v>2</v>
      </c>
      <c r="DR120" s="13">
        <v>2</v>
      </c>
      <c r="DS120" s="13" t="s">
        <v>99</v>
      </c>
      <c r="DT120" s="13" t="s">
        <v>84</v>
      </c>
      <c r="DU120" s="13"/>
      <c r="DV120" s="13" t="s">
        <v>84</v>
      </c>
      <c r="DW120" s="13" t="s">
        <v>113</v>
      </c>
      <c r="DX120" s="13" t="s">
        <v>81</v>
      </c>
      <c r="DY120" s="13" t="s">
        <v>2433</v>
      </c>
      <c r="DZ120" s="13" t="s">
        <v>100</v>
      </c>
      <c r="EA120" s="13" t="s">
        <v>2434</v>
      </c>
      <c r="EB120" s="13" t="s">
        <v>82</v>
      </c>
      <c r="EC120" s="13"/>
      <c r="ED120" s="13" t="s">
        <v>81</v>
      </c>
      <c r="EE120" s="13" t="s">
        <v>2435</v>
      </c>
      <c r="EF120" s="13" t="s">
        <v>82</v>
      </c>
      <c r="EG120" s="13" t="s">
        <v>84</v>
      </c>
      <c r="EH120" s="13" t="s">
        <v>82</v>
      </c>
      <c r="EI120" s="13"/>
      <c r="EJ120" s="13" t="s">
        <v>2436</v>
      </c>
      <c r="EK120" s="13" t="s">
        <v>2437</v>
      </c>
      <c r="EL120" s="13" t="s">
        <v>2438</v>
      </c>
      <c r="EM120" s="9">
        <v>1413.84</v>
      </c>
      <c r="EN120" s="9">
        <v>15.55</v>
      </c>
      <c r="EO120" s="9"/>
      <c r="EP120" s="9"/>
      <c r="EQ120" s="9">
        <v>46.96</v>
      </c>
      <c r="ER120" s="9"/>
      <c r="ES120" s="9"/>
      <c r="ET120" s="9"/>
      <c r="EU120" s="9"/>
      <c r="EV120" s="9"/>
      <c r="EW120" s="9">
        <v>119.22</v>
      </c>
      <c r="EX120" s="9"/>
      <c r="EY120" s="9"/>
      <c r="EZ120" s="9"/>
      <c r="FA120" s="9"/>
      <c r="FB120" s="9"/>
      <c r="FC120" s="9"/>
      <c r="FD120" s="9"/>
      <c r="FE120" s="9"/>
      <c r="FF120" s="9">
        <v>109.89</v>
      </c>
      <c r="FG120" s="9"/>
      <c r="FH120" s="9"/>
      <c r="FI120" s="9"/>
      <c r="FJ120" s="9">
        <v>22.32</v>
      </c>
      <c r="FK120" s="9"/>
      <c r="FL120" s="9"/>
      <c r="FM120" s="9"/>
      <c r="FN120" s="9"/>
      <c r="FO120" s="9"/>
      <c r="FP120" s="9">
        <v>39.58</v>
      </c>
      <c r="FQ120" s="9"/>
      <c r="FR120" s="9"/>
      <c r="FS120" s="9"/>
      <c r="FT120" s="9"/>
      <c r="FU120" s="9"/>
      <c r="FV120" s="9">
        <v>155.35</v>
      </c>
      <c r="FW120" s="9"/>
      <c r="FX120" s="9"/>
      <c r="FY120" s="9"/>
      <c r="FZ120" s="9"/>
      <c r="GA120" s="9"/>
      <c r="GB120" s="9"/>
      <c r="GC120" s="9">
        <v>470.99</v>
      </c>
      <c r="GD120" s="9"/>
      <c r="GE120" s="9"/>
      <c r="GF120" s="9"/>
      <c r="GG120" s="9"/>
      <c r="GH120" s="9"/>
      <c r="GI120" s="9"/>
      <c r="GJ120" s="9"/>
      <c r="GK120" s="9"/>
      <c r="GL120" s="9"/>
      <c r="GM120" s="9"/>
      <c r="GN120" s="9"/>
      <c r="GO120" s="9"/>
      <c r="GP120" s="9"/>
      <c r="GQ120" s="9"/>
      <c r="GR120" s="9"/>
      <c r="GS120" s="9"/>
      <c r="GT120" s="9">
        <v>16</v>
      </c>
      <c r="GU120" s="9"/>
      <c r="GV120" s="9"/>
      <c r="GW120" s="9"/>
      <c r="GX120" s="9">
        <v>117.54</v>
      </c>
      <c r="GY120" s="9"/>
      <c r="GZ120" s="9"/>
      <c r="HA120" s="9"/>
      <c r="HB120" s="9">
        <v>300.44</v>
      </c>
      <c r="HC120" s="9"/>
      <c r="HD120" s="9"/>
      <c r="HE120" s="9"/>
      <c r="HF120" s="9"/>
      <c r="HG120" s="9"/>
      <c r="HH120" s="9"/>
      <c r="HI120" s="9"/>
      <c r="HJ120" s="9"/>
      <c r="HK120" s="9"/>
      <c r="HL120" s="9"/>
      <c r="HM120" s="9"/>
      <c r="HN120" s="9"/>
      <c r="HO120" s="9"/>
      <c r="HP120" s="9"/>
      <c r="HQ120" s="62">
        <f t="shared" si="9"/>
        <v>1413.84</v>
      </c>
      <c r="HR120" s="62">
        <f t="shared" si="8"/>
        <v>23.564</v>
      </c>
    </row>
    <row r="121" spans="1:226" ht="12.95" customHeight="1" x14ac:dyDescent="0.2">
      <c r="A121" s="11">
        <v>180</v>
      </c>
      <c r="B121" s="9">
        <v>170</v>
      </c>
      <c r="C121" s="9" t="s">
        <v>83</v>
      </c>
      <c r="D121" s="9">
        <v>11</v>
      </c>
      <c r="E121" s="9" t="s">
        <v>79</v>
      </c>
      <c r="F121" s="9">
        <v>1697269157</v>
      </c>
      <c r="G121" s="9" t="s">
        <v>81</v>
      </c>
      <c r="H121" s="9" t="s">
        <v>84</v>
      </c>
      <c r="I121" s="13" t="s">
        <v>107</v>
      </c>
      <c r="J121" s="13"/>
      <c r="M121" s="13" t="s">
        <v>1319</v>
      </c>
      <c r="N121" s="13" t="s">
        <v>618</v>
      </c>
      <c r="O121" s="13"/>
      <c r="P121" s="13" t="s">
        <v>87</v>
      </c>
      <c r="Q121" s="13" t="s">
        <v>1358</v>
      </c>
      <c r="S121" s="13" t="s">
        <v>84</v>
      </c>
      <c r="T121" s="13" t="s">
        <v>84</v>
      </c>
      <c r="U121" s="13" t="s">
        <v>84</v>
      </c>
      <c r="V121" s="13" t="s">
        <v>84</v>
      </c>
      <c r="W121" s="13" t="s">
        <v>82</v>
      </c>
      <c r="X121" s="13" t="s">
        <v>82</v>
      </c>
      <c r="Y121" s="13" t="s">
        <v>84</v>
      </c>
      <c r="Z121" s="13" t="s">
        <v>82</v>
      </c>
      <c r="AA121" s="13"/>
      <c r="AB121" s="13" t="s">
        <v>82</v>
      </c>
      <c r="AC121" s="13"/>
      <c r="AD121" s="13" t="s">
        <v>82</v>
      </c>
      <c r="AE121" s="13"/>
      <c r="AF121" s="13"/>
      <c r="AG121" s="13" t="s">
        <v>82</v>
      </c>
      <c r="AH121" s="13" t="s">
        <v>2097</v>
      </c>
      <c r="AI121" s="13" t="s">
        <v>84</v>
      </c>
      <c r="AJ121" s="13"/>
      <c r="AK121" s="13" t="s">
        <v>2098</v>
      </c>
      <c r="AL121" s="13" t="s">
        <v>126</v>
      </c>
      <c r="AM121" s="13" t="s">
        <v>91</v>
      </c>
      <c r="AN121" s="13"/>
      <c r="AO121" s="13" t="s">
        <v>80</v>
      </c>
      <c r="AQ121" s="13" t="s">
        <v>80</v>
      </c>
      <c r="AR121" s="13" t="s">
        <v>80</v>
      </c>
      <c r="AS121" s="13" t="s">
        <v>80</v>
      </c>
      <c r="AT121" s="13" t="s">
        <v>80</v>
      </c>
      <c r="AU121" s="13"/>
      <c r="AW121" s="13" t="s">
        <v>84</v>
      </c>
      <c r="AX121" s="13" t="s">
        <v>82</v>
      </c>
      <c r="AY121" s="13" t="s">
        <v>82</v>
      </c>
      <c r="AZ121" s="13" t="s">
        <v>82</v>
      </c>
      <c r="BA121" s="13" t="s">
        <v>2153</v>
      </c>
      <c r="BB121" s="13" t="s">
        <v>84</v>
      </c>
      <c r="BC121" s="13" t="s">
        <v>80</v>
      </c>
      <c r="BD121" s="13" t="s">
        <v>100</v>
      </c>
      <c r="BE121" s="13" t="s">
        <v>100</v>
      </c>
      <c r="BF121" s="13" t="s">
        <v>100</v>
      </c>
      <c r="BG121" s="13" t="s">
        <v>82</v>
      </c>
      <c r="BH121" s="13" t="s">
        <v>84</v>
      </c>
      <c r="BI121" s="13" t="s">
        <v>2154</v>
      </c>
      <c r="BJ121" s="13" t="s">
        <v>84</v>
      </c>
      <c r="BK121" s="13" t="s">
        <v>80</v>
      </c>
      <c r="BL121" s="13">
        <v>3</v>
      </c>
      <c r="BM121" s="13">
        <v>5</v>
      </c>
      <c r="BN121" s="13">
        <v>3</v>
      </c>
      <c r="BO121" s="13">
        <v>5</v>
      </c>
      <c r="BP121" s="13">
        <v>1</v>
      </c>
      <c r="BQ121" s="13">
        <v>5</v>
      </c>
      <c r="BS121" s="13" t="s">
        <v>119</v>
      </c>
      <c r="BT121" s="13" t="s">
        <v>2170</v>
      </c>
      <c r="BU121" s="13" t="s">
        <v>246</v>
      </c>
      <c r="BV121" s="13"/>
      <c r="BX121" s="13" t="s">
        <v>82</v>
      </c>
      <c r="BY121" s="13"/>
      <c r="BZ121" s="13" t="s">
        <v>84</v>
      </c>
      <c r="CA121" s="13" t="s">
        <v>423</v>
      </c>
      <c r="CB121" s="13" t="s">
        <v>82</v>
      </c>
      <c r="CC121" s="13"/>
      <c r="CD121" s="13" t="s">
        <v>82</v>
      </c>
      <c r="CE121" s="13"/>
      <c r="CF121" s="13"/>
      <c r="CG121" s="13"/>
      <c r="CI121" s="13" t="s">
        <v>84</v>
      </c>
      <c r="CJ121" s="13" t="s">
        <v>2259</v>
      </c>
      <c r="CK121" s="13" t="s">
        <v>82</v>
      </c>
      <c r="CL121" s="13"/>
      <c r="CM121" s="13" t="s">
        <v>82</v>
      </c>
      <c r="CN121" s="13"/>
      <c r="CO121" s="13"/>
      <c r="CP121" s="13"/>
      <c r="CQ121" s="13" t="s">
        <v>97</v>
      </c>
      <c r="CR121" s="13" t="s">
        <v>84</v>
      </c>
      <c r="CS121" s="13" t="s">
        <v>97</v>
      </c>
      <c r="CT121" s="13"/>
      <c r="CU121" s="13" t="s">
        <v>246</v>
      </c>
      <c r="CV121" s="13"/>
      <c r="CW121" s="13" t="s">
        <v>82</v>
      </c>
      <c r="CX121" s="13"/>
      <c r="CY121" s="13" t="s">
        <v>81</v>
      </c>
      <c r="CZ121" s="13"/>
      <c r="DA121" s="13" t="s">
        <v>82</v>
      </c>
      <c r="DB121" s="13"/>
      <c r="DC121" s="13" t="s">
        <v>84</v>
      </c>
      <c r="DD121" s="13" t="s">
        <v>84</v>
      </c>
      <c r="DG121" s="13">
        <v>1</v>
      </c>
      <c r="DH121" s="13">
        <v>1</v>
      </c>
      <c r="DI121" s="13">
        <v>5</v>
      </c>
      <c r="DJ121" s="13">
        <v>3</v>
      </c>
      <c r="DK121" s="13">
        <v>3</v>
      </c>
      <c r="DL121" s="13">
        <v>4</v>
      </c>
      <c r="DM121" s="13">
        <v>2</v>
      </c>
      <c r="DN121" s="13">
        <v>3</v>
      </c>
      <c r="DO121" s="13">
        <v>5</v>
      </c>
      <c r="DP121" s="13">
        <v>1</v>
      </c>
      <c r="DQ121" s="13">
        <v>4</v>
      </c>
      <c r="DR121" s="13">
        <v>1</v>
      </c>
      <c r="DS121" s="13" t="s">
        <v>97</v>
      </c>
      <c r="DT121" s="13" t="s">
        <v>106</v>
      </c>
      <c r="DU121" s="13"/>
      <c r="DV121" s="13" t="s">
        <v>84</v>
      </c>
      <c r="DW121" s="13" t="s">
        <v>100</v>
      </c>
      <c r="DX121" s="13" t="s">
        <v>81</v>
      </c>
      <c r="DY121" s="13" t="s">
        <v>2439</v>
      </c>
      <c r="DZ121" s="13" t="s">
        <v>113</v>
      </c>
      <c r="EA121" s="13" t="s">
        <v>2440</v>
      </c>
      <c r="EB121" s="13" t="s">
        <v>82</v>
      </c>
      <c r="EC121" s="13"/>
      <c r="ED121" s="13" t="s">
        <v>246</v>
      </c>
      <c r="EE121" s="13" t="s">
        <v>2441</v>
      </c>
      <c r="EF121" s="13" t="s">
        <v>84</v>
      </c>
      <c r="EG121" s="13" t="s">
        <v>82</v>
      </c>
      <c r="EH121" s="13" t="s">
        <v>82</v>
      </c>
      <c r="EI121" s="13"/>
      <c r="EJ121" s="13" t="s">
        <v>2442</v>
      </c>
      <c r="EK121" s="13" t="s">
        <v>2443</v>
      </c>
      <c r="EL121" s="13" t="s">
        <v>2444</v>
      </c>
      <c r="EM121" s="9">
        <v>5586.99</v>
      </c>
      <c r="EN121" s="9">
        <v>25.69</v>
      </c>
      <c r="EO121" s="9"/>
      <c r="EP121" s="9"/>
      <c r="EQ121" s="9">
        <v>117.98</v>
      </c>
      <c r="ER121" s="9"/>
      <c r="ES121" s="9"/>
      <c r="ET121" s="9"/>
      <c r="EU121" s="9"/>
      <c r="EV121" s="9"/>
      <c r="EW121" s="9">
        <v>361.41</v>
      </c>
      <c r="EX121" s="9"/>
      <c r="EY121" s="9"/>
      <c r="EZ121" s="9"/>
      <c r="FA121" s="9"/>
      <c r="FB121" s="9"/>
      <c r="FC121" s="9"/>
      <c r="FD121" s="9"/>
      <c r="FE121" s="9"/>
      <c r="FF121" s="9">
        <v>269.35000000000002</v>
      </c>
      <c r="FG121" s="9"/>
      <c r="FH121" s="9"/>
      <c r="FI121" s="9"/>
      <c r="FJ121" s="9">
        <v>152.07</v>
      </c>
      <c r="FK121" s="9"/>
      <c r="FL121" s="9"/>
      <c r="FM121" s="9"/>
      <c r="FN121" s="9"/>
      <c r="FO121" s="9"/>
      <c r="FP121" s="9">
        <v>72.92</v>
      </c>
      <c r="FQ121" s="9"/>
      <c r="FR121" s="9"/>
      <c r="FS121" s="9"/>
      <c r="FT121" s="9"/>
      <c r="FU121" s="9"/>
      <c r="FV121" s="9">
        <v>723.78</v>
      </c>
      <c r="FW121" s="9"/>
      <c r="FX121" s="9"/>
      <c r="FY121" s="9"/>
      <c r="FZ121" s="9"/>
      <c r="GA121" s="9"/>
      <c r="GB121" s="9"/>
      <c r="GC121" s="9">
        <v>3300.46</v>
      </c>
      <c r="GD121" s="9"/>
      <c r="GE121" s="9"/>
      <c r="GF121" s="9"/>
      <c r="GG121" s="9"/>
      <c r="GH121" s="9"/>
      <c r="GI121" s="9"/>
      <c r="GJ121" s="9"/>
      <c r="GK121" s="9"/>
      <c r="GL121" s="9"/>
      <c r="GM121" s="9"/>
      <c r="GN121" s="9"/>
      <c r="GO121" s="9"/>
      <c r="GP121" s="9"/>
      <c r="GQ121" s="9"/>
      <c r="GR121" s="9"/>
      <c r="GS121" s="9"/>
      <c r="GT121" s="9">
        <v>21.68</v>
      </c>
      <c r="GU121" s="9"/>
      <c r="GV121" s="9"/>
      <c r="GW121" s="9"/>
      <c r="GX121" s="9">
        <v>256.8</v>
      </c>
      <c r="GY121" s="9"/>
      <c r="GZ121" s="9"/>
      <c r="HA121" s="9"/>
      <c r="HB121" s="9">
        <v>284.85000000000002</v>
      </c>
      <c r="HC121" s="9"/>
      <c r="HD121" s="9"/>
      <c r="HE121" s="9"/>
      <c r="HF121" s="9"/>
      <c r="HG121" s="9"/>
      <c r="HH121" s="9"/>
      <c r="HI121" s="9"/>
      <c r="HJ121" s="9"/>
      <c r="HK121" s="9"/>
      <c r="HL121" s="9"/>
      <c r="HM121" s="9"/>
      <c r="HN121" s="9"/>
      <c r="HO121" s="9"/>
      <c r="HP121" s="9"/>
      <c r="HQ121" s="62">
        <f t="shared" si="9"/>
        <v>5586.99</v>
      </c>
      <c r="HR121" s="62">
        <f t="shared" si="8"/>
        <v>93.116500000000002</v>
      </c>
    </row>
    <row r="122" spans="1:226" ht="12.95" customHeight="1" x14ac:dyDescent="0.2">
      <c r="A122" s="11">
        <v>181</v>
      </c>
      <c r="B122" s="9">
        <v>171</v>
      </c>
      <c r="C122" s="9" t="s">
        <v>83</v>
      </c>
      <c r="D122" s="9">
        <v>11</v>
      </c>
      <c r="E122" s="9" t="s">
        <v>79</v>
      </c>
      <c r="F122" s="9">
        <v>881329246</v>
      </c>
      <c r="G122" s="9" t="s">
        <v>81</v>
      </c>
      <c r="H122" s="9" t="s">
        <v>84</v>
      </c>
      <c r="I122" s="13" t="s">
        <v>119</v>
      </c>
      <c r="J122" s="13" t="s">
        <v>2005</v>
      </c>
      <c r="M122" s="13" t="s">
        <v>1294</v>
      </c>
      <c r="N122" s="13" t="s">
        <v>138</v>
      </c>
      <c r="O122" s="13" t="s">
        <v>2011</v>
      </c>
      <c r="P122" s="13" t="s">
        <v>87</v>
      </c>
      <c r="Q122" s="13" t="s">
        <v>1296</v>
      </c>
      <c r="S122" s="13" t="s">
        <v>84</v>
      </c>
      <c r="T122" s="13" t="s">
        <v>84</v>
      </c>
      <c r="U122" s="13" t="s">
        <v>84</v>
      </c>
      <c r="V122" s="13" t="s">
        <v>84</v>
      </c>
      <c r="W122" s="13" t="s">
        <v>82</v>
      </c>
      <c r="X122" s="13" t="s">
        <v>82</v>
      </c>
      <c r="Y122" s="13" t="s">
        <v>82</v>
      </c>
      <c r="Z122" s="13" t="s">
        <v>82</v>
      </c>
      <c r="AA122" s="13"/>
      <c r="AB122" s="13" t="s">
        <v>84</v>
      </c>
      <c r="AC122" s="13" t="s">
        <v>2099</v>
      </c>
      <c r="AD122" s="13" t="s">
        <v>82</v>
      </c>
      <c r="AE122" s="13"/>
      <c r="AF122" s="13"/>
      <c r="AG122" s="13" t="s">
        <v>82</v>
      </c>
      <c r="AH122" s="13"/>
      <c r="AI122" s="13" t="s">
        <v>82</v>
      </c>
      <c r="AJ122" s="13"/>
      <c r="AK122" s="13"/>
      <c r="AL122" s="13" t="s">
        <v>296</v>
      </c>
      <c r="AM122" s="13" t="s">
        <v>91</v>
      </c>
      <c r="AN122" s="13"/>
      <c r="AO122" s="13" t="s">
        <v>80</v>
      </c>
      <c r="AQ122" s="13" t="s">
        <v>80</v>
      </c>
      <c r="AR122" s="13" t="s">
        <v>80</v>
      </c>
      <c r="AS122" s="13" t="s">
        <v>80</v>
      </c>
      <c r="AT122" s="13" t="s">
        <v>80</v>
      </c>
      <c r="AU122" s="13"/>
      <c r="AW122" s="13" t="s">
        <v>84</v>
      </c>
      <c r="AX122" s="13" t="s">
        <v>82</v>
      </c>
      <c r="AY122" s="13" t="s">
        <v>84</v>
      </c>
      <c r="AZ122" s="13" t="s">
        <v>84</v>
      </c>
      <c r="BA122" s="13"/>
      <c r="BB122" s="13" t="s">
        <v>84</v>
      </c>
      <c r="BC122" s="13" t="s">
        <v>80</v>
      </c>
      <c r="BD122" s="13" t="s">
        <v>112</v>
      </c>
      <c r="BE122" s="13" t="s">
        <v>100</v>
      </c>
      <c r="BF122" s="13" t="s">
        <v>340</v>
      </c>
      <c r="BG122" s="13" t="s">
        <v>82</v>
      </c>
      <c r="BH122" s="13" t="s">
        <v>82</v>
      </c>
      <c r="BI122" s="13"/>
      <c r="BJ122" s="13" t="s">
        <v>84</v>
      </c>
      <c r="BK122" s="13" t="s">
        <v>80</v>
      </c>
      <c r="BL122" s="13">
        <v>3</v>
      </c>
      <c r="BM122" s="13">
        <v>3</v>
      </c>
      <c r="BN122" s="13">
        <v>2</v>
      </c>
      <c r="BO122" s="13">
        <v>1</v>
      </c>
      <c r="BP122" s="13">
        <v>3</v>
      </c>
      <c r="BQ122" s="13">
        <v>3</v>
      </c>
      <c r="BS122" s="13" t="s">
        <v>99</v>
      </c>
      <c r="BT122" s="13"/>
      <c r="BU122" s="13"/>
      <c r="BV122" s="13"/>
      <c r="BX122" s="13" t="s">
        <v>82</v>
      </c>
      <c r="BY122" s="13"/>
      <c r="BZ122" s="13" t="s">
        <v>84</v>
      </c>
      <c r="CA122" s="13"/>
      <c r="CB122" s="13" t="s">
        <v>82</v>
      </c>
      <c r="CC122" s="13"/>
      <c r="CD122" s="13" t="s">
        <v>82</v>
      </c>
      <c r="CE122" s="13"/>
      <c r="CF122" s="13"/>
      <c r="CG122" s="13"/>
      <c r="CI122" s="13" t="s">
        <v>82</v>
      </c>
      <c r="CJ122" s="13"/>
      <c r="CK122" s="13" t="s">
        <v>82</v>
      </c>
      <c r="CL122" s="13"/>
      <c r="CM122" s="13" t="s">
        <v>84</v>
      </c>
      <c r="CN122" s="13"/>
      <c r="CO122" s="13"/>
      <c r="CP122" s="13"/>
      <c r="CQ122" s="13" t="s">
        <v>118</v>
      </c>
      <c r="CR122" s="13" t="s">
        <v>82</v>
      </c>
      <c r="CS122" s="13"/>
      <c r="CT122" s="13"/>
      <c r="CU122" s="13"/>
      <c r="CV122" s="13"/>
      <c r="CW122" s="13" t="s">
        <v>82</v>
      </c>
      <c r="CX122" s="13"/>
      <c r="CY122" s="13" t="s">
        <v>246</v>
      </c>
      <c r="CZ122" s="13" t="s">
        <v>2260</v>
      </c>
      <c r="DA122" s="13" t="s">
        <v>82</v>
      </c>
      <c r="DB122" s="13"/>
      <c r="DC122" s="13" t="s">
        <v>82</v>
      </c>
      <c r="DD122" s="13" t="s">
        <v>82</v>
      </c>
      <c r="DG122" s="13">
        <v>3</v>
      </c>
      <c r="DH122" s="13">
        <v>2</v>
      </c>
      <c r="DI122" s="13">
        <v>5</v>
      </c>
      <c r="DJ122" s="13">
        <v>3</v>
      </c>
      <c r="DK122" s="13">
        <v>5</v>
      </c>
      <c r="DL122" s="13">
        <v>3</v>
      </c>
      <c r="DM122" s="13">
        <v>5</v>
      </c>
      <c r="DN122" s="13">
        <v>3</v>
      </c>
      <c r="DO122" s="13">
        <v>5</v>
      </c>
      <c r="DP122" s="13">
        <v>3</v>
      </c>
      <c r="DQ122" s="13">
        <v>5</v>
      </c>
      <c r="DR122" s="13">
        <v>3</v>
      </c>
      <c r="DS122" s="13" t="s">
        <v>99</v>
      </c>
      <c r="DT122" s="13" t="s">
        <v>84</v>
      </c>
      <c r="DU122" s="13"/>
      <c r="DV122" s="13" t="s">
        <v>84</v>
      </c>
      <c r="DW122" s="13" t="s">
        <v>100</v>
      </c>
      <c r="DX122" s="13" t="s">
        <v>81</v>
      </c>
      <c r="DY122" s="13" t="s">
        <v>2445</v>
      </c>
      <c r="DZ122" s="13" t="s">
        <v>100</v>
      </c>
      <c r="EA122" s="13"/>
      <c r="EB122" s="13" t="s">
        <v>82</v>
      </c>
      <c r="EC122" s="13"/>
      <c r="ED122" s="13" t="s">
        <v>246</v>
      </c>
      <c r="EE122" s="13"/>
      <c r="EF122" s="13" t="s">
        <v>84</v>
      </c>
      <c r="EG122" s="13" t="s">
        <v>84</v>
      </c>
      <c r="EH122" s="13" t="s">
        <v>84</v>
      </c>
      <c r="EI122" s="13" t="s">
        <v>2446</v>
      </c>
      <c r="EJ122" s="13"/>
      <c r="EK122" s="13"/>
      <c r="EL122" s="13"/>
      <c r="EM122" s="9">
        <v>908.21</v>
      </c>
      <c r="EN122" s="9">
        <v>46.08</v>
      </c>
      <c r="EO122" s="9"/>
      <c r="EP122" s="9"/>
      <c r="EQ122" s="9">
        <v>88.74</v>
      </c>
      <c r="ER122" s="9"/>
      <c r="ES122" s="9"/>
      <c r="ET122" s="9"/>
      <c r="EU122" s="9"/>
      <c r="EV122" s="9"/>
      <c r="EW122" s="9">
        <v>116.54</v>
      </c>
      <c r="EX122" s="9"/>
      <c r="EY122" s="9"/>
      <c r="EZ122" s="9"/>
      <c r="FA122" s="9"/>
      <c r="FB122" s="9"/>
      <c r="FC122" s="9"/>
      <c r="FD122" s="9"/>
      <c r="FE122" s="9"/>
      <c r="FF122" s="9">
        <v>42.91</v>
      </c>
      <c r="FG122" s="9"/>
      <c r="FH122" s="9"/>
      <c r="FI122" s="9"/>
      <c r="FJ122" s="9">
        <v>33.74</v>
      </c>
      <c r="FK122" s="9"/>
      <c r="FL122" s="9"/>
      <c r="FM122" s="9"/>
      <c r="FN122" s="9"/>
      <c r="FO122" s="9"/>
      <c r="FP122" s="9">
        <v>52.41</v>
      </c>
      <c r="FQ122" s="9"/>
      <c r="FR122" s="9"/>
      <c r="FS122" s="9"/>
      <c r="FT122" s="9"/>
      <c r="FU122" s="9"/>
      <c r="FV122" s="9">
        <v>106.72</v>
      </c>
      <c r="FW122" s="9"/>
      <c r="FX122" s="9"/>
      <c r="FY122" s="9"/>
      <c r="FZ122" s="9"/>
      <c r="GA122" s="9"/>
      <c r="GB122" s="9"/>
      <c r="GC122" s="9">
        <v>243.47</v>
      </c>
      <c r="GD122" s="9"/>
      <c r="GE122" s="9"/>
      <c r="GF122" s="9"/>
      <c r="GG122" s="9"/>
      <c r="GH122" s="9"/>
      <c r="GI122" s="9"/>
      <c r="GJ122" s="9"/>
      <c r="GK122" s="9"/>
      <c r="GL122" s="9"/>
      <c r="GM122" s="9"/>
      <c r="GN122" s="9"/>
      <c r="GO122" s="9"/>
      <c r="GP122" s="9"/>
      <c r="GQ122" s="9"/>
      <c r="GR122" s="9"/>
      <c r="GS122" s="9"/>
      <c r="GT122" s="9">
        <v>17.04</v>
      </c>
      <c r="GU122" s="9"/>
      <c r="GV122" s="9"/>
      <c r="GW122" s="9"/>
      <c r="GX122" s="9">
        <v>60.33</v>
      </c>
      <c r="GY122" s="9"/>
      <c r="GZ122" s="9"/>
      <c r="HA122" s="9"/>
      <c r="HB122" s="9">
        <v>100.23</v>
      </c>
      <c r="HC122" s="9"/>
      <c r="HD122" s="9"/>
      <c r="HE122" s="9"/>
      <c r="HF122" s="9"/>
      <c r="HG122" s="9"/>
      <c r="HH122" s="9"/>
      <c r="HI122" s="9"/>
      <c r="HJ122" s="9"/>
      <c r="HK122" s="9"/>
      <c r="HL122" s="9"/>
      <c r="HM122" s="9"/>
      <c r="HN122" s="9"/>
      <c r="HO122" s="9"/>
      <c r="HP122" s="9"/>
      <c r="HQ122" s="62">
        <f t="shared" si="9"/>
        <v>908.21</v>
      </c>
      <c r="HR122" s="62">
        <f t="shared" si="8"/>
        <v>15.136833333333334</v>
      </c>
    </row>
    <row r="123" spans="1:226" ht="12.95" customHeight="1" x14ac:dyDescent="0.2">
      <c r="A123" s="11">
        <v>182</v>
      </c>
      <c r="B123" s="9">
        <v>172</v>
      </c>
      <c r="C123" s="9" t="s">
        <v>83</v>
      </c>
      <c r="D123" s="9">
        <v>11</v>
      </c>
      <c r="E123" s="9" t="s">
        <v>79</v>
      </c>
      <c r="F123" s="9">
        <v>225561641</v>
      </c>
      <c r="G123" s="9" t="s">
        <v>81</v>
      </c>
      <c r="H123" s="9" t="s">
        <v>84</v>
      </c>
      <c r="I123" s="13" t="s">
        <v>324</v>
      </c>
      <c r="J123" s="13"/>
      <c r="M123" s="13" t="s">
        <v>1319</v>
      </c>
      <c r="N123" s="13" t="s">
        <v>618</v>
      </c>
      <c r="O123" s="13"/>
      <c r="P123" s="13" t="s">
        <v>87</v>
      </c>
      <c r="Q123" s="13" t="s">
        <v>1296</v>
      </c>
      <c r="S123" s="13" t="s">
        <v>84</v>
      </c>
      <c r="T123" s="13" t="s">
        <v>84</v>
      </c>
      <c r="U123" s="13" t="s">
        <v>82</v>
      </c>
      <c r="V123" s="13" t="s">
        <v>82</v>
      </c>
      <c r="W123" s="13" t="s">
        <v>82</v>
      </c>
      <c r="X123" s="13" t="s">
        <v>82</v>
      </c>
      <c r="Y123" s="13" t="s">
        <v>82</v>
      </c>
      <c r="Z123" s="13" t="s">
        <v>82</v>
      </c>
      <c r="AA123" s="13"/>
      <c r="AB123" s="13" t="s">
        <v>84</v>
      </c>
      <c r="AC123" s="13" t="s">
        <v>2100</v>
      </c>
      <c r="AD123" s="13" t="s">
        <v>82</v>
      </c>
      <c r="AE123" s="13"/>
      <c r="AF123" s="13"/>
      <c r="AG123" s="13" t="s">
        <v>84</v>
      </c>
      <c r="AH123" s="13" t="s">
        <v>2101</v>
      </c>
      <c r="AI123" s="13" t="s">
        <v>84</v>
      </c>
      <c r="AJ123" s="13" t="s">
        <v>2102</v>
      </c>
      <c r="AK123" s="13" t="s">
        <v>2103</v>
      </c>
      <c r="AL123" s="13" t="s">
        <v>140</v>
      </c>
      <c r="AM123" s="13" t="s">
        <v>111</v>
      </c>
      <c r="AN123" s="13"/>
      <c r="AO123" s="13" t="s">
        <v>80</v>
      </c>
      <c r="AQ123" s="13" t="s">
        <v>84</v>
      </c>
      <c r="AR123" s="13" t="s">
        <v>84</v>
      </c>
      <c r="AS123" s="13" t="s">
        <v>82</v>
      </c>
      <c r="AT123" s="13" t="s">
        <v>84</v>
      </c>
      <c r="AU123" s="13"/>
      <c r="AW123" s="13" t="s">
        <v>80</v>
      </c>
      <c r="AX123" s="13" t="s">
        <v>80</v>
      </c>
      <c r="AY123" s="13" t="s">
        <v>80</v>
      </c>
      <c r="AZ123" s="13" t="s">
        <v>80</v>
      </c>
      <c r="BA123" s="13"/>
      <c r="BB123" s="13" t="s">
        <v>84</v>
      </c>
      <c r="BC123" s="13" t="s">
        <v>80</v>
      </c>
      <c r="BD123" s="13" t="s">
        <v>100</v>
      </c>
      <c r="BE123" s="13" t="s">
        <v>113</v>
      </c>
      <c r="BF123" s="13" t="s">
        <v>340</v>
      </c>
      <c r="BG123" s="13" t="s">
        <v>82</v>
      </c>
      <c r="BH123" s="13" t="s">
        <v>84</v>
      </c>
      <c r="BI123" s="13" t="s">
        <v>2155</v>
      </c>
      <c r="BJ123" s="13" t="s">
        <v>84</v>
      </c>
      <c r="BK123" s="13" t="s">
        <v>80</v>
      </c>
      <c r="BL123" s="13">
        <v>3</v>
      </c>
      <c r="BM123" s="13">
        <v>4</v>
      </c>
      <c r="BN123" s="13">
        <v>4</v>
      </c>
      <c r="BO123" s="13">
        <v>5</v>
      </c>
      <c r="BP123" s="13">
        <v>2</v>
      </c>
      <c r="BQ123" s="13">
        <v>3</v>
      </c>
      <c r="BS123" s="13" t="s">
        <v>97</v>
      </c>
      <c r="BT123" s="13"/>
      <c r="BU123" s="13" t="s">
        <v>246</v>
      </c>
      <c r="BV123" s="13" t="s">
        <v>2171</v>
      </c>
      <c r="BX123" s="13" t="s">
        <v>80</v>
      </c>
      <c r="BY123" s="13"/>
      <c r="BZ123" s="13" t="s">
        <v>80</v>
      </c>
      <c r="CA123" s="13"/>
      <c r="CB123" s="13" t="s">
        <v>80</v>
      </c>
      <c r="CC123" s="13"/>
      <c r="CD123" s="13" t="s">
        <v>80</v>
      </c>
      <c r="CE123" s="13"/>
      <c r="CF123" s="13"/>
      <c r="CG123" s="13"/>
      <c r="CI123" s="13" t="s">
        <v>84</v>
      </c>
      <c r="CJ123" s="13" t="s">
        <v>2261</v>
      </c>
      <c r="CK123" s="13" t="s">
        <v>82</v>
      </c>
      <c r="CL123" s="13"/>
      <c r="CM123" s="13" t="s">
        <v>82</v>
      </c>
      <c r="CN123" s="13"/>
      <c r="CO123" s="13"/>
      <c r="CP123" s="13"/>
      <c r="CQ123" s="13" t="s">
        <v>118</v>
      </c>
      <c r="CR123" s="13" t="s">
        <v>82</v>
      </c>
      <c r="CS123" s="13" t="s">
        <v>1312</v>
      </c>
      <c r="CT123" s="13" t="s">
        <v>2262</v>
      </c>
      <c r="CU123" s="13" t="s">
        <v>81</v>
      </c>
      <c r="CV123" s="13" t="s">
        <v>2263</v>
      </c>
      <c r="CW123" s="13" t="s">
        <v>82</v>
      </c>
      <c r="CX123" s="13"/>
      <c r="CY123" s="13" t="s">
        <v>81</v>
      </c>
      <c r="CZ123" s="13"/>
      <c r="DA123" s="13" t="s">
        <v>82</v>
      </c>
      <c r="DB123" s="13"/>
      <c r="DC123" s="13" t="s">
        <v>82</v>
      </c>
      <c r="DD123" s="13" t="s">
        <v>82</v>
      </c>
      <c r="DG123" s="13">
        <v>3</v>
      </c>
      <c r="DH123" s="13">
        <v>4</v>
      </c>
      <c r="DI123" s="13">
        <v>3</v>
      </c>
      <c r="DJ123" s="13">
        <v>3</v>
      </c>
      <c r="DK123" s="13">
        <v>4</v>
      </c>
      <c r="DL123" s="13">
        <v>4</v>
      </c>
      <c r="DM123" s="13">
        <v>3</v>
      </c>
      <c r="DN123" s="13">
        <v>3</v>
      </c>
      <c r="DO123" s="13">
        <v>3</v>
      </c>
      <c r="DP123" s="13">
        <v>4</v>
      </c>
      <c r="DQ123" s="13">
        <v>4</v>
      </c>
      <c r="DR123" s="13">
        <v>4</v>
      </c>
      <c r="DS123" s="13" t="s">
        <v>118</v>
      </c>
      <c r="DT123" s="13" t="s">
        <v>106</v>
      </c>
      <c r="DU123" s="13"/>
      <c r="DV123" s="13" t="s">
        <v>84</v>
      </c>
      <c r="DW123" s="13" t="s">
        <v>113</v>
      </c>
      <c r="DX123" s="13" t="s">
        <v>81</v>
      </c>
      <c r="DY123" s="13"/>
      <c r="DZ123" s="13" t="s">
        <v>100</v>
      </c>
      <c r="EA123" s="13" t="s">
        <v>2447</v>
      </c>
      <c r="EB123" s="13" t="s">
        <v>82</v>
      </c>
      <c r="EC123" s="13"/>
      <c r="ED123" s="13" t="s">
        <v>81</v>
      </c>
      <c r="EE123" s="13"/>
      <c r="EF123" s="13" t="s">
        <v>82</v>
      </c>
      <c r="EG123" s="13" t="s">
        <v>82</v>
      </c>
      <c r="EH123" s="13" t="s">
        <v>82</v>
      </c>
      <c r="EI123" s="13"/>
      <c r="EJ123" s="13" t="s">
        <v>2448</v>
      </c>
      <c r="EK123" s="13" t="s">
        <v>2449</v>
      </c>
      <c r="EL123" s="13" t="s">
        <v>2450</v>
      </c>
      <c r="EM123" s="9">
        <v>2893.76</v>
      </c>
      <c r="EN123" s="9">
        <v>78.03</v>
      </c>
      <c r="EO123" s="9"/>
      <c r="EP123" s="9"/>
      <c r="EQ123" s="9">
        <v>91.24</v>
      </c>
      <c r="ER123" s="9"/>
      <c r="ES123" s="9"/>
      <c r="ET123" s="9"/>
      <c r="EU123" s="9"/>
      <c r="EV123" s="9"/>
      <c r="EW123" s="9">
        <v>312.27999999999997</v>
      </c>
      <c r="EX123" s="9"/>
      <c r="EY123" s="9"/>
      <c r="EZ123" s="9"/>
      <c r="FA123" s="9"/>
      <c r="FB123" s="9"/>
      <c r="FC123" s="9"/>
      <c r="FD123" s="9"/>
      <c r="FE123" s="9"/>
      <c r="FF123" s="9">
        <v>836.53</v>
      </c>
      <c r="FG123" s="9"/>
      <c r="FH123" s="9"/>
      <c r="FI123" s="9"/>
      <c r="FJ123" s="9">
        <v>22.06</v>
      </c>
      <c r="FK123" s="9"/>
      <c r="FL123" s="9"/>
      <c r="FM123" s="9"/>
      <c r="FN123" s="9"/>
      <c r="FO123" s="9"/>
      <c r="FP123" s="9">
        <v>50.11</v>
      </c>
      <c r="FQ123" s="9"/>
      <c r="FR123" s="9"/>
      <c r="FS123" s="9"/>
      <c r="FT123" s="9"/>
      <c r="FU123" s="9"/>
      <c r="FV123" s="9">
        <v>147.27000000000001</v>
      </c>
      <c r="FW123" s="9"/>
      <c r="FX123" s="9"/>
      <c r="FY123" s="9"/>
      <c r="FZ123" s="9"/>
      <c r="GA123" s="9"/>
      <c r="GB123" s="9"/>
      <c r="GC123" s="9">
        <v>515.32000000000005</v>
      </c>
      <c r="GD123" s="9"/>
      <c r="GE123" s="9"/>
      <c r="GF123" s="9"/>
      <c r="GG123" s="9"/>
      <c r="GH123" s="9"/>
      <c r="GI123" s="9"/>
      <c r="GJ123" s="9"/>
      <c r="GK123" s="9"/>
      <c r="GL123" s="9"/>
      <c r="GM123" s="9"/>
      <c r="GN123" s="9"/>
      <c r="GO123" s="9"/>
      <c r="GP123" s="9"/>
      <c r="GQ123" s="9"/>
      <c r="GR123" s="9"/>
      <c r="GS123" s="9"/>
      <c r="GT123" s="9">
        <v>29.74</v>
      </c>
      <c r="GU123" s="9"/>
      <c r="GV123" s="9"/>
      <c r="GW123" s="9"/>
      <c r="GX123" s="9">
        <v>31.03</v>
      </c>
      <c r="GY123" s="9"/>
      <c r="GZ123" s="9"/>
      <c r="HA123" s="9"/>
      <c r="HB123" s="9">
        <v>780.15</v>
      </c>
      <c r="HC123" s="9"/>
      <c r="HD123" s="9"/>
      <c r="HE123" s="9"/>
      <c r="HF123" s="9"/>
      <c r="HG123" s="9"/>
      <c r="HH123" s="9"/>
      <c r="HI123" s="9"/>
      <c r="HJ123" s="9"/>
      <c r="HK123" s="9"/>
      <c r="HL123" s="9"/>
      <c r="HM123" s="9"/>
      <c r="HN123" s="9"/>
      <c r="HO123" s="9"/>
      <c r="HP123" s="9"/>
      <c r="HQ123" s="62">
        <f t="shared" si="9"/>
        <v>2893.76</v>
      </c>
      <c r="HR123" s="62">
        <f t="shared" si="8"/>
        <v>48.229333333333336</v>
      </c>
    </row>
    <row r="124" spans="1:226" ht="12.95" customHeight="1" x14ac:dyDescent="0.2">
      <c r="A124" s="11">
        <v>183</v>
      </c>
      <c r="B124" s="9">
        <v>173</v>
      </c>
      <c r="C124" s="9" t="s">
        <v>83</v>
      </c>
      <c r="D124" s="9">
        <v>11</v>
      </c>
      <c r="E124" s="9" t="s">
        <v>79</v>
      </c>
      <c r="F124" s="9">
        <v>721417309</v>
      </c>
      <c r="G124" s="9" t="s">
        <v>81</v>
      </c>
      <c r="H124" s="9" t="s">
        <v>84</v>
      </c>
      <c r="I124" s="13" t="s">
        <v>161</v>
      </c>
      <c r="J124" s="13"/>
      <c r="M124" s="13" t="s">
        <v>1294</v>
      </c>
      <c r="N124" s="13" t="s">
        <v>618</v>
      </c>
      <c r="O124" s="13"/>
      <c r="P124" s="13" t="s">
        <v>87</v>
      </c>
      <c r="Q124" s="13" t="s">
        <v>1296</v>
      </c>
      <c r="S124" s="13" t="s">
        <v>84</v>
      </c>
      <c r="T124" s="13" t="s">
        <v>84</v>
      </c>
      <c r="U124" s="13" t="s">
        <v>84</v>
      </c>
      <c r="V124" s="13" t="s">
        <v>82</v>
      </c>
      <c r="W124" s="13" t="s">
        <v>82</v>
      </c>
      <c r="X124" s="13" t="s">
        <v>82</v>
      </c>
      <c r="Y124" s="13" t="s">
        <v>82</v>
      </c>
      <c r="Z124" s="13" t="s">
        <v>82</v>
      </c>
      <c r="AA124" s="13"/>
      <c r="AB124" s="13" t="s">
        <v>84</v>
      </c>
      <c r="AC124" s="13" t="s">
        <v>2104</v>
      </c>
      <c r="AD124" s="13" t="s">
        <v>82</v>
      </c>
      <c r="AE124" s="13"/>
      <c r="AF124" s="13"/>
      <c r="AG124" s="13" t="s">
        <v>84</v>
      </c>
      <c r="AH124" s="13" t="s">
        <v>2105</v>
      </c>
      <c r="AI124" s="13" t="s">
        <v>84</v>
      </c>
      <c r="AJ124" s="13"/>
      <c r="AK124" s="13" t="s">
        <v>2106</v>
      </c>
      <c r="AL124" s="13" t="s">
        <v>126</v>
      </c>
      <c r="AM124" s="13" t="s">
        <v>91</v>
      </c>
      <c r="AN124" s="13"/>
      <c r="AO124" s="13" t="s">
        <v>80</v>
      </c>
      <c r="AQ124" s="13" t="s">
        <v>80</v>
      </c>
      <c r="AR124" s="13" t="s">
        <v>80</v>
      </c>
      <c r="AS124" s="13" t="s">
        <v>80</v>
      </c>
      <c r="AT124" s="13" t="s">
        <v>80</v>
      </c>
      <c r="AU124" s="13"/>
      <c r="AW124" s="13" t="s">
        <v>84</v>
      </c>
      <c r="AX124" s="13" t="s">
        <v>82</v>
      </c>
      <c r="AY124" s="13" t="s">
        <v>82</v>
      </c>
      <c r="AZ124" s="13" t="s">
        <v>82</v>
      </c>
      <c r="BA124" s="13"/>
      <c r="BB124" s="13" t="s">
        <v>84</v>
      </c>
      <c r="BC124" s="13" t="s">
        <v>80</v>
      </c>
      <c r="BD124" s="13" t="s">
        <v>113</v>
      </c>
      <c r="BE124" s="13" t="s">
        <v>113</v>
      </c>
      <c r="BF124" s="13" t="s">
        <v>112</v>
      </c>
      <c r="BG124" s="13" t="s">
        <v>82</v>
      </c>
      <c r="BH124" s="13" t="s">
        <v>84</v>
      </c>
      <c r="BI124" s="13" t="s">
        <v>2156</v>
      </c>
      <c r="BJ124" s="13" t="s">
        <v>84</v>
      </c>
      <c r="BK124" s="13" t="s">
        <v>80</v>
      </c>
      <c r="BL124" s="13">
        <v>1</v>
      </c>
      <c r="BM124" s="13">
        <v>1</v>
      </c>
      <c r="BN124" s="13">
        <v>1</v>
      </c>
      <c r="BO124" s="13">
        <v>1</v>
      </c>
      <c r="BP124" s="13">
        <v>2</v>
      </c>
      <c r="BQ124" s="13">
        <v>2</v>
      </c>
      <c r="BS124" s="13" t="s">
        <v>97</v>
      </c>
      <c r="BT124" s="13"/>
      <c r="BU124" s="13" t="s">
        <v>246</v>
      </c>
      <c r="BV124" s="13"/>
      <c r="BX124" s="13" t="s">
        <v>80</v>
      </c>
      <c r="BY124" s="13"/>
      <c r="BZ124" s="13" t="s">
        <v>80</v>
      </c>
      <c r="CA124" s="13"/>
      <c r="CB124" s="13" t="s">
        <v>80</v>
      </c>
      <c r="CC124" s="13"/>
      <c r="CD124" s="13" t="s">
        <v>80</v>
      </c>
      <c r="CE124" s="13"/>
      <c r="CF124" s="13"/>
      <c r="CG124" s="13"/>
      <c r="CI124" s="13" t="s">
        <v>84</v>
      </c>
      <c r="CJ124" s="13"/>
      <c r="CK124" s="13" t="s">
        <v>82</v>
      </c>
      <c r="CL124" s="13"/>
      <c r="CM124" s="13" t="s">
        <v>84</v>
      </c>
      <c r="CN124" s="13"/>
      <c r="CO124" s="13"/>
      <c r="CP124" s="13"/>
      <c r="CQ124" s="13" t="s">
        <v>99</v>
      </c>
      <c r="CR124" s="13" t="s">
        <v>80</v>
      </c>
      <c r="CS124" s="13" t="s">
        <v>97</v>
      </c>
      <c r="CT124" s="13"/>
      <c r="CU124" s="13" t="s">
        <v>246</v>
      </c>
      <c r="CV124" s="13"/>
      <c r="CW124" s="13" t="s">
        <v>84</v>
      </c>
      <c r="CX124" s="13" t="s">
        <v>2264</v>
      </c>
      <c r="CY124" s="13"/>
      <c r="CZ124" s="13"/>
      <c r="DA124" s="13" t="s">
        <v>82</v>
      </c>
      <c r="DB124" s="13"/>
      <c r="DC124" s="13" t="s">
        <v>84</v>
      </c>
      <c r="DD124" s="13" t="s">
        <v>84</v>
      </c>
      <c r="DG124" s="13">
        <v>2</v>
      </c>
      <c r="DH124" s="13">
        <v>1</v>
      </c>
      <c r="DI124" s="13">
        <v>1</v>
      </c>
      <c r="DJ124" s="13">
        <v>1</v>
      </c>
      <c r="DK124" s="13">
        <v>2</v>
      </c>
      <c r="DL124" s="13">
        <v>1</v>
      </c>
      <c r="DM124" s="13">
        <v>1</v>
      </c>
      <c r="DN124" s="13">
        <v>1</v>
      </c>
      <c r="DO124" s="13">
        <v>2</v>
      </c>
      <c r="DP124" s="13">
        <v>1</v>
      </c>
      <c r="DQ124" s="13">
        <v>2</v>
      </c>
      <c r="DR124" s="13">
        <v>1</v>
      </c>
      <c r="DS124" s="13" t="s">
        <v>99</v>
      </c>
      <c r="DT124" s="13" t="s">
        <v>84</v>
      </c>
      <c r="DU124" s="13"/>
      <c r="DV124" s="13" t="s">
        <v>84</v>
      </c>
      <c r="DW124" s="13" t="s">
        <v>93</v>
      </c>
      <c r="DX124" s="13" t="s">
        <v>81</v>
      </c>
      <c r="DY124" s="13" t="s">
        <v>2451</v>
      </c>
      <c r="DZ124" s="13" t="s">
        <v>113</v>
      </c>
      <c r="EA124" s="13" t="s">
        <v>2452</v>
      </c>
      <c r="EB124" s="13" t="s">
        <v>82</v>
      </c>
      <c r="EC124" s="13"/>
      <c r="ED124" s="13" t="s">
        <v>81</v>
      </c>
      <c r="EE124" s="13" t="s">
        <v>2453</v>
      </c>
      <c r="EF124" s="13" t="s">
        <v>82</v>
      </c>
      <c r="EG124" s="13" t="s">
        <v>84</v>
      </c>
      <c r="EH124" s="13" t="s">
        <v>82</v>
      </c>
      <c r="EI124" s="13"/>
      <c r="EJ124" s="13" t="s">
        <v>2454</v>
      </c>
      <c r="EK124" s="13" t="s">
        <v>2455</v>
      </c>
      <c r="EL124" s="13" t="s">
        <v>2456</v>
      </c>
      <c r="EM124" s="9">
        <v>2138.31</v>
      </c>
      <c r="EN124" s="9">
        <v>699.37</v>
      </c>
      <c r="EO124" s="9"/>
      <c r="EP124" s="9"/>
      <c r="EQ124" s="9">
        <v>44.23</v>
      </c>
      <c r="ER124" s="9"/>
      <c r="ES124" s="9"/>
      <c r="ET124" s="9"/>
      <c r="EU124" s="9"/>
      <c r="EV124" s="9"/>
      <c r="EW124" s="9">
        <v>63.74</v>
      </c>
      <c r="EX124" s="9"/>
      <c r="EY124" s="9"/>
      <c r="EZ124" s="9"/>
      <c r="FA124" s="9"/>
      <c r="FB124" s="9"/>
      <c r="FC124" s="9"/>
      <c r="FD124" s="9"/>
      <c r="FE124" s="9"/>
      <c r="FF124" s="9">
        <v>199.92</v>
      </c>
      <c r="FG124" s="9"/>
      <c r="FH124" s="9"/>
      <c r="FI124" s="9"/>
      <c r="FJ124" s="9">
        <v>13.25</v>
      </c>
      <c r="FK124" s="9"/>
      <c r="FL124" s="9"/>
      <c r="FM124" s="9"/>
      <c r="FN124" s="9"/>
      <c r="FO124" s="9"/>
      <c r="FP124" s="9">
        <v>36.880000000000003</v>
      </c>
      <c r="FQ124" s="9"/>
      <c r="FR124" s="9"/>
      <c r="FS124" s="9"/>
      <c r="FT124" s="9"/>
      <c r="FU124" s="9"/>
      <c r="FV124" s="9">
        <v>147.19999999999999</v>
      </c>
      <c r="FW124" s="9"/>
      <c r="FX124" s="9"/>
      <c r="FY124" s="9"/>
      <c r="FZ124" s="9"/>
      <c r="GA124" s="9"/>
      <c r="GB124" s="9"/>
      <c r="GC124" s="9">
        <v>242.8</v>
      </c>
      <c r="GD124" s="9"/>
      <c r="GE124" s="9"/>
      <c r="GF124" s="9"/>
      <c r="GG124" s="9"/>
      <c r="GH124" s="9"/>
      <c r="GI124" s="9"/>
      <c r="GJ124" s="9"/>
      <c r="GK124" s="9"/>
      <c r="GL124" s="9"/>
      <c r="GM124" s="9"/>
      <c r="GN124" s="9"/>
      <c r="GO124" s="9"/>
      <c r="GP124" s="9"/>
      <c r="GQ124" s="9"/>
      <c r="GR124" s="9"/>
      <c r="GS124" s="9"/>
      <c r="GT124" s="9">
        <v>14.59</v>
      </c>
      <c r="GU124" s="9"/>
      <c r="GV124" s="9"/>
      <c r="GW124" s="9"/>
      <c r="GX124" s="9">
        <v>316.83999999999997</v>
      </c>
      <c r="GY124" s="9"/>
      <c r="GZ124" s="9"/>
      <c r="HA124" s="9"/>
      <c r="HB124" s="9">
        <v>359.49</v>
      </c>
      <c r="HC124" s="9"/>
      <c r="HD124" s="9"/>
      <c r="HE124" s="9"/>
      <c r="HF124" s="9"/>
      <c r="HG124" s="9"/>
      <c r="HH124" s="9"/>
      <c r="HI124" s="9"/>
      <c r="HJ124" s="9"/>
      <c r="HK124" s="9"/>
      <c r="HL124" s="9"/>
      <c r="HM124" s="9"/>
      <c r="HN124" s="9"/>
      <c r="HO124" s="9"/>
      <c r="HP124" s="9"/>
      <c r="HQ124" s="62">
        <f t="shared" si="9"/>
        <v>2138.31</v>
      </c>
      <c r="HR124" s="62">
        <f t="shared" si="8"/>
        <v>35.638500000000001</v>
      </c>
    </row>
    <row r="125" spans="1:226" ht="12.95" customHeight="1" x14ac:dyDescent="0.2">
      <c r="A125" s="11">
        <v>184</v>
      </c>
      <c r="B125" s="9">
        <v>174</v>
      </c>
      <c r="C125" s="9" t="s">
        <v>83</v>
      </c>
      <c r="D125" s="9">
        <v>11</v>
      </c>
      <c r="E125" s="9" t="s">
        <v>79</v>
      </c>
      <c r="F125" s="9">
        <v>867488047</v>
      </c>
      <c r="G125" s="9" t="s">
        <v>81</v>
      </c>
      <c r="H125" s="9" t="s">
        <v>84</v>
      </c>
      <c r="I125" s="13" t="s">
        <v>105</v>
      </c>
      <c r="J125" s="13"/>
      <c r="M125" s="13" t="s">
        <v>1319</v>
      </c>
      <c r="N125" s="13" t="s">
        <v>618</v>
      </c>
      <c r="O125" s="13"/>
      <c r="P125" s="13" t="s">
        <v>87</v>
      </c>
      <c r="Q125" s="13" t="s">
        <v>1310</v>
      </c>
      <c r="S125" s="13" t="s">
        <v>84</v>
      </c>
      <c r="T125" s="13" t="s">
        <v>84</v>
      </c>
      <c r="U125" s="13" t="s">
        <v>82</v>
      </c>
      <c r="V125" s="13" t="s">
        <v>82</v>
      </c>
      <c r="W125" s="13" t="s">
        <v>82</v>
      </c>
      <c r="X125" s="13" t="s">
        <v>84</v>
      </c>
      <c r="Y125" s="13" t="s">
        <v>82</v>
      </c>
      <c r="Z125" s="13" t="s">
        <v>82</v>
      </c>
      <c r="AA125" s="13"/>
      <c r="AB125" s="13" t="s">
        <v>82</v>
      </c>
      <c r="AC125" s="13"/>
      <c r="AD125" s="13" t="s">
        <v>84</v>
      </c>
      <c r="AE125" s="13" t="s">
        <v>360</v>
      </c>
      <c r="AF125" s="13" t="s">
        <v>2107</v>
      </c>
      <c r="AG125" s="13" t="s">
        <v>80</v>
      </c>
      <c r="AH125" s="13"/>
      <c r="AI125" s="13" t="s">
        <v>84</v>
      </c>
      <c r="AJ125" s="13"/>
      <c r="AK125" s="13" t="s">
        <v>2108</v>
      </c>
      <c r="AL125" s="13" t="s">
        <v>90</v>
      </c>
      <c r="AM125" s="13" t="s">
        <v>91</v>
      </c>
      <c r="AN125" s="13"/>
      <c r="AO125" s="13" t="s">
        <v>80</v>
      </c>
      <c r="AQ125" s="13" t="s">
        <v>80</v>
      </c>
      <c r="AR125" s="13" t="s">
        <v>80</v>
      </c>
      <c r="AS125" s="13" t="s">
        <v>80</v>
      </c>
      <c r="AT125" s="13" t="s">
        <v>80</v>
      </c>
      <c r="AU125" s="13"/>
      <c r="AW125" s="13" t="s">
        <v>84</v>
      </c>
      <c r="AX125" s="13" t="s">
        <v>82</v>
      </c>
      <c r="AY125" s="13" t="s">
        <v>82</v>
      </c>
      <c r="AZ125" s="13" t="s">
        <v>84</v>
      </c>
      <c r="BA125" s="13"/>
      <c r="BB125" s="13" t="s">
        <v>84</v>
      </c>
      <c r="BC125" s="13" t="s">
        <v>80</v>
      </c>
      <c r="BD125" s="13" t="s">
        <v>113</v>
      </c>
      <c r="BE125" s="13" t="s">
        <v>100</v>
      </c>
      <c r="BF125" s="13" t="s">
        <v>112</v>
      </c>
      <c r="BG125" s="13" t="s">
        <v>84</v>
      </c>
      <c r="BH125" s="13" t="s">
        <v>84</v>
      </c>
      <c r="BI125" s="13" t="s">
        <v>2157</v>
      </c>
      <c r="BJ125" s="13" t="s">
        <v>84</v>
      </c>
      <c r="BK125" s="13" t="s">
        <v>80</v>
      </c>
      <c r="BL125" s="13">
        <v>3</v>
      </c>
      <c r="BM125" s="13">
        <v>5</v>
      </c>
      <c r="BN125" s="13">
        <v>1</v>
      </c>
      <c r="BO125" s="13">
        <v>1</v>
      </c>
      <c r="BP125" s="13">
        <v>4</v>
      </c>
      <c r="BQ125" s="13">
        <v>4</v>
      </c>
      <c r="BS125" s="13" t="s">
        <v>118</v>
      </c>
      <c r="BT125" s="13"/>
      <c r="BU125" s="13"/>
      <c r="BV125" s="13"/>
      <c r="BX125" s="13" t="s">
        <v>84</v>
      </c>
      <c r="BY125" s="13" t="s">
        <v>2189</v>
      </c>
      <c r="BZ125" s="13" t="s">
        <v>82</v>
      </c>
      <c r="CA125" s="13"/>
      <c r="CB125" s="13" t="s">
        <v>82</v>
      </c>
      <c r="CC125" s="13"/>
      <c r="CD125" s="13" t="s">
        <v>82</v>
      </c>
      <c r="CE125" s="13"/>
      <c r="CF125" s="13"/>
      <c r="CG125" s="13"/>
      <c r="CI125" s="13" t="s">
        <v>82</v>
      </c>
      <c r="CJ125" s="13"/>
      <c r="CK125" s="13" t="s">
        <v>84</v>
      </c>
      <c r="CL125" s="13" t="s">
        <v>2265</v>
      </c>
      <c r="CM125" s="13" t="s">
        <v>82</v>
      </c>
      <c r="CN125" s="13"/>
      <c r="CO125" s="13"/>
      <c r="CP125" s="13"/>
      <c r="CQ125" s="13" t="s">
        <v>97</v>
      </c>
      <c r="CR125" s="13" t="s">
        <v>84</v>
      </c>
      <c r="CS125" s="13" t="s">
        <v>97</v>
      </c>
      <c r="CT125" s="13"/>
      <c r="CU125" s="13" t="s">
        <v>246</v>
      </c>
      <c r="CV125" s="13"/>
      <c r="CW125" s="13" t="s">
        <v>82</v>
      </c>
      <c r="CX125" s="13"/>
      <c r="CY125" s="13" t="s">
        <v>81</v>
      </c>
      <c r="CZ125" s="13" t="s">
        <v>2266</v>
      </c>
      <c r="DA125" s="13" t="s">
        <v>84</v>
      </c>
      <c r="DB125" s="13" t="s">
        <v>2267</v>
      </c>
      <c r="DC125" s="13" t="s">
        <v>84</v>
      </c>
      <c r="DD125" s="13" t="s">
        <v>84</v>
      </c>
      <c r="DG125" s="13">
        <v>3</v>
      </c>
      <c r="DH125" s="13">
        <v>3</v>
      </c>
      <c r="DI125" s="13">
        <v>2</v>
      </c>
      <c r="DJ125" s="13">
        <v>2</v>
      </c>
      <c r="DK125" s="13">
        <v>3</v>
      </c>
      <c r="DL125" s="13">
        <v>3</v>
      </c>
      <c r="DM125" s="13">
        <v>2</v>
      </c>
      <c r="DN125" s="13">
        <v>2</v>
      </c>
      <c r="DO125" s="13">
        <v>3</v>
      </c>
      <c r="DP125" s="13">
        <v>3</v>
      </c>
      <c r="DQ125" s="13">
        <v>3</v>
      </c>
      <c r="DR125" s="13">
        <v>3</v>
      </c>
      <c r="DS125" s="13" t="s">
        <v>118</v>
      </c>
      <c r="DT125" s="13" t="s">
        <v>84</v>
      </c>
      <c r="DU125" s="13"/>
      <c r="DV125" s="13" t="s">
        <v>84</v>
      </c>
      <c r="DW125" s="13" t="s">
        <v>113</v>
      </c>
      <c r="DX125" s="13" t="s">
        <v>81</v>
      </c>
      <c r="DY125" s="13" t="s">
        <v>2457</v>
      </c>
      <c r="DZ125" s="13" t="s">
        <v>113</v>
      </c>
      <c r="EA125" s="13" t="s">
        <v>2458</v>
      </c>
      <c r="EB125" s="13" t="s">
        <v>82</v>
      </c>
      <c r="EC125" s="13"/>
      <c r="ED125" s="13" t="s">
        <v>246</v>
      </c>
      <c r="EE125" s="13"/>
      <c r="EF125" s="13" t="s">
        <v>84</v>
      </c>
      <c r="EG125" s="13" t="s">
        <v>84</v>
      </c>
      <c r="EH125" s="13" t="s">
        <v>82</v>
      </c>
      <c r="EI125" s="13"/>
      <c r="EJ125" s="13"/>
      <c r="EK125" s="13" t="s">
        <v>2459</v>
      </c>
      <c r="EL125" s="13"/>
      <c r="EM125" s="9">
        <v>738.35</v>
      </c>
      <c r="EN125" s="9">
        <v>36.24</v>
      </c>
      <c r="EO125" s="9"/>
      <c r="EP125" s="9"/>
      <c r="EQ125" s="9">
        <v>57.12</v>
      </c>
      <c r="ER125" s="9"/>
      <c r="ES125" s="9"/>
      <c r="ET125" s="9"/>
      <c r="EU125" s="9"/>
      <c r="EV125" s="9"/>
      <c r="EW125" s="9">
        <v>43.06</v>
      </c>
      <c r="EX125" s="9"/>
      <c r="EY125" s="9"/>
      <c r="EZ125" s="9"/>
      <c r="FA125" s="9"/>
      <c r="FB125" s="9"/>
      <c r="FC125" s="9"/>
      <c r="FD125" s="9"/>
      <c r="FE125" s="9"/>
      <c r="FF125" s="9">
        <v>24.77</v>
      </c>
      <c r="FG125" s="9"/>
      <c r="FH125" s="9"/>
      <c r="FI125" s="9"/>
      <c r="FJ125" s="9">
        <v>16.39</v>
      </c>
      <c r="FK125" s="9"/>
      <c r="FL125" s="9"/>
      <c r="FM125" s="9"/>
      <c r="FN125" s="9"/>
      <c r="FO125" s="9"/>
      <c r="FP125" s="9">
        <v>45.3</v>
      </c>
      <c r="FQ125" s="9"/>
      <c r="FR125" s="9"/>
      <c r="FS125" s="9"/>
      <c r="FT125" s="9"/>
      <c r="FU125" s="9"/>
      <c r="FV125" s="9">
        <v>100.55</v>
      </c>
      <c r="FW125" s="9"/>
      <c r="FX125" s="9"/>
      <c r="FY125" s="9"/>
      <c r="FZ125" s="9"/>
      <c r="GA125" s="9"/>
      <c r="GB125" s="9"/>
      <c r="GC125" s="9">
        <v>246.73</v>
      </c>
      <c r="GD125" s="9"/>
      <c r="GE125" s="9"/>
      <c r="GF125" s="9"/>
      <c r="GG125" s="9"/>
      <c r="GH125" s="9"/>
      <c r="GI125" s="9"/>
      <c r="GJ125" s="9"/>
      <c r="GK125" s="9"/>
      <c r="GL125" s="9"/>
      <c r="GM125" s="9"/>
      <c r="GN125" s="9"/>
      <c r="GO125" s="9"/>
      <c r="GP125" s="9"/>
      <c r="GQ125" s="9"/>
      <c r="GR125" s="9"/>
      <c r="GS125" s="9"/>
      <c r="GT125" s="9">
        <v>19.62</v>
      </c>
      <c r="GU125" s="9"/>
      <c r="GV125" s="9"/>
      <c r="GW125" s="9"/>
      <c r="GX125" s="9">
        <v>61.96</v>
      </c>
      <c r="GY125" s="9"/>
      <c r="GZ125" s="9"/>
      <c r="HA125" s="9"/>
      <c r="HB125" s="9">
        <v>86.61</v>
      </c>
      <c r="HC125" s="9"/>
      <c r="HD125" s="9"/>
      <c r="HE125" s="9"/>
      <c r="HF125" s="9"/>
      <c r="HG125" s="9"/>
      <c r="HH125" s="9"/>
      <c r="HI125" s="9"/>
      <c r="HJ125" s="9"/>
      <c r="HK125" s="9"/>
      <c r="HL125" s="9"/>
      <c r="HM125" s="9"/>
      <c r="HN125" s="9"/>
      <c r="HO125" s="9"/>
      <c r="HP125" s="9"/>
      <c r="HQ125" s="62">
        <f t="shared" si="9"/>
        <v>738.35</v>
      </c>
      <c r="HR125" s="62">
        <f t="shared" si="8"/>
        <v>12.305833333333334</v>
      </c>
    </row>
    <row r="126" spans="1:226" ht="12.95" customHeight="1" x14ac:dyDescent="0.2">
      <c r="A126" s="11">
        <v>185</v>
      </c>
      <c r="B126" s="9">
        <v>175</v>
      </c>
      <c r="C126" s="9" t="s">
        <v>83</v>
      </c>
      <c r="D126" s="9">
        <v>11</v>
      </c>
      <c r="E126" s="9" t="s">
        <v>79</v>
      </c>
      <c r="F126" s="9">
        <v>229954788</v>
      </c>
      <c r="G126" s="9" t="s">
        <v>81</v>
      </c>
      <c r="H126" s="9" t="s">
        <v>84</v>
      </c>
      <c r="I126" s="13" t="s">
        <v>324</v>
      </c>
      <c r="J126" s="13"/>
      <c r="M126" s="13" t="s">
        <v>1294</v>
      </c>
      <c r="N126" s="13" t="s">
        <v>108</v>
      </c>
      <c r="O126" s="13"/>
      <c r="P126" s="13" t="s">
        <v>195</v>
      </c>
      <c r="Q126" s="13" t="s">
        <v>1296</v>
      </c>
      <c r="S126" s="13" t="s">
        <v>84</v>
      </c>
      <c r="T126" s="13" t="s">
        <v>84</v>
      </c>
      <c r="U126" s="13" t="s">
        <v>84</v>
      </c>
      <c r="V126" s="13" t="s">
        <v>84</v>
      </c>
      <c r="W126" s="13" t="s">
        <v>82</v>
      </c>
      <c r="X126" s="13" t="s">
        <v>84</v>
      </c>
      <c r="Y126" s="13" t="s">
        <v>84</v>
      </c>
      <c r="Z126" s="13" t="s">
        <v>84</v>
      </c>
      <c r="AA126" s="13"/>
      <c r="AB126" s="13" t="s">
        <v>84</v>
      </c>
      <c r="AC126" s="13"/>
      <c r="AD126" s="13" t="s">
        <v>84</v>
      </c>
      <c r="AE126" s="13" t="s">
        <v>2109</v>
      </c>
      <c r="AF126" s="13" t="s">
        <v>2110</v>
      </c>
      <c r="AG126" s="13" t="s">
        <v>80</v>
      </c>
      <c r="AH126" s="13"/>
      <c r="AI126" s="13" t="s">
        <v>82</v>
      </c>
      <c r="AJ126" s="13"/>
      <c r="AK126" s="13"/>
      <c r="AL126" s="13" t="s">
        <v>296</v>
      </c>
      <c r="AM126" s="13" t="s">
        <v>91</v>
      </c>
      <c r="AN126" s="13"/>
      <c r="AO126" s="13" t="s">
        <v>80</v>
      </c>
      <c r="AQ126" s="13" t="s">
        <v>80</v>
      </c>
      <c r="AR126" s="13" t="s">
        <v>80</v>
      </c>
      <c r="AS126" s="13" t="s">
        <v>80</v>
      </c>
      <c r="AT126" s="13" t="s">
        <v>80</v>
      </c>
      <c r="AU126" s="13"/>
      <c r="AW126" s="13" t="s">
        <v>84</v>
      </c>
      <c r="AX126" s="13" t="s">
        <v>84</v>
      </c>
      <c r="AY126" s="13" t="s">
        <v>84</v>
      </c>
      <c r="AZ126" s="13" t="s">
        <v>84</v>
      </c>
      <c r="BA126" s="13"/>
      <c r="BB126" s="13" t="s">
        <v>84</v>
      </c>
      <c r="BC126" s="13" t="s">
        <v>80</v>
      </c>
      <c r="BD126" s="13" t="s">
        <v>100</v>
      </c>
      <c r="BE126" s="13" t="s">
        <v>113</v>
      </c>
      <c r="BF126" s="13" t="s">
        <v>113</v>
      </c>
      <c r="BG126" s="13" t="s">
        <v>84</v>
      </c>
      <c r="BH126" s="13" t="s">
        <v>84</v>
      </c>
      <c r="BI126" s="13"/>
      <c r="BJ126" s="13" t="s">
        <v>84</v>
      </c>
      <c r="BK126" s="13" t="s">
        <v>80</v>
      </c>
      <c r="BL126" s="13">
        <v>3</v>
      </c>
      <c r="BM126" s="13">
        <v>3</v>
      </c>
      <c r="BN126" s="13">
        <v>1</v>
      </c>
      <c r="BO126" s="13">
        <v>2</v>
      </c>
      <c r="BP126" s="13">
        <v>4</v>
      </c>
      <c r="BQ126" s="13">
        <v>3</v>
      </c>
      <c r="BS126" s="13" t="s">
        <v>99</v>
      </c>
      <c r="BT126" s="13"/>
      <c r="BU126" s="13"/>
      <c r="BV126" s="13"/>
      <c r="BX126" s="13" t="s">
        <v>84</v>
      </c>
      <c r="BY126" s="13"/>
      <c r="BZ126" s="13" t="s">
        <v>82</v>
      </c>
      <c r="CA126" s="13"/>
      <c r="CB126" s="13" t="s">
        <v>82</v>
      </c>
      <c r="CC126" s="13"/>
      <c r="CD126" s="13" t="s">
        <v>82</v>
      </c>
      <c r="CE126" s="13"/>
      <c r="CF126" s="13"/>
      <c r="CG126" s="13"/>
      <c r="CI126" s="13" t="s">
        <v>84</v>
      </c>
      <c r="CJ126" s="13"/>
      <c r="CK126" s="13" t="s">
        <v>82</v>
      </c>
      <c r="CL126" s="13"/>
      <c r="CM126" s="13" t="s">
        <v>82</v>
      </c>
      <c r="CN126" s="13"/>
      <c r="CO126" s="13"/>
      <c r="CP126" s="13"/>
      <c r="CQ126" s="13" t="s">
        <v>99</v>
      </c>
      <c r="CR126" s="13" t="s">
        <v>80</v>
      </c>
      <c r="CS126" s="13"/>
      <c r="CT126" s="13"/>
      <c r="CU126" s="13"/>
      <c r="CV126" s="13"/>
      <c r="CW126" s="13" t="s">
        <v>84</v>
      </c>
      <c r="CX126" s="13"/>
      <c r="CY126" s="13"/>
      <c r="CZ126" s="13"/>
      <c r="DA126" s="13" t="s">
        <v>82</v>
      </c>
      <c r="DB126" s="13"/>
      <c r="DC126" s="13" t="s">
        <v>84</v>
      </c>
      <c r="DD126" s="13" t="s">
        <v>84</v>
      </c>
      <c r="DG126" s="13">
        <v>1</v>
      </c>
      <c r="DH126" s="13">
        <v>1</v>
      </c>
      <c r="DI126" s="13">
        <v>2</v>
      </c>
      <c r="DJ126" s="13">
        <v>2</v>
      </c>
      <c r="DK126" s="13">
        <v>3</v>
      </c>
      <c r="DL126" s="13">
        <v>3</v>
      </c>
      <c r="DM126" s="13">
        <v>2</v>
      </c>
      <c r="DN126" s="13">
        <v>2</v>
      </c>
      <c r="DO126" s="13">
        <v>3</v>
      </c>
      <c r="DP126" s="13">
        <v>2</v>
      </c>
      <c r="DQ126" s="13">
        <v>3</v>
      </c>
      <c r="DR126" s="13">
        <v>2</v>
      </c>
      <c r="DS126" s="13" t="s">
        <v>99</v>
      </c>
      <c r="DT126" s="13" t="s">
        <v>84</v>
      </c>
      <c r="DU126" s="13"/>
      <c r="DV126" s="13" t="s">
        <v>84</v>
      </c>
      <c r="DW126" s="13" t="s">
        <v>113</v>
      </c>
      <c r="DX126" s="13" t="s">
        <v>81</v>
      </c>
      <c r="DY126" s="13" t="s">
        <v>2460</v>
      </c>
      <c r="DZ126" s="13" t="s">
        <v>113</v>
      </c>
      <c r="EA126" s="13"/>
      <c r="EB126" s="13" t="s">
        <v>84</v>
      </c>
      <c r="EC126" s="13"/>
      <c r="ED126" s="13"/>
      <c r="EE126" s="13"/>
      <c r="EF126" s="13" t="s">
        <v>84</v>
      </c>
      <c r="EG126" s="13" t="s">
        <v>84</v>
      </c>
      <c r="EH126" s="13" t="s">
        <v>82</v>
      </c>
      <c r="EI126" s="13"/>
      <c r="EJ126" s="13"/>
      <c r="EK126" s="13"/>
      <c r="EL126" s="13"/>
      <c r="EM126" s="9">
        <v>377.02</v>
      </c>
      <c r="EN126" s="9">
        <v>17.59</v>
      </c>
      <c r="EO126" s="9"/>
      <c r="EP126" s="9"/>
      <c r="EQ126" s="9">
        <v>34.729999999999997</v>
      </c>
      <c r="ER126" s="9"/>
      <c r="ES126" s="9"/>
      <c r="ET126" s="9"/>
      <c r="EU126" s="9"/>
      <c r="EV126" s="9"/>
      <c r="EW126" s="9">
        <v>37.39</v>
      </c>
      <c r="EX126" s="9"/>
      <c r="EY126" s="9"/>
      <c r="EZ126" s="9"/>
      <c r="FA126" s="9"/>
      <c r="FB126" s="9"/>
      <c r="FC126" s="9"/>
      <c r="FD126" s="9"/>
      <c r="FE126" s="9"/>
      <c r="FF126" s="9">
        <v>14.72</v>
      </c>
      <c r="FG126" s="9"/>
      <c r="FH126" s="9"/>
      <c r="FI126" s="9"/>
      <c r="FJ126" s="9">
        <v>11.32</v>
      </c>
      <c r="FK126" s="9"/>
      <c r="FL126" s="9"/>
      <c r="FM126" s="9"/>
      <c r="FN126" s="9"/>
      <c r="FO126" s="9"/>
      <c r="FP126" s="9">
        <v>29.53</v>
      </c>
      <c r="FQ126" s="9"/>
      <c r="FR126" s="9"/>
      <c r="FS126" s="9"/>
      <c r="FT126" s="9"/>
      <c r="FU126" s="9"/>
      <c r="FV126" s="9">
        <v>68.45</v>
      </c>
      <c r="FW126" s="9"/>
      <c r="FX126" s="9"/>
      <c r="FY126" s="9"/>
      <c r="FZ126" s="9"/>
      <c r="GA126" s="9"/>
      <c r="GB126" s="9"/>
      <c r="GC126" s="9">
        <v>92.83</v>
      </c>
      <c r="GD126" s="9"/>
      <c r="GE126" s="9"/>
      <c r="GF126" s="9"/>
      <c r="GG126" s="9"/>
      <c r="GH126" s="9"/>
      <c r="GI126" s="9"/>
      <c r="GJ126" s="9"/>
      <c r="GK126" s="9"/>
      <c r="GL126" s="9"/>
      <c r="GM126" s="9"/>
      <c r="GN126" s="9"/>
      <c r="GO126" s="9"/>
      <c r="GP126" s="9"/>
      <c r="GQ126" s="9"/>
      <c r="GR126" s="9"/>
      <c r="GS126" s="9"/>
      <c r="GT126" s="9">
        <v>10.62</v>
      </c>
      <c r="GU126" s="9"/>
      <c r="GV126" s="9"/>
      <c r="GW126" s="9"/>
      <c r="GX126" s="9">
        <v>24.1</v>
      </c>
      <c r="GY126" s="9"/>
      <c r="GZ126" s="9"/>
      <c r="HA126" s="9"/>
      <c r="HB126" s="9">
        <v>35.74</v>
      </c>
      <c r="HC126" s="9"/>
      <c r="HD126" s="9"/>
      <c r="HE126" s="9"/>
      <c r="HF126" s="9"/>
      <c r="HG126" s="9"/>
      <c r="HH126" s="9"/>
      <c r="HI126" s="9"/>
      <c r="HJ126" s="9"/>
      <c r="HK126" s="9"/>
      <c r="HL126" s="9"/>
      <c r="HM126" s="9"/>
      <c r="HN126" s="9"/>
      <c r="HO126" s="9"/>
      <c r="HP126" s="9"/>
      <c r="HQ126" s="62">
        <f t="shared" si="9"/>
        <v>377.02</v>
      </c>
      <c r="HR126" s="62">
        <f t="shared" si="8"/>
        <v>6.2836666666666661</v>
      </c>
    </row>
    <row r="127" spans="1:226" ht="12.95" customHeight="1" x14ac:dyDescent="0.2">
      <c r="A127" s="11">
        <v>186</v>
      </c>
      <c r="B127" s="9">
        <v>176</v>
      </c>
      <c r="C127" s="9" t="s">
        <v>83</v>
      </c>
      <c r="D127" s="9">
        <v>11</v>
      </c>
      <c r="E127" s="9" t="s">
        <v>79</v>
      </c>
      <c r="F127" s="9">
        <v>1747401895</v>
      </c>
      <c r="G127" s="9" t="s">
        <v>81</v>
      </c>
      <c r="H127" s="9" t="s">
        <v>84</v>
      </c>
      <c r="I127" s="13" t="s">
        <v>119</v>
      </c>
      <c r="J127" s="13" t="s">
        <v>2006</v>
      </c>
      <c r="M127" s="13" t="s">
        <v>1294</v>
      </c>
      <c r="N127" s="13" t="s">
        <v>138</v>
      </c>
      <c r="O127" s="13"/>
      <c r="P127" s="13" t="s">
        <v>87</v>
      </c>
      <c r="Q127" s="13" t="s">
        <v>1296</v>
      </c>
      <c r="S127" s="13" t="s">
        <v>84</v>
      </c>
      <c r="T127" s="13" t="s">
        <v>84</v>
      </c>
      <c r="U127" s="13" t="s">
        <v>84</v>
      </c>
      <c r="V127" s="13" t="s">
        <v>82</v>
      </c>
      <c r="W127" s="13" t="s">
        <v>82</v>
      </c>
      <c r="X127" s="13" t="s">
        <v>82</v>
      </c>
      <c r="Y127" s="13" t="s">
        <v>82</v>
      </c>
      <c r="Z127" s="13" t="s">
        <v>82</v>
      </c>
      <c r="AA127" s="13"/>
      <c r="AB127" s="13" t="s">
        <v>82</v>
      </c>
      <c r="AC127" s="13"/>
      <c r="AD127" s="13" t="s">
        <v>82</v>
      </c>
      <c r="AE127" s="13"/>
      <c r="AF127" s="13"/>
      <c r="AG127" s="13" t="s">
        <v>84</v>
      </c>
      <c r="AH127" s="13" t="s">
        <v>2111</v>
      </c>
      <c r="AI127" s="13" t="s">
        <v>82</v>
      </c>
      <c r="AJ127" s="13"/>
      <c r="AK127" s="13"/>
      <c r="AL127" s="13" t="s">
        <v>296</v>
      </c>
      <c r="AM127" s="13" t="s">
        <v>111</v>
      </c>
      <c r="AN127" s="13"/>
      <c r="AO127" s="13" t="s">
        <v>80</v>
      </c>
      <c r="AQ127" s="13" t="s">
        <v>84</v>
      </c>
      <c r="AR127" s="13" t="s">
        <v>84</v>
      </c>
      <c r="AS127" s="13" t="s">
        <v>82</v>
      </c>
      <c r="AT127" s="13" t="s">
        <v>84</v>
      </c>
      <c r="AU127" s="13"/>
      <c r="AW127" s="13" t="s">
        <v>80</v>
      </c>
      <c r="AX127" s="13" t="s">
        <v>80</v>
      </c>
      <c r="AY127" s="13" t="s">
        <v>80</v>
      </c>
      <c r="AZ127" s="13" t="s">
        <v>80</v>
      </c>
      <c r="BA127" s="13"/>
      <c r="BB127" s="13" t="s">
        <v>84</v>
      </c>
      <c r="BC127" s="13" t="s">
        <v>80</v>
      </c>
      <c r="BD127" s="13" t="s">
        <v>112</v>
      </c>
      <c r="BE127" s="13" t="s">
        <v>93</v>
      </c>
      <c r="BF127" s="13" t="s">
        <v>113</v>
      </c>
      <c r="BG127" s="13" t="s">
        <v>82</v>
      </c>
      <c r="BH127" s="13" t="s">
        <v>82</v>
      </c>
      <c r="BI127" s="13"/>
      <c r="BJ127" s="13" t="s">
        <v>84</v>
      </c>
      <c r="BK127" s="13" t="s">
        <v>80</v>
      </c>
      <c r="BL127" s="13">
        <v>5</v>
      </c>
      <c r="BM127" s="13">
        <v>1</v>
      </c>
      <c r="BN127" s="13">
        <v>1</v>
      </c>
      <c r="BO127" s="13">
        <v>1</v>
      </c>
      <c r="BP127" s="13">
        <v>5</v>
      </c>
      <c r="BQ127" s="13">
        <v>2</v>
      </c>
      <c r="BS127" s="13" t="s">
        <v>118</v>
      </c>
      <c r="BT127" s="13"/>
      <c r="BU127" s="13"/>
      <c r="BV127" s="13"/>
      <c r="BX127" s="13" t="s">
        <v>84</v>
      </c>
      <c r="BY127" s="13"/>
      <c r="BZ127" s="13" t="s">
        <v>84</v>
      </c>
      <c r="CA127" s="13"/>
      <c r="CB127" s="13" t="s">
        <v>82</v>
      </c>
      <c r="CC127" s="13"/>
      <c r="CD127" s="13" t="s">
        <v>82</v>
      </c>
      <c r="CE127" s="13"/>
      <c r="CF127" s="13"/>
      <c r="CG127" s="13"/>
      <c r="CI127" s="13" t="s">
        <v>82</v>
      </c>
      <c r="CJ127" s="13"/>
      <c r="CK127" s="13" t="s">
        <v>82</v>
      </c>
      <c r="CL127" s="13"/>
      <c r="CM127" s="13" t="s">
        <v>84</v>
      </c>
      <c r="CN127" s="13"/>
      <c r="CO127" s="13"/>
      <c r="CP127" s="13"/>
      <c r="CQ127" s="13" t="s">
        <v>99</v>
      </c>
      <c r="CR127" s="13" t="s">
        <v>80</v>
      </c>
      <c r="CS127" s="13" t="s">
        <v>97</v>
      </c>
      <c r="CT127" s="13"/>
      <c r="CU127" s="13" t="s">
        <v>246</v>
      </c>
      <c r="CV127" s="13"/>
      <c r="CW127" s="13" t="s">
        <v>82</v>
      </c>
      <c r="CX127" s="13"/>
      <c r="CY127" s="13" t="s">
        <v>81</v>
      </c>
      <c r="CZ127" s="13"/>
      <c r="DA127" s="13" t="s">
        <v>82</v>
      </c>
      <c r="DB127" s="13"/>
      <c r="DC127" s="13" t="s">
        <v>84</v>
      </c>
      <c r="DD127" s="13" t="s">
        <v>84</v>
      </c>
      <c r="DG127" s="13">
        <v>3</v>
      </c>
      <c r="DH127" s="13">
        <v>1</v>
      </c>
      <c r="DI127" s="13">
        <v>4</v>
      </c>
      <c r="DJ127" s="13">
        <v>1</v>
      </c>
      <c r="DK127" s="13">
        <v>1</v>
      </c>
      <c r="DL127" s="13">
        <v>1</v>
      </c>
      <c r="DM127" s="13">
        <v>1</v>
      </c>
      <c r="DN127" s="13">
        <v>1</v>
      </c>
      <c r="DO127" s="13">
        <v>3</v>
      </c>
      <c r="DP127" s="13">
        <v>2</v>
      </c>
      <c r="DQ127" s="13">
        <v>1</v>
      </c>
      <c r="DR127" s="13">
        <v>1</v>
      </c>
      <c r="DS127" s="13" t="s">
        <v>99</v>
      </c>
      <c r="DT127" s="13" t="s">
        <v>106</v>
      </c>
      <c r="DU127" s="13"/>
      <c r="DV127" s="13" t="s">
        <v>84</v>
      </c>
      <c r="DW127" s="13" t="s">
        <v>100</v>
      </c>
      <c r="DX127" s="13" t="s">
        <v>81</v>
      </c>
      <c r="DY127" s="13" t="s">
        <v>2461</v>
      </c>
      <c r="DZ127" s="13" t="s">
        <v>113</v>
      </c>
      <c r="EA127" s="13"/>
      <c r="EB127" s="13" t="s">
        <v>82</v>
      </c>
      <c r="EC127" s="13"/>
      <c r="ED127" s="13" t="s">
        <v>81</v>
      </c>
      <c r="EE127" s="13"/>
      <c r="EF127" s="13" t="s">
        <v>84</v>
      </c>
      <c r="EG127" s="13" t="s">
        <v>84</v>
      </c>
      <c r="EH127" s="13" t="s">
        <v>82</v>
      </c>
      <c r="EI127" s="13"/>
      <c r="EJ127" s="13" t="s">
        <v>2462</v>
      </c>
      <c r="EK127" s="13" t="s">
        <v>2463</v>
      </c>
      <c r="EL127" s="13" t="s">
        <v>2464</v>
      </c>
      <c r="EM127" s="9">
        <v>751.15</v>
      </c>
      <c r="EN127" s="9">
        <v>16.38</v>
      </c>
      <c r="EO127" s="9"/>
      <c r="EP127" s="9"/>
      <c r="EQ127" s="9">
        <v>59.76</v>
      </c>
      <c r="ER127" s="9"/>
      <c r="ES127" s="9"/>
      <c r="ET127" s="9"/>
      <c r="EU127" s="9"/>
      <c r="EV127" s="9"/>
      <c r="EW127" s="9">
        <v>126.96</v>
      </c>
      <c r="EX127" s="9"/>
      <c r="EY127" s="9"/>
      <c r="EZ127" s="9"/>
      <c r="FA127" s="9"/>
      <c r="FB127" s="9"/>
      <c r="FC127" s="9"/>
      <c r="FD127" s="9"/>
      <c r="FE127" s="9"/>
      <c r="FF127" s="9">
        <v>11.89</v>
      </c>
      <c r="FG127" s="9"/>
      <c r="FH127" s="9"/>
      <c r="FI127" s="9"/>
      <c r="FJ127" s="9">
        <v>15.11</v>
      </c>
      <c r="FK127" s="9"/>
      <c r="FL127" s="9"/>
      <c r="FM127" s="9"/>
      <c r="FN127" s="9"/>
      <c r="FO127" s="9"/>
      <c r="FP127" s="9">
        <v>33.840000000000003</v>
      </c>
      <c r="FQ127" s="9"/>
      <c r="FR127" s="9"/>
      <c r="FS127" s="9"/>
      <c r="FT127" s="9"/>
      <c r="FU127" s="9"/>
      <c r="FV127" s="9">
        <v>52.88</v>
      </c>
      <c r="FW127" s="9"/>
      <c r="FX127" s="9"/>
      <c r="FY127" s="9"/>
      <c r="FZ127" s="9"/>
      <c r="GA127" s="9"/>
      <c r="GB127" s="9"/>
      <c r="GC127" s="9">
        <v>127.05</v>
      </c>
      <c r="GD127" s="9"/>
      <c r="GE127" s="9"/>
      <c r="GF127" s="9"/>
      <c r="GG127" s="9"/>
      <c r="GH127" s="9"/>
      <c r="GI127" s="9"/>
      <c r="GJ127" s="9"/>
      <c r="GK127" s="9"/>
      <c r="GL127" s="9"/>
      <c r="GM127" s="9"/>
      <c r="GN127" s="9"/>
      <c r="GO127" s="9"/>
      <c r="GP127" s="9"/>
      <c r="GQ127" s="9"/>
      <c r="GR127" s="9"/>
      <c r="GS127" s="9"/>
      <c r="GT127" s="9">
        <v>17.07</v>
      </c>
      <c r="GU127" s="9"/>
      <c r="GV127" s="9"/>
      <c r="GW127" s="9"/>
      <c r="GX127" s="9">
        <v>78.16</v>
      </c>
      <c r="GY127" s="9"/>
      <c r="GZ127" s="9"/>
      <c r="HA127" s="9"/>
      <c r="HB127" s="9">
        <v>212.05</v>
      </c>
      <c r="HC127" s="9"/>
      <c r="HD127" s="9"/>
      <c r="HE127" s="9"/>
      <c r="HF127" s="9"/>
      <c r="HG127" s="9"/>
      <c r="HH127" s="9"/>
      <c r="HI127" s="9"/>
      <c r="HJ127" s="9"/>
      <c r="HK127" s="9"/>
      <c r="HL127" s="9"/>
      <c r="HM127" s="9"/>
      <c r="HN127" s="9"/>
      <c r="HO127" s="9"/>
      <c r="HP127" s="9"/>
      <c r="HQ127" s="62">
        <f t="shared" si="9"/>
        <v>751.15</v>
      </c>
      <c r="HR127" s="62">
        <f t="shared" si="8"/>
        <v>12.519166666666667</v>
      </c>
    </row>
    <row r="128" spans="1:226" ht="12.95" customHeight="1" x14ac:dyDescent="0.2">
      <c r="A128" s="11">
        <v>187</v>
      </c>
      <c r="B128" s="9">
        <v>180</v>
      </c>
      <c r="C128" s="9" t="s">
        <v>83</v>
      </c>
      <c r="D128" s="9">
        <v>11</v>
      </c>
      <c r="E128" s="9" t="s">
        <v>79</v>
      </c>
      <c r="F128" s="9">
        <v>1597355017</v>
      </c>
      <c r="G128" s="9" t="s">
        <v>81</v>
      </c>
      <c r="H128" s="9" t="s">
        <v>84</v>
      </c>
      <c r="I128" s="13" t="s">
        <v>324</v>
      </c>
      <c r="J128" s="13"/>
      <c r="M128" s="13" t="s">
        <v>1319</v>
      </c>
      <c r="N128" s="13" t="s">
        <v>108</v>
      </c>
      <c r="O128" s="13"/>
      <c r="P128" s="13" t="s">
        <v>253</v>
      </c>
      <c r="Q128" s="13" t="s">
        <v>1296</v>
      </c>
      <c r="S128" s="13" t="s">
        <v>84</v>
      </c>
      <c r="T128" s="13" t="s">
        <v>84</v>
      </c>
      <c r="U128" s="13" t="s">
        <v>84</v>
      </c>
      <c r="V128" s="13" t="s">
        <v>84</v>
      </c>
      <c r="W128" s="13" t="s">
        <v>82</v>
      </c>
      <c r="X128" s="13" t="s">
        <v>82</v>
      </c>
      <c r="Y128" s="13" t="s">
        <v>84</v>
      </c>
      <c r="Z128" s="13" t="s">
        <v>84</v>
      </c>
      <c r="AA128" s="13"/>
      <c r="AB128" s="13" t="s">
        <v>84</v>
      </c>
      <c r="AC128" s="13"/>
      <c r="AD128" s="13" t="s">
        <v>82</v>
      </c>
      <c r="AE128" s="13"/>
      <c r="AF128" s="13"/>
      <c r="AG128" s="13" t="s">
        <v>84</v>
      </c>
      <c r="AH128" s="13"/>
      <c r="AI128" s="13" t="s">
        <v>84</v>
      </c>
      <c r="AJ128" s="13"/>
      <c r="AK128" s="13"/>
      <c r="AL128" s="13" t="s">
        <v>140</v>
      </c>
      <c r="AM128" s="13" t="s">
        <v>91</v>
      </c>
      <c r="AN128" s="13"/>
      <c r="AO128" s="13" t="s">
        <v>80</v>
      </c>
      <c r="AQ128" s="13" t="s">
        <v>80</v>
      </c>
      <c r="AR128" s="13" t="s">
        <v>80</v>
      </c>
      <c r="AS128" s="13" t="s">
        <v>80</v>
      </c>
      <c r="AT128" s="13" t="s">
        <v>80</v>
      </c>
      <c r="AU128" s="13"/>
      <c r="AW128" s="13" t="s">
        <v>84</v>
      </c>
      <c r="AX128" s="13" t="s">
        <v>84</v>
      </c>
      <c r="AY128" s="13" t="s">
        <v>84</v>
      </c>
      <c r="AZ128" s="13" t="s">
        <v>84</v>
      </c>
      <c r="BA128" s="13"/>
      <c r="BB128" s="13" t="s">
        <v>84</v>
      </c>
      <c r="BC128" s="13" t="s">
        <v>80</v>
      </c>
      <c r="BD128" s="13" t="s">
        <v>113</v>
      </c>
      <c r="BE128" s="13" t="s">
        <v>113</v>
      </c>
      <c r="BF128" s="13" t="s">
        <v>100</v>
      </c>
      <c r="BG128" s="13" t="s">
        <v>84</v>
      </c>
      <c r="BH128" s="13" t="s">
        <v>84</v>
      </c>
      <c r="BI128" s="13"/>
      <c r="BJ128" s="13" t="s">
        <v>84</v>
      </c>
      <c r="BK128" s="13" t="s">
        <v>80</v>
      </c>
      <c r="BL128" s="13">
        <v>2</v>
      </c>
      <c r="BM128" s="13">
        <v>2</v>
      </c>
      <c r="BN128" s="13">
        <v>2</v>
      </c>
      <c r="BO128" s="13">
        <v>2</v>
      </c>
      <c r="BP128" s="13">
        <v>2</v>
      </c>
      <c r="BQ128" s="13">
        <v>2</v>
      </c>
      <c r="BS128" s="13" t="s">
        <v>97</v>
      </c>
      <c r="BT128" s="13"/>
      <c r="BU128" s="13" t="s">
        <v>246</v>
      </c>
      <c r="BV128" s="13"/>
      <c r="BX128" s="13" t="s">
        <v>80</v>
      </c>
      <c r="BY128" s="13"/>
      <c r="BZ128" s="13" t="s">
        <v>80</v>
      </c>
      <c r="CA128" s="13"/>
      <c r="CB128" s="13" t="s">
        <v>80</v>
      </c>
      <c r="CC128" s="13"/>
      <c r="CD128" s="13" t="s">
        <v>80</v>
      </c>
      <c r="CE128" s="13"/>
      <c r="CF128" s="13"/>
      <c r="CG128" s="13"/>
      <c r="CI128" s="13" t="s">
        <v>84</v>
      </c>
      <c r="CJ128" s="13"/>
      <c r="CK128" s="13" t="s">
        <v>84</v>
      </c>
      <c r="CL128" s="13"/>
      <c r="CM128" s="13" t="s">
        <v>82</v>
      </c>
      <c r="CN128" s="13"/>
      <c r="CO128" s="13"/>
      <c r="CP128" s="13"/>
      <c r="CQ128" s="13" t="s">
        <v>118</v>
      </c>
      <c r="CR128" s="13" t="s">
        <v>84</v>
      </c>
      <c r="CS128" s="13" t="s">
        <v>1312</v>
      </c>
      <c r="CT128" s="13"/>
      <c r="CU128" s="13" t="s">
        <v>81</v>
      </c>
      <c r="CV128" s="13"/>
      <c r="CW128" s="13" t="s">
        <v>84</v>
      </c>
      <c r="CX128" s="13"/>
      <c r="CY128" s="13"/>
      <c r="CZ128" s="13"/>
      <c r="DA128" s="13" t="s">
        <v>84</v>
      </c>
      <c r="DB128" s="13"/>
      <c r="DC128" s="13" t="s">
        <v>84</v>
      </c>
      <c r="DD128" s="13" t="s">
        <v>84</v>
      </c>
      <c r="DG128" s="13">
        <v>1</v>
      </c>
      <c r="DH128" s="13">
        <v>1</v>
      </c>
      <c r="DI128" s="13">
        <v>2</v>
      </c>
      <c r="DJ128" s="13">
        <v>2</v>
      </c>
      <c r="DK128" s="13">
        <v>3</v>
      </c>
      <c r="DL128" s="13">
        <v>3</v>
      </c>
      <c r="DM128" s="13">
        <v>2</v>
      </c>
      <c r="DN128" s="13">
        <v>2</v>
      </c>
      <c r="DO128" s="13">
        <v>2</v>
      </c>
      <c r="DP128" s="13">
        <v>2</v>
      </c>
      <c r="DQ128" s="13">
        <v>2</v>
      </c>
      <c r="DR128" s="13">
        <v>2</v>
      </c>
      <c r="DS128" s="13" t="s">
        <v>118</v>
      </c>
      <c r="DT128" s="13" t="s">
        <v>82</v>
      </c>
      <c r="DU128" s="13"/>
      <c r="DV128" s="13" t="s">
        <v>84</v>
      </c>
      <c r="DW128" s="13" t="s">
        <v>113</v>
      </c>
      <c r="DX128" s="13" t="s">
        <v>81</v>
      </c>
      <c r="DY128" s="13"/>
      <c r="DZ128" s="13" t="s">
        <v>113</v>
      </c>
      <c r="EA128" s="13"/>
      <c r="EB128" s="13" t="s">
        <v>82</v>
      </c>
      <c r="EC128" s="13"/>
      <c r="ED128" s="13" t="s">
        <v>246</v>
      </c>
      <c r="EE128" s="13"/>
      <c r="EF128" s="13" t="s">
        <v>84</v>
      </c>
      <c r="EG128" s="13" t="s">
        <v>82</v>
      </c>
      <c r="EH128" s="13" t="s">
        <v>82</v>
      </c>
      <c r="EI128" s="13"/>
      <c r="EJ128" s="13"/>
      <c r="EK128" s="13"/>
      <c r="EL128" s="13"/>
      <c r="EM128" s="9">
        <v>581.09</v>
      </c>
      <c r="EN128" s="9">
        <v>25.96</v>
      </c>
      <c r="EO128" s="9"/>
      <c r="EP128" s="9"/>
      <c r="EQ128" s="9">
        <v>79.959999999999994</v>
      </c>
      <c r="ER128" s="9"/>
      <c r="ES128" s="9"/>
      <c r="ET128" s="9"/>
      <c r="EU128" s="9"/>
      <c r="EV128" s="9"/>
      <c r="EW128" s="9">
        <v>45.08</v>
      </c>
      <c r="EX128" s="9"/>
      <c r="EY128" s="9"/>
      <c r="EZ128" s="9"/>
      <c r="FA128" s="9"/>
      <c r="FB128" s="9"/>
      <c r="FC128" s="9"/>
      <c r="FD128" s="9"/>
      <c r="FE128" s="9"/>
      <c r="FF128" s="9">
        <v>16.47</v>
      </c>
      <c r="FG128" s="9"/>
      <c r="FH128" s="9"/>
      <c r="FI128" s="9"/>
      <c r="FJ128" s="9">
        <v>18.260000000000002</v>
      </c>
      <c r="FK128" s="9"/>
      <c r="FL128" s="9"/>
      <c r="FM128" s="9"/>
      <c r="FN128" s="9"/>
      <c r="FO128" s="9"/>
      <c r="FP128" s="9">
        <v>37.93</v>
      </c>
      <c r="FQ128" s="9"/>
      <c r="FR128" s="9"/>
      <c r="FS128" s="9"/>
      <c r="FT128" s="9"/>
      <c r="FU128" s="9"/>
      <c r="FV128" s="9">
        <v>57.43</v>
      </c>
      <c r="FW128" s="9"/>
      <c r="FX128" s="9"/>
      <c r="FY128" s="9"/>
      <c r="FZ128" s="9"/>
      <c r="GA128" s="9"/>
      <c r="GB128" s="9"/>
      <c r="GC128" s="9">
        <v>176.05</v>
      </c>
      <c r="GD128" s="9"/>
      <c r="GE128" s="9"/>
      <c r="GF128" s="9"/>
      <c r="GG128" s="9"/>
      <c r="GH128" s="9"/>
      <c r="GI128" s="9"/>
      <c r="GJ128" s="9"/>
      <c r="GK128" s="9"/>
      <c r="GL128" s="9"/>
      <c r="GM128" s="9"/>
      <c r="GN128" s="9"/>
      <c r="GO128" s="9"/>
      <c r="GP128" s="9"/>
      <c r="GQ128" s="9"/>
      <c r="GR128" s="9"/>
      <c r="GS128" s="9"/>
      <c r="GT128" s="9">
        <v>20.68</v>
      </c>
      <c r="GU128" s="9"/>
      <c r="GV128" s="9"/>
      <c r="GW128" s="9"/>
      <c r="GX128" s="9">
        <v>26.22</v>
      </c>
      <c r="GY128" s="9"/>
      <c r="GZ128" s="9"/>
      <c r="HA128" s="9"/>
      <c r="HB128" s="9">
        <v>77.05</v>
      </c>
      <c r="HC128" s="9"/>
      <c r="HD128" s="9"/>
      <c r="HE128" s="9"/>
      <c r="HF128" s="9"/>
      <c r="HG128" s="9"/>
      <c r="HH128" s="9"/>
      <c r="HI128" s="9"/>
      <c r="HJ128" s="9"/>
      <c r="HK128" s="9"/>
      <c r="HL128" s="9"/>
      <c r="HM128" s="9"/>
      <c r="HN128" s="9"/>
      <c r="HO128" s="9"/>
      <c r="HP128" s="9"/>
      <c r="HQ128" s="62">
        <f t="shared" si="9"/>
        <v>581.09</v>
      </c>
      <c r="HR128" s="62">
        <f t="shared" si="8"/>
        <v>9.6848333333333336</v>
      </c>
    </row>
    <row r="129" spans="1:226" ht="12.95" customHeight="1" x14ac:dyDescent="0.2">
      <c r="A129" s="11">
        <v>188</v>
      </c>
      <c r="B129" s="9">
        <v>184</v>
      </c>
      <c r="C129" s="9" t="s">
        <v>83</v>
      </c>
      <c r="D129" s="9">
        <v>11</v>
      </c>
      <c r="E129" s="9" t="s">
        <v>79</v>
      </c>
      <c r="F129" s="9">
        <v>1489473111</v>
      </c>
      <c r="G129" s="9" t="s">
        <v>81</v>
      </c>
      <c r="H129" s="9" t="s">
        <v>84</v>
      </c>
      <c r="I129" s="13" t="s">
        <v>161</v>
      </c>
      <c r="J129" s="13"/>
      <c r="M129" s="13" t="s">
        <v>1294</v>
      </c>
      <c r="N129" s="13" t="s">
        <v>106</v>
      </c>
      <c r="O129" s="13"/>
      <c r="P129" s="13" t="s">
        <v>195</v>
      </c>
      <c r="Q129" s="13" t="s">
        <v>1296</v>
      </c>
      <c r="S129" s="13" t="s">
        <v>84</v>
      </c>
      <c r="T129" s="13" t="s">
        <v>84</v>
      </c>
      <c r="U129" s="13" t="s">
        <v>84</v>
      </c>
      <c r="V129" s="13" t="s">
        <v>82</v>
      </c>
      <c r="W129" s="13" t="s">
        <v>82</v>
      </c>
      <c r="X129" s="13" t="s">
        <v>82</v>
      </c>
      <c r="Y129" s="13" t="s">
        <v>82</v>
      </c>
      <c r="Z129" s="13" t="s">
        <v>82</v>
      </c>
      <c r="AA129" s="13"/>
      <c r="AB129" s="13" t="s">
        <v>82</v>
      </c>
      <c r="AC129" s="13"/>
      <c r="AD129" s="13" t="s">
        <v>82</v>
      </c>
      <c r="AE129" s="13"/>
      <c r="AF129" s="13"/>
      <c r="AG129" s="13" t="s">
        <v>82</v>
      </c>
      <c r="AH129" s="13" t="s">
        <v>2112</v>
      </c>
      <c r="AI129" s="13" t="s">
        <v>84</v>
      </c>
      <c r="AJ129" s="13" t="s">
        <v>2113</v>
      </c>
      <c r="AK129" s="13" t="s">
        <v>2114</v>
      </c>
      <c r="AL129" s="13" t="s">
        <v>126</v>
      </c>
      <c r="AM129" s="13" t="s">
        <v>111</v>
      </c>
      <c r="AN129" s="13"/>
      <c r="AO129" s="13" t="s">
        <v>80</v>
      </c>
      <c r="AQ129" s="13" t="s">
        <v>84</v>
      </c>
      <c r="AR129" s="13" t="s">
        <v>82</v>
      </c>
      <c r="AS129" s="13" t="s">
        <v>84</v>
      </c>
      <c r="AT129" s="13" t="s">
        <v>82</v>
      </c>
      <c r="AU129" s="13"/>
      <c r="AW129" s="13" t="s">
        <v>80</v>
      </c>
      <c r="AX129" s="13" t="s">
        <v>80</v>
      </c>
      <c r="AY129" s="13" t="s">
        <v>80</v>
      </c>
      <c r="AZ129" s="13" t="s">
        <v>80</v>
      </c>
      <c r="BA129" s="13"/>
      <c r="BB129" s="13" t="s">
        <v>84</v>
      </c>
      <c r="BC129" s="13" t="s">
        <v>80</v>
      </c>
      <c r="BD129" s="13" t="s">
        <v>100</v>
      </c>
      <c r="BE129" s="13" t="s">
        <v>113</v>
      </c>
      <c r="BF129" s="13" t="s">
        <v>112</v>
      </c>
      <c r="BG129" s="13" t="s">
        <v>82</v>
      </c>
      <c r="BH129" s="13" t="s">
        <v>84</v>
      </c>
      <c r="BI129" s="13" t="s">
        <v>2158</v>
      </c>
      <c r="BJ129" s="13" t="s">
        <v>84</v>
      </c>
      <c r="BK129" s="13" t="s">
        <v>80</v>
      </c>
      <c r="BL129" s="13">
        <v>3</v>
      </c>
      <c r="BM129" s="13">
        <v>1</v>
      </c>
      <c r="BN129" s="13">
        <v>3</v>
      </c>
      <c r="BO129" s="13">
        <v>1</v>
      </c>
      <c r="BP129" s="13">
        <v>3</v>
      </c>
      <c r="BQ129" s="13">
        <v>1</v>
      </c>
      <c r="BS129" s="13" t="s">
        <v>97</v>
      </c>
      <c r="BT129" s="13"/>
      <c r="BU129" s="13" t="s">
        <v>246</v>
      </c>
      <c r="BV129" s="13"/>
      <c r="BX129" s="13" t="s">
        <v>80</v>
      </c>
      <c r="BY129" s="13"/>
      <c r="BZ129" s="13" t="s">
        <v>80</v>
      </c>
      <c r="CA129" s="13"/>
      <c r="CB129" s="13" t="s">
        <v>80</v>
      </c>
      <c r="CC129" s="13"/>
      <c r="CD129" s="13" t="s">
        <v>80</v>
      </c>
      <c r="CE129" s="13"/>
      <c r="CF129" s="13"/>
      <c r="CG129" s="13"/>
      <c r="CI129" s="13" t="s">
        <v>82</v>
      </c>
      <c r="CJ129" s="13"/>
      <c r="CK129" s="13" t="s">
        <v>82</v>
      </c>
      <c r="CL129" s="13"/>
      <c r="CM129" s="13" t="s">
        <v>84</v>
      </c>
      <c r="CN129" s="13"/>
      <c r="CO129" s="13"/>
      <c r="CP129" s="13"/>
      <c r="CQ129" s="13" t="s">
        <v>118</v>
      </c>
      <c r="CR129" s="13" t="s">
        <v>84</v>
      </c>
      <c r="CS129" s="13" t="s">
        <v>1312</v>
      </c>
      <c r="CT129" s="13" t="s">
        <v>2268</v>
      </c>
      <c r="CU129" s="13" t="s">
        <v>81</v>
      </c>
      <c r="CV129" s="13" t="s">
        <v>2269</v>
      </c>
      <c r="CW129" s="13" t="s">
        <v>82</v>
      </c>
      <c r="CX129" s="13"/>
      <c r="CY129" s="13" t="s">
        <v>246</v>
      </c>
      <c r="CZ129" s="13" t="s">
        <v>2270</v>
      </c>
      <c r="DA129" s="13" t="s">
        <v>82</v>
      </c>
      <c r="DB129" s="13"/>
      <c r="DC129" s="13" t="s">
        <v>82</v>
      </c>
      <c r="DD129" s="13" t="s">
        <v>82</v>
      </c>
      <c r="DG129" s="13">
        <v>1</v>
      </c>
      <c r="DH129" s="13">
        <v>1</v>
      </c>
      <c r="DI129" s="13">
        <v>1</v>
      </c>
      <c r="DJ129" s="13">
        <v>1</v>
      </c>
      <c r="DK129" s="13">
        <v>1</v>
      </c>
      <c r="DL129" s="13">
        <v>1</v>
      </c>
      <c r="DM129" s="13">
        <v>1</v>
      </c>
      <c r="DN129" s="13">
        <v>1</v>
      </c>
      <c r="DO129" s="13">
        <v>1</v>
      </c>
      <c r="DP129" s="13">
        <v>1</v>
      </c>
      <c r="DQ129" s="13">
        <v>1</v>
      </c>
      <c r="DR129" s="13">
        <v>1</v>
      </c>
      <c r="DS129" s="13" t="s">
        <v>99</v>
      </c>
      <c r="DT129" s="13" t="s">
        <v>106</v>
      </c>
      <c r="DU129" s="13"/>
      <c r="DV129" s="13" t="s">
        <v>84</v>
      </c>
      <c r="DW129" s="13" t="s">
        <v>100</v>
      </c>
      <c r="DX129" s="13" t="s">
        <v>81</v>
      </c>
      <c r="DY129" s="13" t="s">
        <v>2465</v>
      </c>
      <c r="DZ129" s="13" t="s">
        <v>100</v>
      </c>
      <c r="EA129" s="13"/>
      <c r="EB129" s="13" t="s">
        <v>82</v>
      </c>
      <c r="EC129" s="13"/>
      <c r="ED129" s="13" t="s">
        <v>81</v>
      </c>
      <c r="EE129" s="13" t="s">
        <v>2466</v>
      </c>
      <c r="EF129" s="13" t="s">
        <v>84</v>
      </c>
      <c r="EG129" s="13" t="s">
        <v>82</v>
      </c>
      <c r="EH129" s="13" t="s">
        <v>82</v>
      </c>
      <c r="EI129" s="13"/>
      <c r="EJ129" s="13"/>
      <c r="EK129" s="13"/>
      <c r="EL129" s="13"/>
      <c r="EM129" s="9">
        <v>1435.16</v>
      </c>
      <c r="EN129" s="9">
        <v>74.56</v>
      </c>
      <c r="EO129" s="9"/>
      <c r="EP129" s="9"/>
      <c r="EQ129" s="9">
        <v>73.010000000000005</v>
      </c>
      <c r="ER129" s="9"/>
      <c r="ES129" s="9"/>
      <c r="ET129" s="9"/>
      <c r="EU129" s="9"/>
      <c r="EV129" s="9"/>
      <c r="EW129" s="9">
        <v>127.06</v>
      </c>
      <c r="EX129" s="9"/>
      <c r="EY129" s="9"/>
      <c r="EZ129" s="9"/>
      <c r="FA129" s="9"/>
      <c r="FB129" s="9"/>
      <c r="FC129" s="9"/>
      <c r="FD129" s="9"/>
      <c r="FE129" s="9"/>
      <c r="FF129" s="9">
        <v>397.15</v>
      </c>
      <c r="FG129" s="9"/>
      <c r="FH129" s="9"/>
      <c r="FI129" s="9"/>
      <c r="FJ129" s="9">
        <v>31.64</v>
      </c>
      <c r="FK129" s="9"/>
      <c r="FL129" s="9"/>
      <c r="FM129" s="9"/>
      <c r="FN129" s="9"/>
      <c r="FO129" s="9"/>
      <c r="FP129" s="9">
        <v>38.29</v>
      </c>
      <c r="FQ129" s="9"/>
      <c r="FR129" s="9"/>
      <c r="FS129" s="9"/>
      <c r="FT129" s="9"/>
      <c r="FU129" s="9"/>
      <c r="FV129" s="9">
        <v>162.38</v>
      </c>
      <c r="FW129" s="9"/>
      <c r="FX129" s="9"/>
      <c r="FY129" s="9"/>
      <c r="FZ129" s="9"/>
      <c r="GA129" s="9"/>
      <c r="GB129" s="9"/>
      <c r="GC129" s="9">
        <v>245.08</v>
      </c>
      <c r="GD129" s="9"/>
      <c r="GE129" s="9"/>
      <c r="GF129" s="9"/>
      <c r="GG129" s="9"/>
      <c r="GH129" s="9"/>
      <c r="GI129" s="9"/>
      <c r="GJ129" s="9"/>
      <c r="GK129" s="9"/>
      <c r="GL129" s="9"/>
      <c r="GM129" s="9"/>
      <c r="GN129" s="9"/>
      <c r="GO129" s="9"/>
      <c r="GP129" s="9"/>
      <c r="GQ129" s="9"/>
      <c r="GR129" s="9"/>
      <c r="GS129" s="9"/>
      <c r="GT129" s="9">
        <v>20.86</v>
      </c>
      <c r="GU129" s="9"/>
      <c r="GV129" s="9"/>
      <c r="GW129" s="9"/>
      <c r="GX129" s="9">
        <v>82.26</v>
      </c>
      <c r="GY129" s="9"/>
      <c r="GZ129" s="9"/>
      <c r="HA129" s="9"/>
      <c r="HB129" s="9">
        <v>182.87</v>
      </c>
      <c r="HC129" s="9"/>
      <c r="HD129" s="9"/>
      <c r="HE129" s="9"/>
      <c r="HF129" s="9"/>
      <c r="HG129" s="9"/>
      <c r="HH129" s="9"/>
      <c r="HI129" s="9"/>
      <c r="HJ129" s="9"/>
      <c r="HK129" s="9"/>
      <c r="HL129" s="9"/>
      <c r="HM129" s="9"/>
      <c r="HN129" s="9"/>
      <c r="HO129" s="9"/>
      <c r="HP129" s="9"/>
      <c r="HQ129" s="62">
        <f t="shared" si="9"/>
        <v>1435.16</v>
      </c>
      <c r="HR129" s="62">
        <f t="shared" si="8"/>
        <v>23.919333333333334</v>
      </c>
    </row>
    <row r="130" spans="1:226" ht="12.95" customHeight="1" x14ac:dyDescent="0.2">
      <c r="A130" s="11">
        <v>189</v>
      </c>
      <c r="B130" s="9">
        <v>185</v>
      </c>
      <c r="C130" s="9" t="s">
        <v>83</v>
      </c>
      <c r="D130" s="9">
        <v>11</v>
      </c>
      <c r="E130" s="9" t="s">
        <v>79</v>
      </c>
      <c r="F130" s="9">
        <v>164953857</v>
      </c>
      <c r="G130" s="9" t="s">
        <v>81</v>
      </c>
      <c r="H130" s="9" t="s">
        <v>84</v>
      </c>
      <c r="I130" s="13" t="s">
        <v>85</v>
      </c>
      <c r="J130" s="13"/>
      <c r="M130" s="13" t="s">
        <v>1294</v>
      </c>
      <c r="N130" s="13" t="s">
        <v>618</v>
      </c>
      <c r="O130" s="13"/>
      <c r="P130" s="13" t="s">
        <v>87</v>
      </c>
      <c r="Q130" s="13" t="s">
        <v>1296</v>
      </c>
      <c r="S130" s="13" t="s">
        <v>84</v>
      </c>
      <c r="T130" s="13" t="s">
        <v>84</v>
      </c>
      <c r="U130" s="13" t="s">
        <v>84</v>
      </c>
      <c r="V130" s="13" t="s">
        <v>82</v>
      </c>
      <c r="W130" s="13" t="s">
        <v>82</v>
      </c>
      <c r="X130" s="13" t="s">
        <v>84</v>
      </c>
      <c r="Y130" s="13" t="s">
        <v>84</v>
      </c>
      <c r="Z130" s="13" t="s">
        <v>82</v>
      </c>
      <c r="AA130" s="13"/>
      <c r="AB130" s="13" t="s">
        <v>82</v>
      </c>
      <c r="AC130" s="13"/>
      <c r="AD130" s="13" t="s">
        <v>84</v>
      </c>
      <c r="AE130" s="13" t="s">
        <v>2115</v>
      </c>
      <c r="AF130" s="13" t="s">
        <v>2116</v>
      </c>
      <c r="AG130" s="13" t="s">
        <v>80</v>
      </c>
      <c r="AH130" s="13"/>
      <c r="AI130" s="13" t="s">
        <v>84</v>
      </c>
      <c r="AJ130" s="13"/>
      <c r="AK130" s="13" t="s">
        <v>2117</v>
      </c>
      <c r="AL130" s="13" t="s">
        <v>140</v>
      </c>
      <c r="AM130" s="13" t="s">
        <v>82</v>
      </c>
      <c r="AN130" s="13" t="s">
        <v>2118</v>
      </c>
      <c r="AO130" s="13" t="s">
        <v>82</v>
      </c>
      <c r="AQ130" s="13" t="s">
        <v>80</v>
      </c>
      <c r="AR130" s="13" t="s">
        <v>80</v>
      </c>
      <c r="AS130" s="13" t="s">
        <v>80</v>
      </c>
      <c r="AT130" s="13" t="s">
        <v>80</v>
      </c>
      <c r="AU130" s="13"/>
      <c r="AW130" s="13" t="s">
        <v>80</v>
      </c>
      <c r="AX130" s="13" t="s">
        <v>80</v>
      </c>
      <c r="AY130" s="13" t="s">
        <v>80</v>
      </c>
      <c r="AZ130" s="13" t="s">
        <v>80</v>
      </c>
      <c r="BA130" s="13"/>
      <c r="BB130" s="13" t="s">
        <v>84</v>
      </c>
      <c r="BC130" s="13" t="s">
        <v>80</v>
      </c>
      <c r="BD130" s="13" t="s">
        <v>100</v>
      </c>
      <c r="BE130" s="13" t="s">
        <v>100</v>
      </c>
      <c r="BF130" s="13" t="s">
        <v>112</v>
      </c>
      <c r="BG130" s="13" t="s">
        <v>82</v>
      </c>
      <c r="BH130" s="13" t="s">
        <v>82</v>
      </c>
      <c r="BI130" s="13"/>
      <c r="BJ130" s="13" t="s">
        <v>84</v>
      </c>
      <c r="BK130" s="13" t="s">
        <v>80</v>
      </c>
      <c r="BL130" s="13">
        <v>3</v>
      </c>
      <c r="BM130" s="13">
        <v>3</v>
      </c>
      <c r="BN130" s="13">
        <v>1</v>
      </c>
      <c r="BO130" s="13">
        <v>1</v>
      </c>
      <c r="BP130" s="13">
        <v>3</v>
      </c>
      <c r="BQ130" s="13">
        <v>3</v>
      </c>
      <c r="BS130" s="13" t="s">
        <v>99</v>
      </c>
      <c r="BT130" s="13"/>
      <c r="BU130" s="13"/>
      <c r="BV130" s="13"/>
      <c r="BX130" s="13" t="s">
        <v>82</v>
      </c>
      <c r="BY130" s="13"/>
      <c r="BZ130" s="13" t="s">
        <v>84</v>
      </c>
      <c r="CA130" s="13"/>
      <c r="CB130" s="13" t="s">
        <v>82</v>
      </c>
      <c r="CC130" s="13"/>
      <c r="CD130" s="13" t="s">
        <v>82</v>
      </c>
      <c r="CE130" s="13"/>
      <c r="CF130" s="13"/>
      <c r="CG130" s="13"/>
      <c r="CI130" s="13" t="s">
        <v>84</v>
      </c>
      <c r="CJ130" s="13"/>
      <c r="CK130" s="13" t="s">
        <v>82</v>
      </c>
      <c r="CL130" s="13"/>
      <c r="CM130" s="13" t="s">
        <v>82</v>
      </c>
      <c r="CN130" s="13"/>
      <c r="CO130" s="13"/>
      <c r="CP130" s="13"/>
      <c r="CQ130" s="13" t="s">
        <v>99</v>
      </c>
      <c r="CR130" s="13" t="s">
        <v>80</v>
      </c>
      <c r="CS130" s="13" t="s">
        <v>99</v>
      </c>
      <c r="CT130" s="13"/>
      <c r="CU130" s="13"/>
      <c r="CV130" s="13"/>
      <c r="CW130" s="13" t="s">
        <v>84</v>
      </c>
      <c r="CX130" s="13" t="s">
        <v>2271</v>
      </c>
      <c r="CY130" s="13"/>
      <c r="CZ130" s="13"/>
      <c r="DA130" s="13" t="s">
        <v>82</v>
      </c>
      <c r="DB130" s="13"/>
      <c r="DC130" s="13" t="s">
        <v>84</v>
      </c>
      <c r="DD130" s="13" t="s">
        <v>82</v>
      </c>
      <c r="DG130" s="13">
        <v>2</v>
      </c>
      <c r="DH130" s="13">
        <v>2</v>
      </c>
      <c r="DI130" s="13">
        <v>2</v>
      </c>
      <c r="DJ130" s="13">
        <v>2</v>
      </c>
      <c r="DK130" s="13">
        <v>1</v>
      </c>
      <c r="DL130" s="13">
        <v>3</v>
      </c>
      <c r="DM130" s="13">
        <v>1</v>
      </c>
      <c r="DN130" s="13">
        <v>3</v>
      </c>
      <c r="DO130" s="13">
        <v>3</v>
      </c>
      <c r="DP130" s="13">
        <v>3</v>
      </c>
      <c r="DQ130" s="13">
        <v>2</v>
      </c>
      <c r="DR130" s="13">
        <v>2</v>
      </c>
      <c r="DS130" s="13" t="s">
        <v>99</v>
      </c>
      <c r="DT130" s="13" t="s">
        <v>106</v>
      </c>
      <c r="DU130" s="13"/>
      <c r="DV130" s="13" t="s">
        <v>84</v>
      </c>
      <c r="DW130" s="13" t="s">
        <v>100</v>
      </c>
      <c r="DX130" s="13" t="s">
        <v>81</v>
      </c>
      <c r="DY130" s="13"/>
      <c r="DZ130" s="13" t="s">
        <v>100</v>
      </c>
      <c r="EA130" s="13"/>
      <c r="EB130" s="13" t="s">
        <v>82</v>
      </c>
      <c r="EC130" s="13"/>
      <c r="ED130" s="13" t="s">
        <v>246</v>
      </c>
      <c r="EE130" s="13"/>
      <c r="EF130" s="13" t="s">
        <v>82</v>
      </c>
      <c r="EG130" s="13" t="s">
        <v>84</v>
      </c>
      <c r="EH130" s="13" t="s">
        <v>82</v>
      </c>
      <c r="EI130" s="13"/>
      <c r="EJ130" s="13" t="s">
        <v>2467</v>
      </c>
      <c r="EK130" s="13"/>
      <c r="EL130" s="13"/>
      <c r="EM130" s="9">
        <v>1622.5</v>
      </c>
      <c r="EN130" s="9">
        <v>25.73</v>
      </c>
      <c r="EO130" s="9"/>
      <c r="EP130" s="9"/>
      <c r="EQ130" s="9">
        <v>60.67</v>
      </c>
      <c r="ER130" s="9"/>
      <c r="ES130" s="9"/>
      <c r="ET130" s="9"/>
      <c r="EU130" s="9"/>
      <c r="EV130" s="9"/>
      <c r="EW130" s="9">
        <v>343.91</v>
      </c>
      <c r="EX130" s="9"/>
      <c r="EY130" s="9"/>
      <c r="EZ130" s="9"/>
      <c r="FA130" s="9"/>
      <c r="FB130" s="9"/>
      <c r="FC130" s="9"/>
      <c r="FD130" s="9"/>
      <c r="FE130" s="9"/>
      <c r="FF130" s="9">
        <v>212.99</v>
      </c>
      <c r="FG130" s="9"/>
      <c r="FH130" s="9"/>
      <c r="FI130" s="9"/>
      <c r="FJ130" s="9">
        <v>237.73</v>
      </c>
      <c r="FK130" s="9"/>
      <c r="FL130" s="9"/>
      <c r="FM130" s="9"/>
      <c r="FN130" s="9"/>
      <c r="FO130" s="9"/>
      <c r="FP130" s="9">
        <v>96.19</v>
      </c>
      <c r="FQ130" s="9"/>
      <c r="FR130" s="9"/>
      <c r="FS130" s="9"/>
      <c r="FT130" s="9"/>
      <c r="FU130" s="9"/>
      <c r="FV130" s="9">
        <v>107.53</v>
      </c>
      <c r="FW130" s="9"/>
      <c r="FX130" s="9"/>
      <c r="FY130" s="9"/>
      <c r="FZ130" s="9"/>
      <c r="GA130" s="9"/>
      <c r="GB130" s="9"/>
      <c r="GC130" s="9">
        <v>257.19</v>
      </c>
      <c r="GD130" s="9"/>
      <c r="GE130" s="9"/>
      <c r="GF130" s="9"/>
      <c r="GG130" s="9"/>
      <c r="GH130" s="9"/>
      <c r="GI130" s="9"/>
      <c r="GJ130" s="9"/>
      <c r="GK130" s="9"/>
      <c r="GL130" s="9"/>
      <c r="GM130" s="9"/>
      <c r="GN130" s="9"/>
      <c r="GO130" s="9"/>
      <c r="GP130" s="9"/>
      <c r="GQ130" s="9"/>
      <c r="GR130" s="9"/>
      <c r="GS130" s="9"/>
      <c r="GT130" s="9">
        <v>22.19</v>
      </c>
      <c r="GU130" s="9"/>
      <c r="GV130" s="9"/>
      <c r="GW130" s="9"/>
      <c r="GX130" s="9">
        <v>63.34</v>
      </c>
      <c r="GY130" s="9"/>
      <c r="GZ130" s="9"/>
      <c r="HA130" s="9"/>
      <c r="HB130" s="9">
        <v>195.03</v>
      </c>
      <c r="HC130" s="9"/>
      <c r="HD130" s="9"/>
      <c r="HE130" s="9"/>
      <c r="HF130" s="9"/>
      <c r="HG130" s="9"/>
      <c r="HH130" s="9"/>
      <c r="HI130" s="9"/>
      <c r="HJ130" s="9"/>
      <c r="HK130" s="9"/>
      <c r="HL130" s="9"/>
      <c r="HM130" s="9"/>
      <c r="HN130" s="9"/>
      <c r="HO130" s="9"/>
      <c r="HP130" s="9"/>
      <c r="HQ130" s="62">
        <f t="shared" ref="HQ130:HQ161" si="10">EM130</f>
        <v>1622.5</v>
      </c>
      <c r="HR130" s="62">
        <f t="shared" si="8"/>
        <v>27.041666666666668</v>
      </c>
    </row>
    <row r="131" spans="1:226" ht="12.95" customHeight="1" x14ac:dyDescent="0.2">
      <c r="A131" s="11">
        <v>190</v>
      </c>
      <c r="B131" s="9">
        <v>186</v>
      </c>
      <c r="C131" s="9" t="s">
        <v>83</v>
      </c>
      <c r="D131" s="9">
        <v>11</v>
      </c>
      <c r="E131" s="9" t="s">
        <v>79</v>
      </c>
      <c r="F131" s="9">
        <v>645044751</v>
      </c>
      <c r="G131" s="9" t="s">
        <v>81</v>
      </c>
      <c r="H131" s="9" t="s">
        <v>84</v>
      </c>
      <c r="I131" s="13" t="s">
        <v>119</v>
      </c>
      <c r="J131" s="13" t="s">
        <v>402</v>
      </c>
      <c r="M131" s="13" t="s">
        <v>1319</v>
      </c>
      <c r="N131" s="13" t="s">
        <v>618</v>
      </c>
      <c r="O131" s="13"/>
      <c r="P131" s="13" t="s">
        <v>87</v>
      </c>
      <c r="Q131" s="13" t="s">
        <v>1296</v>
      </c>
      <c r="S131" s="13" t="s">
        <v>84</v>
      </c>
      <c r="T131" s="13" t="s">
        <v>84</v>
      </c>
      <c r="U131" s="13" t="s">
        <v>82</v>
      </c>
      <c r="V131" s="13" t="s">
        <v>82</v>
      </c>
      <c r="W131" s="13" t="s">
        <v>82</v>
      </c>
      <c r="X131" s="13" t="s">
        <v>82</v>
      </c>
      <c r="Y131" s="13" t="s">
        <v>82</v>
      </c>
      <c r="Z131" s="13" t="s">
        <v>82</v>
      </c>
      <c r="AA131" s="13"/>
      <c r="AB131" s="13" t="s">
        <v>84</v>
      </c>
      <c r="AC131" s="13" t="s">
        <v>2119</v>
      </c>
      <c r="AD131" s="13" t="s">
        <v>82</v>
      </c>
      <c r="AE131" s="13"/>
      <c r="AF131" s="13"/>
      <c r="AG131" s="13" t="s">
        <v>84</v>
      </c>
      <c r="AH131" s="13"/>
      <c r="AI131" s="13" t="s">
        <v>84</v>
      </c>
      <c r="AJ131" s="13"/>
      <c r="AK131" s="13" t="s">
        <v>2120</v>
      </c>
      <c r="AL131" s="13" t="s">
        <v>126</v>
      </c>
      <c r="AM131" s="13" t="s">
        <v>111</v>
      </c>
      <c r="AN131" s="13"/>
      <c r="AO131" s="13" t="s">
        <v>80</v>
      </c>
      <c r="AQ131" s="13" t="s">
        <v>84</v>
      </c>
      <c r="AR131" s="13" t="s">
        <v>82</v>
      </c>
      <c r="AS131" s="13" t="s">
        <v>82</v>
      </c>
      <c r="AT131" s="13" t="s">
        <v>82</v>
      </c>
      <c r="AU131" s="13"/>
      <c r="AW131" s="13" t="s">
        <v>80</v>
      </c>
      <c r="AX131" s="13" t="s">
        <v>80</v>
      </c>
      <c r="AY131" s="13" t="s">
        <v>80</v>
      </c>
      <c r="AZ131" s="13" t="s">
        <v>80</v>
      </c>
      <c r="BA131" s="13"/>
      <c r="BB131" s="13" t="s">
        <v>84</v>
      </c>
      <c r="BC131" s="13" t="s">
        <v>80</v>
      </c>
      <c r="BD131" s="13" t="s">
        <v>93</v>
      </c>
      <c r="BE131" s="13" t="s">
        <v>112</v>
      </c>
      <c r="BF131" s="13" t="s">
        <v>93</v>
      </c>
      <c r="BG131" s="13" t="s">
        <v>84</v>
      </c>
      <c r="BH131" s="13" t="s">
        <v>84</v>
      </c>
      <c r="BI131" s="13" t="s">
        <v>2159</v>
      </c>
      <c r="BJ131" s="13" t="s">
        <v>84</v>
      </c>
      <c r="BK131" s="13" t="s">
        <v>80</v>
      </c>
      <c r="BL131" s="13">
        <v>3</v>
      </c>
      <c r="BM131" s="13">
        <v>1</v>
      </c>
      <c r="BN131" s="13">
        <v>3</v>
      </c>
      <c r="BO131" s="13">
        <v>1</v>
      </c>
      <c r="BP131" s="13">
        <v>5</v>
      </c>
      <c r="BQ131" s="13">
        <v>1</v>
      </c>
      <c r="BS131" s="13" t="s">
        <v>99</v>
      </c>
      <c r="BT131" s="13"/>
      <c r="BU131" s="13"/>
      <c r="BV131" s="13"/>
      <c r="BX131" s="13" t="s">
        <v>82</v>
      </c>
      <c r="BY131" s="13"/>
      <c r="BZ131" s="13" t="s">
        <v>84</v>
      </c>
      <c r="CA131" s="13" t="s">
        <v>2190</v>
      </c>
      <c r="CB131" s="13" t="s">
        <v>82</v>
      </c>
      <c r="CC131" s="13"/>
      <c r="CD131" s="13" t="s">
        <v>82</v>
      </c>
      <c r="CE131" s="13"/>
      <c r="CF131" s="13"/>
      <c r="CG131" s="13"/>
      <c r="CI131" s="13" t="s">
        <v>84</v>
      </c>
      <c r="CJ131" s="13" t="s">
        <v>2272</v>
      </c>
      <c r="CK131" s="13" t="s">
        <v>82</v>
      </c>
      <c r="CL131" s="13"/>
      <c r="CM131" s="13" t="s">
        <v>82</v>
      </c>
      <c r="CN131" s="13"/>
      <c r="CO131" s="13"/>
      <c r="CP131" s="13"/>
      <c r="CQ131" s="13" t="s">
        <v>99</v>
      </c>
      <c r="CR131" s="13" t="s">
        <v>80</v>
      </c>
      <c r="CS131" s="13" t="s">
        <v>99</v>
      </c>
      <c r="CT131" s="13"/>
      <c r="CU131" s="13"/>
      <c r="CV131" s="13"/>
      <c r="CW131" s="13" t="s">
        <v>82</v>
      </c>
      <c r="CX131" s="13"/>
      <c r="CY131" s="13" t="s">
        <v>81</v>
      </c>
      <c r="CZ131" s="13"/>
      <c r="DA131" s="13" t="s">
        <v>84</v>
      </c>
      <c r="DB131" s="13" t="s">
        <v>2273</v>
      </c>
      <c r="DC131" s="13" t="s">
        <v>84</v>
      </c>
      <c r="DD131" s="13" t="s">
        <v>84</v>
      </c>
      <c r="DG131" s="13">
        <v>1</v>
      </c>
      <c r="DH131" s="13">
        <v>1</v>
      </c>
      <c r="DI131" s="13">
        <v>1</v>
      </c>
      <c r="DJ131" s="13">
        <v>1</v>
      </c>
      <c r="DK131" s="13">
        <v>1</v>
      </c>
      <c r="DL131" s="13">
        <v>1</v>
      </c>
      <c r="DM131" s="13">
        <v>1</v>
      </c>
      <c r="DN131" s="13">
        <v>1</v>
      </c>
      <c r="DO131" s="13">
        <v>1</v>
      </c>
      <c r="DP131" s="13">
        <v>1</v>
      </c>
      <c r="DQ131" s="13">
        <v>1</v>
      </c>
      <c r="DR131" s="13">
        <v>1</v>
      </c>
      <c r="DS131" s="13" t="s">
        <v>99</v>
      </c>
      <c r="DT131" s="13" t="s">
        <v>84</v>
      </c>
      <c r="DU131" s="13"/>
      <c r="DV131" s="13" t="s">
        <v>84</v>
      </c>
      <c r="DW131" s="13" t="s">
        <v>100</v>
      </c>
      <c r="DX131" s="13" t="s">
        <v>81</v>
      </c>
      <c r="DY131" s="13" t="s">
        <v>2468</v>
      </c>
      <c r="DZ131" s="13" t="s">
        <v>113</v>
      </c>
      <c r="EA131" s="13"/>
      <c r="EB131" s="13" t="s">
        <v>82</v>
      </c>
      <c r="EC131" s="13"/>
      <c r="ED131" s="13" t="s">
        <v>81</v>
      </c>
      <c r="EE131" s="13"/>
      <c r="EF131" s="13" t="s">
        <v>84</v>
      </c>
      <c r="EG131" s="13" t="s">
        <v>84</v>
      </c>
      <c r="EH131" s="13" t="s">
        <v>82</v>
      </c>
      <c r="EI131" s="13"/>
      <c r="EJ131" s="13" t="s">
        <v>2469</v>
      </c>
      <c r="EK131" s="13" t="s">
        <v>2470</v>
      </c>
      <c r="EL131" s="13" t="s">
        <v>2471</v>
      </c>
      <c r="EM131" s="9">
        <v>861.43</v>
      </c>
      <c r="EN131" s="9">
        <v>9.7799999999999994</v>
      </c>
      <c r="EO131" s="9"/>
      <c r="EP131" s="9"/>
      <c r="EQ131" s="9">
        <v>63.26</v>
      </c>
      <c r="ER131" s="9"/>
      <c r="ES131" s="9"/>
      <c r="ET131" s="9"/>
      <c r="EU131" s="9"/>
      <c r="EV131" s="9"/>
      <c r="EW131" s="9">
        <v>134.05000000000001</v>
      </c>
      <c r="EX131" s="9"/>
      <c r="EY131" s="9"/>
      <c r="EZ131" s="9"/>
      <c r="FA131" s="9"/>
      <c r="FB131" s="9"/>
      <c r="FC131" s="9"/>
      <c r="FD131" s="9"/>
      <c r="FE131" s="9"/>
      <c r="FF131" s="9">
        <v>30.32</v>
      </c>
      <c r="FG131" s="9"/>
      <c r="FH131" s="9"/>
      <c r="FI131" s="9"/>
      <c r="FJ131" s="9">
        <v>13.43</v>
      </c>
      <c r="FK131" s="9"/>
      <c r="FL131" s="9"/>
      <c r="FM131" s="9"/>
      <c r="FN131" s="9"/>
      <c r="FO131" s="9"/>
      <c r="FP131" s="9">
        <v>37.65</v>
      </c>
      <c r="FQ131" s="9"/>
      <c r="FR131" s="9"/>
      <c r="FS131" s="9"/>
      <c r="FT131" s="9"/>
      <c r="FU131" s="9"/>
      <c r="FV131" s="9">
        <v>89.55</v>
      </c>
      <c r="FW131" s="9"/>
      <c r="FX131" s="9"/>
      <c r="FY131" s="9"/>
      <c r="FZ131" s="9"/>
      <c r="GA131" s="9"/>
      <c r="GB131" s="9"/>
      <c r="GC131" s="9">
        <v>188.3</v>
      </c>
      <c r="GD131" s="9"/>
      <c r="GE131" s="9"/>
      <c r="GF131" s="9"/>
      <c r="GG131" s="9"/>
      <c r="GH131" s="9"/>
      <c r="GI131" s="9"/>
      <c r="GJ131" s="9"/>
      <c r="GK131" s="9"/>
      <c r="GL131" s="9"/>
      <c r="GM131" s="9"/>
      <c r="GN131" s="9"/>
      <c r="GO131" s="9"/>
      <c r="GP131" s="9"/>
      <c r="GQ131" s="9"/>
      <c r="GR131" s="9"/>
      <c r="GS131" s="9"/>
      <c r="GT131" s="9">
        <v>10.02</v>
      </c>
      <c r="GU131" s="9"/>
      <c r="GV131" s="9"/>
      <c r="GW131" s="9"/>
      <c r="GX131" s="9">
        <v>117.59</v>
      </c>
      <c r="GY131" s="9"/>
      <c r="GZ131" s="9"/>
      <c r="HA131" s="9"/>
      <c r="HB131" s="9">
        <v>167.48</v>
      </c>
      <c r="HC131" s="9"/>
      <c r="HD131" s="9"/>
      <c r="HE131" s="9"/>
      <c r="HF131" s="9"/>
      <c r="HG131" s="9"/>
      <c r="HH131" s="9"/>
      <c r="HI131" s="9"/>
      <c r="HJ131" s="9"/>
      <c r="HK131" s="9"/>
      <c r="HL131" s="9"/>
      <c r="HM131" s="9"/>
      <c r="HN131" s="9"/>
      <c r="HO131" s="9"/>
      <c r="HP131" s="9"/>
      <c r="HQ131" s="62">
        <f t="shared" si="10"/>
        <v>861.43</v>
      </c>
      <c r="HR131" s="62">
        <f t="shared" si="8"/>
        <v>14.357166666666666</v>
      </c>
    </row>
    <row r="132" spans="1:226" ht="12.95" customHeight="1" x14ac:dyDescent="0.2">
      <c r="A132" s="11">
        <v>191</v>
      </c>
      <c r="B132" s="9">
        <v>187</v>
      </c>
      <c r="C132" s="9" t="s">
        <v>83</v>
      </c>
      <c r="D132" s="9">
        <v>11</v>
      </c>
      <c r="E132" s="9" t="s">
        <v>79</v>
      </c>
      <c r="F132" s="9">
        <v>1076994571</v>
      </c>
      <c r="G132" s="9" t="s">
        <v>81</v>
      </c>
      <c r="H132" s="9" t="s">
        <v>84</v>
      </c>
      <c r="I132" s="13" t="s">
        <v>161</v>
      </c>
      <c r="J132" s="13"/>
      <c r="M132" s="13" t="s">
        <v>1294</v>
      </c>
      <c r="N132" s="13" t="s">
        <v>618</v>
      </c>
      <c r="O132" s="13"/>
      <c r="P132" s="13" t="s">
        <v>87</v>
      </c>
      <c r="Q132" s="13" t="s">
        <v>1296</v>
      </c>
      <c r="S132" s="13" t="s">
        <v>84</v>
      </c>
      <c r="T132" s="13" t="s">
        <v>84</v>
      </c>
      <c r="U132" s="13" t="s">
        <v>84</v>
      </c>
      <c r="V132" s="13" t="s">
        <v>82</v>
      </c>
      <c r="W132" s="13" t="s">
        <v>82</v>
      </c>
      <c r="X132" s="13" t="s">
        <v>82</v>
      </c>
      <c r="Y132" s="13" t="s">
        <v>84</v>
      </c>
      <c r="Z132" s="13" t="s">
        <v>82</v>
      </c>
      <c r="AA132" s="13"/>
      <c r="AB132" s="13" t="s">
        <v>82</v>
      </c>
      <c r="AC132" s="13"/>
      <c r="AD132" s="13" t="s">
        <v>82</v>
      </c>
      <c r="AE132" s="13"/>
      <c r="AF132" s="13"/>
      <c r="AG132" s="13" t="s">
        <v>82</v>
      </c>
      <c r="AH132" s="13"/>
      <c r="AI132" s="13" t="s">
        <v>84</v>
      </c>
      <c r="AJ132" s="13"/>
      <c r="AK132" s="13" t="s">
        <v>2121</v>
      </c>
      <c r="AL132" s="13" t="s">
        <v>140</v>
      </c>
      <c r="AM132" s="13" t="s">
        <v>91</v>
      </c>
      <c r="AN132" s="13"/>
      <c r="AO132" s="13" t="s">
        <v>80</v>
      </c>
      <c r="AQ132" s="13" t="s">
        <v>80</v>
      </c>
      <c r="AR132" s="13" t="s">
        <v>80</v>
      </c>
      <c r="AS132" s="13" t="s">
        <v>80</v>
      </c>
      <c r="AT132" s="13" t="s">
        <v>80</v>
      </c>
      <c r="AU132" s="13"/>
      <c r="AW132" s="13" t="s">
        <v>84</v>
      </c>
      <c r="AX132" s="13" t="s">
        <v>82</v>
      </c>
      <c r="AY132" s="13" t="s">
        <v>84</v>
      </c>
      <c r="AZ132" s="13" t="s">
        <v>84</v>
      </c>
      <c r="BA132" s="13"/>
      <c r="BB132" s="13" t="s">
        <v>84</v>
      </c>
      <c r="BC132" s="13" t="s">
        <v>80</v>
      </c>
      <c r="BD132" s="13" t="s">
        <v>93</v>
      </c>
      <c r="BE132" s="13" t="s">
        <v>93</v>
      </c>
      <c r="BF132" s="13" t="s">
        <v>112</v>
      </c>
      <c r="BG132" s="13" t="s">
        <v>84</v>
      </c>
      <c r="BH132" s="13" t="s">
        <v>82</v>
      </c>
      <c r="BI132" s="13"/>
      <c r="BJ132" s="13" t="s">
        <v>84</v>
      </c>
      <c r="BK132" s="13" t="s">
        <v>80</v>
      </c>
      <c r="BL132" s="13">
        <v>1</v>
      </c>
      <c r="BM132" s="13">
        <v>1</v>
      </c>
      <c r="BN132" s="13">
        <v>4</v>
      </c>
      <c r="BO132" s="13">
        <v>5</v>
      </c>
      <c r="BP132" s="13">
        <v>2</v>
      </c>
      <c r="BQ132" s="13">
        <v>1</v>
      </c>
      <c r="BS132" s="13" t="s">
        <v>99</v>
      </c>
      <c r="BT132" s="13"/>
      <c r="BU132" s="13"/>
      <c r="BV132" s="13"/>
      <c r="BX132" s="13" t="s">
        <v>84</v>
      </c>
      <c r="BY132" s="13"/>
      <c r="BZ132" s="13" t="s">
        <v>84</v>
      </c>
      <c r="CA132" s="13"/>
      <c r="CB132" s="13" t="s">
        <v>84</v>
      </c>
      <c r="CC132" s="13"/>
      <c r="CD132" s="13" t="s">
        <v>82</v>
      </c>
      <c r="CE132" s="13"/>
      <c r="CF132" s="13"/>
      <c r="CG132" s="13"/>
      <c r="CI132" s="13" t="s">
        <v>82</v>
      </c>
      <c r="CJ132" s="13"/>
      <c r="CK132" s="13" t="s">
        <v>84</v>
      </c>
      <c r="CL132" s="13"/>
      <c r="CM132" s="13" t="s">
        <v>82</v>
      </c>
      <c r="CN132" s="13"/>
      <c r="CO132" s="13"/>
      <c r="CP132" s="13"/>
      <c r="CQ132" s="13" t="s">
        <v>99</v>
      </c>
      <c r="CR132" s="13" t="s">
        <v>80</v>
      </c>
      <c r="CS132" s="13" t="s">
        <v>99</v>
      </c>
      <c r="CT132" s="13"/>
      <c r="CU132" s="13"/>
      <c r="CV132" s="13"/>
      <c r="CW132" s="13" t="s">
        <v>82</v>
      </c>
      <c r="CX132" s="13"/>
      <c r="CY132" s="13" t="s">
        <v>81</v>
      </c>
      <c r="CZ132" s="13"/>
      <c r="DA132" s="13" t="s">
        <v>82</v>
      </c>
      <c r="DB132" s="13"/>
      <c r="DC132" s="13" t="s">
        <v>84</v>
      </c>
      <c r="DD132" s="13" t="s">
        <v>82</v>
      </c>
      <c r="DG132" s="13">
        <v>4</v>
      </c>
      <c r="DH132" s="13">
        <v>5</v>
      </c>
      <c r="DI132" s="13">
        <v>4</v>
      </c>
      <c r="DJ132" s="13">
        <v>4</v>
      </c>
      <c r="DK132" s="13">
        <v>3</v>
      </c>
      <c r="DL132" s="13">
        <v>4</v>
      </c>
      <c r="DM132" s="13">
        <v>2</v>
      </c>
      <c r="DN132" s="13">
        <v>4</v>
      </c>
      <c r="DO132" s="13">
        <v>4</v>
      </c>
      <c r="DP132" s="13">
        <v>4</v>
      </c>
      <c r="DQ132" s="13">
        <v>4</v>
      </c>
      <c r="DR132" s="13">
        <v>4</v>
      </c>
      <c r="DS132" s="13" t="s">
        <v>97</v>
      </c>
      <c r="DT132" s="13" t="s">
        <v>84</v>
      </c>
      <c r="DU132" s="13"/>
      <c r="DV132" s="13" t="s">
        <v>84</v>
      </c>
      <c r="DW132" s="13" t="s">
        <v>113</v>
      </c>
      <c r="DX132" s="13" t="s">
        <v>81</v>
      </c>
      <c r="DY132" s="13"/>
      <c r="DZ132" s="13" t="s">
        <v>93</v>
      </c>
      <c r="EA132" s="13"/>
      <c r="EB132" s="13" t="s">
        <v>82</v>
      </c>
      <c r="EC132" s="13"/>
      <c r="ED132" s="13" t="s">
        <v>81</v>
      </c>
      <c r="EE132" s="13"/>
      <c r="EF132" s="13" t="s">
        <v>84</v>
      </c>
      <c r="EG132" s="13" t="s">
        <v>84</v>
      </c>
      <c r="EH132" s="13" t="s">
        <v>82</v>
      </c>
      <c r="EI132" s="13"/>
      <c r="EJ132" s="13"/>
      <c r="EK132" s="13" t="s">
        <v>2472</v>
      </c>
      <c r="EL132" s="13"/>
      <c r="EM132" s="9">
        <v>1698.42</v>
      </c>
      <c r="EN132" s="9">
        <v>34.92</v>
      </c>
      <c r="EO132" s="9"/>
      <c r="EP132" s="9"/>
      <c r="EQ132" s="9">
        <v>57.66</v>
      </c>
      <c r="ER132" s="9"/>
      <c r="ES132" s="9"/>
      <c r="ET132" s="9"/>
      <c r="EU132" s="9"/>
      <c r="EV132" s="9"/>
      <c r="EW132" s="9">
        <v>42.71</v>
      </c>
      <c r="EX132" s="9"/>
      <c r="EY132" s="9"/>
      <c r="EZ132" s="9"/>
      <c r="FA132" s="9"/>
      <c r="FB132" s="9"/>
      <c r="FC132" s="9"/>
      <c r="FD132" s="9"/>
      <c r="FE132" s="9"/>
      <c r="FF132" s="9">
        <v>85.4</v>
      </c>
      <c r="FG132" s="9"/>
      <c r="FH132" s="9"/>
      <c r="FI132" s="9"/>
      <c r="FJ132" s="9">
        <v>18.059999999999999</v>
      </c>
      <c r="FK132" s="9"/>
      <c r="FL132" s="9"/>
      <c r="FM132" s="9"/>
      <c r="FN132" s="9"/>
      <c r="FO132" s="9"/>
      <c r="FP132" s="9">
        <v>52.77</v>
      </c>
      <c r="FQ132" s="9"/>
      <c r="FR132" s="9"/>
      <c r="FS132" s="9"/>
      <c r="FT132" s="9"/>
      <c r="FU132" s="9"/>
      <c r="FV132" s="9">
        <v>445.76</v>
      </c>
      <c r="FW132" s="9"/>
      <c r="FX132" s="9"/>
      <c r="FY132" s="9"/>
      <c r="FZ132" s="9"/>
      <c r="GA132" s="9"/>
      <c r="GB132" s="9"/>
      <c r="GC132" s="9">
        <v>278.02</v>
      </c>
      <c r="GD132" s="9"/>
      <c r="GE132" s="9"/>
      <c r="GF132" s="9"/>
      <c r="GG132" s="9"/>
      <c r="GH132" s="9"/>
      <c r="GI132" s="9"/>
      <c r="GJ132" s="9"/>
      <c r="GK132" s="9"/>
      <c r="GL132" s="9"/>
      <c r="GM132" s="9"/>
      <c r="GN132" s="9"/>
      <c r="GO132" s="9"/>
      <c r="GP132" s="9"/>
      <c r="GQ132" s="9"/>
      <c r="GR132" s="9"/>
      <c r="GS132" s="9"/>
      <c r="GT132" s="9">
        <v>28.42</v>
      </c>
      <c r="GU132" s="9"/>
      <c r="GV132" s="9"/>
      <c r="GW132" s="9"/>
      <c r="GX132" s="9">
        <v>53.53</v>
      </c>
      <c r="GY132" s="9"/>
      <c r="GZ132" s="9"/>
      <c r="HA132" s="9"/>
      <c r="HB132" s="9">
        <v>601.16999999999996</v>
      </c>
      <c r="HC132" s="9"/>
      <c r="HD132" s="9"/>
      <c r="HE132" s="9"/>
      <c r="HF132" s="9"/>
      <c r="HG132" s="9"/>
      <c r="HH132" s="9"/>
      <c r="HI132" s="9"/>
      <c r="HJ132" s="9"/>
      <c r="HK132" s="9"/>
      <c r="HL132" s="9"/>
      <c r="HM132" s="9"/>
      <c r="HN132" s="9"/>
      <c r="HO132" s="9"/>
      <c r="HP132" s="9"/>
      <c r="HQ132" s="62">
        <f t="shared" si="10"/>
        <v>1698.42</v>
      </c>
      <c r="HR132" s="62">
        <f t="shared" si="8"/>
        <v>28.307000000000002</v>
      </c>
    </row>
    <row r="133" spans="1:226" ht="12.95" customHeight="1" x14ac:dyDescent="0.2">
      <c r="A133" s="11">
        <v>192</v>
      </c>
      <c r="B133" s="9">
        <v>188</v>
      </c>
      <c r="C133" s="9" t="s">
        <v>83</v>
      </c>
      <c r="D133" s="9">
        <v>11</v>
      </c>
      <c r="E133" s="9" t="s">
        <v>79</v>
      </c>
      <c r="F133" s="9">
        <v>1754081739</v>
      </c>
      <c r="G133" s="9" t="s">
        <v>81</v>
      </c>
      <c r="H133" s="9" t="s">
        <v>84</v>
      </c>
      <c r="I133" s="13" t="s">
        <v>161</v>
      </c>
      <c r="J133" s="13"/>
      <c r="M133" s="13" t="s">
        <v>1294</v>
      </c>
      <c r="N133" s="13" t="s">
        <v>618</v>
      </c>
      <c r="O133" s="13"/>
      <c r="P133" s="13" t="s">
        <v>290</v>
      </c>
      <c r="Q133" s="13" t="s">
        <v>1296</v>
      </c>
      <c r="S133" s="13" t="s">
        <v>84</v>
      </c>
      <c r="T133" s="13" t="s">
        <v>84</v>
      </c>
      <c r="U133" s="13" t="s">
        <v>84</v>
      </c>
      <c r="V133" s="13" t="s">
        <v>82</v>
      </c>
      <c r="W133" s="13" t="s">
        <v>82</v>
      </c>
      <c r="X133" s="13" t="s">
        <v>82</v>
      </c>
      <c r="Y133" s="13" t="s">
        <v>82</v>
      </c>
      <c r="Z133" s="13" t="s">
        <v>84</v>
      </c>
      <c r="AA133" s="13"/>
      <c r="AB133" s="13" t="s">
        <v>82</v>
      </c>
      <c r="AC133" s="13"/>
      <c r="AD133" s="13" t="s">
        <v>82</v>
      </c>
      <c r="AE133" s="13"/>
      <c r="AF133" s="13"/>
      <c r="AG133" s="13" t="s">
        <v>84</v>
      </c>
      <c r="AH133" s="13"/>
      <c r="AI133" s="13" t="s">
        <v>84</v>
      </c>
      <c r="AJ133" s="13"/>
      <c r="AK133" s="13" t="s">
        <v>2122</v>
      </c>
      <c r="AL133" s="13" t="s">
        <v>126</v>
      </c>
      <c r="AM133" s="13" t="s">
        <v>91</v>
      </c>
      <c r="AN133" s="13"/>
      <c r="AO133" s="13" t="s">
        <v>80</v>
      </c>
      <c r="AQ133" s="13" t="s">
        <v>80</v>
      </c>
      <c r="AR133" s="13" t="s">
        <v>80</v>
      </c>
      <c r="AS133" s="13" t="s">
        <v>80</v>
      </c>
      <c r="AT133" s="13" t="s">
        <v>80</v>
      </c>
      <c r="AU133" s="13"/>
      <c r="AW133" s="13" t="s">
        <v>84</v>
      </c>
      <c r="AX133" s="13" t="s">
        <v>82</v>
      </c>
      <c r="AY133" s="13" t="s">
        <v>82</v>
      </c>
      <c r="AZ133" s="13" t="s">
        <v>82</v>
      </c>
      <c r="BA133" s="13"/>
      <c r="BB133" s="13" t="s">
        <v>84</v>
      </c>
      <c r="BC133" s="13" t="s">
        <v>80</v>
      </c>
      <c r="BD133" s="13" t="s">
        <v>93</v>
      </c>
      <c r="BE133" s="13" t="s">
        <v>93</v>
      </c>
      <c r="BF133" s="13" t="s">
        <v>112</v>
      </c>
      <c r="BG133" s="13" t="s">
        <v>84</v>
      </c>
      <c r="BH133" s="13" t="s">
        <v>84</v>
      </c>
      <c r="BI133" s="13"/>
      <c r="BJ133" s="13" t="s">
        <v>84</v>
      </c>
      <c r="BK133" s="13" t="s">
        <v>80</v>
      </c>
      <c r="BL133" s="13">
        <v>5</v>
      </c>
      <c r="BM133" s="13">
        <v>1</v>
      </c>
      <c r="BN133" s="13">
        <v>1</v>
      </c>
      <c r="BO133" s="13">
        <v>5</v>
      </c>
      <c r="BP133" s="13">
        <v>5</v>
      </c>
      <c r="BQ133" s="13">
        <v>1</v>
      </c>
      <c r="BS133" s="13" t="s">
        <v>118</v>
      </c>
      <c r="BT133" s="13"/>
      <c r="BU133" s="13"/>
      <c r="BV133" s="13"/>
      <c r="BX133" s="13" t="s">
        <v>84</v>
      </c>
      <c r="BY133" s="13" t="s">
        <v>2177</v>
      </c>
      <c r="BZ133" s="13" t="s">
        <v>84</v>
      </c>
      <c r="CA133" s="13" t="s">
        <v>2191</v>
      </c>
      <c r="CB133" s="13" t="s">
        <v>82</v>
      </c>
      <c r="CC133" s="13"/>
      <c r="CD133" s="13" t="s">
        <v>82</v>
      </c>
      <c r="CE133" s="13"/>
      <c r="CF133" s="13"/>
      <c r="CG133" s="13"/>
      <c r="CI133" s="13" t="s">
        <v>84</v>
      </c>
      <c r="CJ133" s="13" t="s">
        <v>1456</v>
      </c>
      <c r="CK133" s="13" t="s">
        <v>82</v>
      </c>
      <c r="CL133" s="13"/>
      <c r="CM133" s="13" t="s">
        <v>82</v>
      </c>
      <c r="CN133" s="13"/>
      <c r="CO133" s="13"/>
      <c r="CP133" s="13"/>
      <c r="CQ133" s="13" t="s">
        <v>99</v>
      </c>
      <c r="CR133" s="13" t="s">
        <v>80</v>
      </c>
      <c r="CS133" s="13" t="s">
        <v>99</v>
      </c>
      <c r="CT133" s="13"/>
      <c r="CU133" s="13"/>
      <c r="CV133" s="13"/>
      <c r="CW133" s="13" t="s">
        <v>82</v>
      </c>
      <c r="CX133" s="13"/>
      <c r="CY133" s="13" t="s">
        <v>81</v>
      </c>
      <c r="CZ133" s="13"/>
      <c r="DA133" s="13" t="s">
        <v>82</v>
      </c>
      <c r="DB133" s="13"/>
      <c r="DC133" s="13" t="s">
        <v>84</v>
      </c>
      <c r="DD133" s="13" t="s">
        <v>84</v>
      </c>
      <c r="DG133" s="13">
        <v>1</v>
      </c>
      <c r="DH133" s="13">
        <v>4</v>
      </c>
      <c r="DI133" s="13">
        <v>1</v>
      </c>
      <c r="DJ133" s="13">
        <v>4</v>
      </c>
      <c r="DK133" s="13">
        <v>1</v>
      </c>
      <c r="DL133" s="13">
        <v>4</v>
      </c>
      <c r="DM133" s="13">
        <v>1</v>
      </c>
      <c r="DN133" s="13">
        <v>4</v>
      </c>
      <c r="DO133" s="13">
        <v>1</v>
      </c>
      <c r="DP133" s="13">
        <v>4</v>
      </c>
      <c r="DQ133" s="13">
        <v>1</v>
      </c>
      <c r="DR133" s="13">
        <v>4</v>
      </c>
      <c r="DS133" s="13" t="s">
        <v>99</v>
      </c>
      <c r="DT133" s="13" t="s">
        <v>82</v>
      </c>
      <c r="DU133" s="13"/>
      <c r="DV133" s="13" t="s">
        <v>84</v>
      </c>
      <c r="DW133" s="13" t="s">
        <v>93</v>
      </c>
      <c r="DX133" s="13" t="s">
        <v>81</v>
      </c>
      <c r="DY133" s="13"/>
      <c r="DZ133" s="13" t="s">
        <v>93</v>
      </c>
      <c r="EA133" s="13"/>
      <c r="EB133" s="13" t="s">
        <v>82</v>
      </c>
      <c r="EC133" s="13"/>
      <c r="ED133" s="13" t="s">
        <v>81</v>
      </c>
      <c r="EE133" s="13"/>
      <c r="EF133" s="13" t="s">
        <v>84</v>
      </c>
      <c r="EG133" s="13" t="s">
        <v>82</v>
      </c>
      <c r="EH133" s="13" t="s">
        <v>84</v>
      </c>
      <c r="EI133" s="13"/>
      <c r="EJ133" s="13"/>
      <c r="EK133" s="13"/>
      <c r="EL133" s="13"/>
      <c r="EM133" s="9">
        <v>688.13</v>
      </c>
      <c r="EN133" s="9">
        <v>32.82</v>
      </c>
      <c r="EO133" s="9"/>
      <c r="EP133" s="9"/>
      <c r="EQ133" s="9">
        <v>67.8</v>
      </c>
      <c r="ER133" s="9"/>
      <c r="ES133" s="9"/>
      <c r="ET133" s="9"/>
      <c r="EU133" s="9"/>
      <c r="EV133" s="9"/>
      <c r="EW133" s="9">
        <v>54</v>
      </c>
      <c r="EX133" s="9"/>
      <c r="EY133" s="9"/>
      <c r="EZ133" s="9"/>
      <c r="FA133" s="9"/>
      <c r="FB133" s="9"/>
      <c r="FC133" s="9"/>
      <c r="FD133" s="9"/>
      <c r="FE133" s="9"/>
      <c r="FF133" s="9">
        <v>33.630000000000003</v>
      </c>
      <c r="FG133" s="9"/>
      <c r="FH133" s="9"/>
      <c r="FI133" s="9"/>
      <c r="FJ133" s="9">
        <v>14.52</v>
      </c>
      <c r="FK133" s="9"/>
      <c r="FL133" s="9"/>
      <c r="FM133" s="9"/>
      <c r="FN133" s="9"/>
      <c r="FO133" s="9"/>
      <c r="FP133" s="9">
        <v>39.200000000000003</v>
      </c>
      <c r="FQ133" s="9"/>
      <c r="FR133" s="9"/>
      <c r="FS133" s="9"/>
      <c r="FT133" s="9"/>
      <c r="FU133" s="9"/>
      <c r="FV133" s="9">
        <v>97.68</v>
      </c>
      <c r="FW133" s="9"/>
      <c r="FX133" s="9"/>
      <c r="FY133" s="9"/>
      <c r="FZ133" s="9"/>
      <c r="GA133" s="9"/>
      <c r="GB133" s="9"/>
      <c r="GC133" s="9">
        <v>221.1</v>
      </c>
      <c r="GD133" s="9"/>
      <c r="GE133" s="9"/>
      <c r="GF133" s="9"/>
      <c r="GG133" s="9"/>
      <c r="GH133" s="9"/>
      <c r="GI133" s="9"/>
      <c r="GJ133" s="9"/>
      <c r="GK133" s="9"/>
      <c r="GL133" s="9"/>
      <c r="GM133" s="9"/>
      <c r="GN133" s="9"/>
      <c r="GO133" s="9"/>
      <c r="GP133" s="9"/>
      <c r="GQ133" s="9"/>
      <c r="GR133" s="9"/>
      <c r="GS133" s="9"/>
      <c r="GT133" s="9">
        <v>29.9</v>
      </c>
      <c r="GU133" s="9"/>
      <c r="GV133" s="9"/>
      <c r="GW133" s="9"/>
      <c r="GX133" s="9">
        <v>30.97</v>
      </c>
      <c r="GY133" s="9"/>
      <c r="GZ133" s="9"/>
      <c r="HA133" s="9"/>
      <c r="HB133" s="9">
        <v>66.510000000000005</v>
      </c>
      <c r="HC133" s="9"/>
      <c r="HD133" s="9"/>
      <c r="HE133" s="9"/>
      <c r="HF133" s="9"/>
      <c r="HG133" s="9"/>
      <c r="HH133" s="9"/>
      <c r="HI133" s="9"/>
      <c r="HJ133" s="9"/>
      <c r="HK133" s="9"/>
      <c r="HL133" s="9"/>
      <c r="HM133" s="9"/>
      <c r="HN133" s="9"/>
      <c r="HO133" s="9"/>
      <c r="HP133" s="9"/>
      <c r="HQ133" s="62">
        <f t="shared" si="10"/>
        <v>688.13</v>
      </c>
      <c r="HR133" s="62">
        <f t="shared" si="8"/>
        <v>11.468833333333333</v>
      </c>
    </row>
    <row r="134" spans="1:226" ht="12.95" customHeight="1" x14ac:dyDescent="0.2">
      <c r="A134" s="11">
        <v>193</v>
      </c>
      <c r="B134" s="9">
        <v>189</v>
      </c>
      <c r="C134" s="9" t="s">
        <v>83</v>
      </c>
      <c r="D134" s="9">
        <v>11</v>
      </c>
      <c r="E134" s="9" t="s">
        <v>79</v>
      </c>
      <c r="F134" s="9">
        <v>1918814300</v>
      </c>
      <c r="G134" s="9" t="s">
        <v>81</v>
      </c>
      <c r="H134" s="9" t="s">
        <v>84</v>
      </c>
      <c r="I134" s="13" t="s">
        <v>119</v>
      </c>
      <c r="J134" s="13" t="s">
        <v>2007</v>
      </c>
      <c r="M134" s="13" t="s">
        <v>1319</v>
      </c>
      <c r="N134" s="13" t="s">
        <v>618</v>
      </c>
      <c r="O134" s="13"/>
      <c r="P134" s="13" t="s">
        <v>290</v>
      </c>
      <c r="Q134" s="13" t="s">
        <v>1296</v>
      </c>
      <c r="S134" s="13" t="s">
        <v>84</v>
      </c>
      <c r="T134" s="13" t="s">
        <v>84</v>
      </c>
      <c r="U134" s="13" t="s">
        <v>82</v>
      </c>
      <c r="V134" s="13" t="s">
        <v>82</v>
      </c>
      <c r="W134" s="13" t="s">
        <v>82</v>
      </c>
      <c r="X134" s="13" t="s">
        <v>82</v>
      </c>
      <c r="Y134" s="13" t="s">
        <v>84</v>
      </c>
      <c r="Z134" s="13" t="s">
        <v>84</v>
      </c>
      <c r="AA134" s="13"/>
      <c r="AB134" s="13" t="s">
        <v>82</v>
      </c>
      <c r="AC134" s="13"/>
      <c r="AD134" s="13" t="s">
        <v>82</v>
      </c>
      <c r="AE134" s="13"/>
      <c r="AF134" s="13"/>
      <c r="AG134" s="13" t="s">
        <v>82</v>
      </c>
      <c r="AH134" s="13"/>
      <c r="AI134" s="13" t="s">
        <v>84</v>
      </c>
      <c r="AJ134" s="13" t="s">
        <v>2123</v>
      </c>
      <c r="AK134" s="13" t="s">
        <v>2124</v>
      </c>
      <c r="AL134" s="13" t="s">
        <v>140</v>
      </c>
      <c r="AM134" s="13" t="s">
        <v>91</v>
      </c>
      <c r="AN134" s="13"/>
      <c r="AO134" s="13" t="s">
        <v>80</v>
      </c>
      <c r="AQ134" s="13" t="s">
        <v>80</v>
      </c>
      <c r="AR134" s="13" t="s">
        <v>80</v>
      </c>
      <c r="AS134" s="13" t="s">
        <v>80</v>
      </c>
      <c r="AT134" s="13" t="s">
        <v>80</v>
      </c>
      <c r="AU134" s="13"/>
      <c r="AW134" s="13" t="s">
        <v>84</v>
      </c>
      <c r="AX134" s="13" t="s">
        <v>82</v>
      </c>
      <c r="AY134" s="13" t="s">
        <v>82</v>
      </c>
      <c r="AZ134" s="13" t="s">
        <v>82</v>
      </c>
      <c r="BA134" s="13"/>
      <c r="BB134" s="13" t="s">
        <v>82</v>
      </c>
      <c r="BC134" s="13" t="s">
        <v>82</v>
      </c>
      <c r="BD134" s="13" t="s">
        <v>112</v>
      </c>
      <c r="BE134" s="13" t="s">
        <v>112</v>
      </c>
      <c r="BF134" s="13" t="s">
        <v>93</v>
      </c>
      <c r="BG134" s="13" t="s">
        <v>84</v>
      </c>
      <c r="BH134" s="13" t="s">
        <v>82</v>
      </c>
      <c r="BI134" s="13"/>
      <c r="BJ134" s="13" t="s">
        <v>84</v>
      </c>
      <c r="BK134" s="13" t="s">
        <v>80</v>
      </c>
      <c r="BL134" s="13">
        <v>3</v>
      </c>
      <c r="BM134" s="13">
        <v>3</v>
      </c>
      <c r="BN134" s="13">
        <v>3</v>
      </c>
      <c r="BO134" s="13">
        <v>3</v>
      </c>
      <c r="BP134" s="13">
        <v>3</v>
      </c>
      <c r="BQ134" s="13">
        <v>3</v>
      </c>
      <c r="BS134" s="13" t="s">
        <v>99</v>
      </c>
      <c r="BT134" s="13"/>
      <c r="BU134" s="13"/>
      <c r="BV134" s="13"/>
      <c r="BX134" s="13" t="s">
        <v>82</v>
      </c>
      <c r="BY134" s="13"/>
      <c r="BZ134" s="13" t="s">
        <v>84</v>
      </c>
      <c r="CA134" s="13"/>
      <c r="CB134" s="13" t="s">
        <v>82</v>
      </c>
      <c r="CC134" s="13"/>
      <c r="CD134" s="13" t="s">
        <v>82</v>
      </c>
      <c r="CE134" s="13"/>
      <c r="CF134" s="13"/>
      <c r="CG134" s="13"/>
      <c r="CI134" s="13" t="s">
        <v>84</v>
      </c>
      <c r="CJ134" s="13"/>
      <c r="CK134" s="13" t="s">
        <v>82</v>
      </c>
      <c r="CL134" s="13"/>
      <c r="CM134" s="13" t="s">
        <v>82</v>
      </c>
      <c r="CN134" s="13"/>
      <c r="CO134" s="13"/>
      <c r="CP134" s="13"/>
      <c r="CQ134" s="13" t="s">
        <v>118</v>
      </c>
      <c r="CR134" s="13" t="s">
        <v>84</v>
      </c>
      <c r="CS134" s="13" t="s">
        <v>1312</v>
      </c>
      <c r="CT134" s="13" t="s">
        <v>2274</v>
      </c>
      <c r="CU134" s="13" t="s">
        <v>81</v>
      </c>
      <c r="CV134" s="13" t="s">
        <v>2275</v>
      </c>
      <c r="CW134" s="13" t="s">
        <v>84</v>
      </c>
      <c r="CX134" s="13" t="s">
        <v>2276</v>
      </c>
      <c r="CY134" s="13"/>
      <c r="CZ134" s="13"/>
      <c r="DA134" s="13" t="s">
        <v>82</v>
      </c>
      <c r="DB134" s="13"/>
      <c r="DC134" s="13" t="s">
        <v>84</v>
      </c>
      <c r="DD134" s="13" t="s">
        <v>84</v>
      </c>
      <c r="DG134" s="13">
        <v>2</v>
      </c>
      <c r="DH134" s="13">
        <v>1</v>
      </c>
      <c r="DI134" s="13">
        <v>1</v>
      </c>
      <c r="DJ134" s="13">
        <v>1</v>
      </c>
      <c r="DK134" s="13">
        <v>2</v>
      </c>
      <c r="DL134" s="13">
        <v>3</v>
      </c>
      <c r="DM134" s="13">
        <v>2</v>
      </c>
      <c r="DN134" s="13">
        <v>3</v>
      </c>
      <c r="DO134" s="13">
        <v>2</v>
      </c>
      <c r="DP134" s="13">
        <v>3</v>
      </c>
      <c r="DQ134" s="13">
        <v>2</v>
      </c>
      <c r="DR134" s="13">
        <v>2</v>
      </c>
      <c r="DS134" s="13" t="s">
        <v>99</v>
      </c>
      <c r="DT134" s="13" t="s">
        <v>84</v>
      </c>
      <c r="DU134" s="13"/>
      <c r="DV134" s="13" t="s">
        <v>82</v>
      </c>
      <c r="DW134" s="13" t="s">
        <v>100</v>
      </c>
      <c r="DX134" s="13" t="s">
        <v>246</v>
      </c>
      <c r="DY134" s="13"/>
      <c r="DZ134" s="13" t="s">
        <v>113</v>
      </c>
      <c r="EA134" s="13"/>
      <c r="EB134" s="13" t="s">
        <v>84</v>
      </c>
      <c r="EC134" s="13"/>
      <c r="ED134" s="13"/>
      <c r="EE134" s="13"/>
      <c r="EF134" s="13" t="s">
        <v>84</v>
      </c>
      <c r="EG134" s="13" t="s">
        <v>82</v>
      </c>
      <c r="EH134" s="13" t="s">
        <v>84</v>
      </c>
      <c r="EI134" s="13" t="s">
        <v>2473</v>
      </c>
      <c r="EJ134" s="13" t="s">
        <v>2474</v>
      </c>
      <c r="EK134" s="13" t="s">
        <v>2475</v>
      </c>
      <c r="EL134" s="13"/>
      <c r="EM134" s="9">
        <v>1391.36</v>
      </c>
      <c r="EN134" s="9">
        <v>16.86</v>
      </c>
      <c r="EO134" s="9"/>
      <c r="EP134" s="9"/>
      <c r="EQ134" s="9">
        <v>131.12</v>
      </c>
      <c r="ER134" s="9"/>
      <c r="ES134" s="9"/>
      <c r="ET134" s="9"/>
      <c r="EU134" s="9"/>
      <c r="EV134" s="9"/>
      <c r="EW134" s="9">
        <v>58.88</v>
      </c>
      <c r="EX134" s="9"/>
      <c r="EY134" s="9"/>
      <c r="EZ134" s="9"/>
      <c r="FA134" s="9"/>
      <c r="FB134" s="9"/>
      <c r="FC134" s="9"/>
      <c r="FD134" s="9"/>
      <c r="FE134" s="9"/>
      <c r="FF134" s="9">
        <v>256.52999999999997</v>
      </c>
      <c r="FG134" s="9"/>
      <c r="FH134" s="9"/>
      <c r="FI134" s="9"/>
      <c r="FJ134" s="9">
        <v>13</v>
      </c>
      <c r="FK134" s="9"/>
      <c r="FL134" s="9"/>
      <c r="FM134" s="9"/>
      <c r="FN134" s="9"/>
      <c r="FO134" s="9"/>
      <c r="FP134" s="9">
        <v>143.11000000000001</v>
      </c>
      <c r="FQ134" s="9"/>
      <c r="FR134" s="9"/>
      <c r="FS134" s="9"/>
      <c r="FT134" s="9"/>
      <c r="FU134" s="9"/>
      <c r="FV134" s="9">
        <v>73.48</v>
      </c>
      <c r="FW134" s="9"/>
      <c r="FX134" s="9"/>
      <c r="FY134" s="9"/>
      <c r="FZ134" s="9"/>
      <c r="GA134" s="9"/>
      <c r="GB134" s="9"/>
      <c r="GC134" s="9">
        <v>413.25</v>
      </c>
      <c r="GD134" s="9"/>
      <c r="GE134" s="9"/>
      <c r="GF134" s="9"/>
      <c r="GG134" s="9"/>
      <c r="GH134" s="9"/>
      <c r="GI134" s="9"/>
      <c r="GJ134" s="9"/>
      <c r="GK134" s="9"/>
      <c r="GL134" s="9"/>
      <c r="GM134" s="9"/>
      <c r="GN134" s="9"/>
      <c r="GO134" s="9"/>
      <c r="GP134" s="9"/>
      <c r="GQ134" s="9"/>
      <c r="GR134" s="9"/>
      <c r="GS134" s="9"/>
      <c r="GT134" s="9">
        <v>19.84</v>
      </c>
      <c r="GU134" s="9"/>
      <c r="GV134" s="9"/>
      <c r="GW134" s="9"/>
      <c r="GX134" s="9">
        <v>35.630000000000003</v>
      </c>
      <c r="GY134" s="9"/>
      <c r="GZ134" s="9"/>
      <c r="HA134" s="9"/>
      <c r="HB134" s="9">
        <v>229.66</v>
      </c>
      <c r="HC134" s="9"/>
      <c r="HD134" s="9"/>
      <c r="HE134" s="9"/>
      <c r="HF134" s="9"/>
      <c r="HG134" s="9"/>
      <c r="HH134" s="9"/>
      <c r="HI134" s="9"/>
      <c r="HJ134" s="9"/>
      <c r="HK134" s="9"/>
      <c r="HL134" s="9"/>
      <c r="HM134" s="9"/>
      <c r="HN134" s="9"/>
      <c r="HO134" s="9"/>
      <c r="HP134" s="9"/>
      <c r="HQ134" s="62">
        <f t="shared" si="10"/>
        <v>1391.36</v>
      </c>
      <c r="HR134" s="62">
        <f t="shared" si="8"/>
        <v>23.18933333333333</v>
      </c>
    </row>
    <row r="135" spans="1:226" ht="12.95" customHeight="1" x14ac:dyDescent="0.2">
      <c r="A135" s="11">
        <v>194</v>
      </c>
      <c r="B135" s="9">
        <v>190</v>
      </c>
      <c r="C135" s="9" t="s">
        <v>83</v>
      </c>
      <c r="D135" s="9">
        <v>11</v>
      </c>
      <c r="E135" s="9" t="s">
        <v>79</v>
      </c>
      <c r="F135" s="9">
        <v>346787181</v>
      </c>
      <c r="G135" s="9" t="s">
        <v>81</v>
      </c>
      <c r="H135" s="9" t="s">
        <v>84</v>
      </c>
      <c r="I135" s="13" t="s">
        <v>161</v>
      </c>
      <c r="J135" s="13"/>
      <c r="M135" s="13" t="s">
        <v>1294</v>
      </c>
      <c r="N135" s="13" t="s">
        <v>108</v>
      </c>
      <c r="O135" s="13"/>
      <c r="P135" s="13" t="s">
        <v>87</v>
      </c>
      <c r="Q135" s="13" t="s">
        <v>1296</v>
      </c>
      <c r="S135" s="13" t="s">
        <v>84</v>
      </c>
      <c r="T135" s="13" t="s">
        <v>84</v>
      </c>
      <c r="U135" s="13" t="s">
        <v>84</v>
      </c>
      <c r="V135" s="13" t="s">
        <v>82</v>
      </c>
      <c r="W135" s="13" t="s">
        <v>82</v>
      </c>
      <c r="X135" s="13" t="s">
        <v>82</v>
      </c>
      <c r="Y135" s="13" t="s">
        <v>82</v>
      </c>
      <c r="Z135" s="13" t="s">
        <v>82</v>
      </c>
      <c r="AA135" s="13"/>
      <c r="AB135" s="13" t="s">
        <v>84</v>
      </c>
      <c r="AC135" s="13" t="s">
        <v>2125</v>
      </c>
      <c r="AD135" s="13" t="s">
        <v>82</v>
      </c>
      <c r="AE135" s="13"/>
      <c r="AF135" s="13"/>
      <c r="AG135" s="13" t="s">
        <v>84</v>
      </c>
      <c r="AH135" s="13"/>
      <c r="AI135" s="13" t="s">
        <v>82</v>
      </c>
      <c r="AJ135" s="13"/>
      <c r="AK135" s="13"/>
      <c r="AL135" s="13" t="s">
        <v>140</v>
      </c>
      <c r="AM135" s="13" t="s">
        <v>111</v>
      </c>
      <c r="AN135" s="13"/>
      <c r="AO135" s="13" t="s">
        <v>80</v>
      </c>
      <c r="AQ135" s="13" t="s">
        <v>84</v>
      </c>
      <c r="AR135" s="13" t="s">
        <v>82</v>
      </c>
      <c r="AS135" s="13" t="s">
        <v>82</v>
      </c>
      <c r="AT135" s="13" t="s">
        <v>82</v>
      </c>
      <c r="AU135" s="13"/>
      <c r="AW135" s="13" t="s">
        <v>80</v>
      </c>
      <c r="AX135" s="13" t="s">
        <v>80</v>
      </c>
      <c r="AY135" s="13" t="s">
        <v>80</v>
      </c>
      <c r="AZ135" s="13" t="s">
        <v>80</v>
      </c>
      <c r="BA135" s="13"/>
      <c r="BB135" s="13" t="s">
        <v>84</v>
      </c>
      <c r="BC135" s="13" t="s">
        <v>80</v>
      </c>
      <c r="BD135" s="13" t="s">
        <v>112</v>
      </c>
      <c r="BE135" s="13" t="s">
        <v>112</v>
      </c>
      <c r="BF135" s="13" t="s">
        <v>113</v>
      </c>
      <c r="BG135" s="13" t="s">
        <v>82</v>
      </c>
      <c r="BH135" s="13" t="s">
        <v>82</v>
      </c>
      <c r="BI135" s="13"/>
      <c r="BJ135" s="13" t="s">
        <v>84</v>
      </c>
      <c r="BK135" s="13" t="s">
        <v>80</v>
      </c>
      <c r="BL135" s="13">
        <v>5</v>
      </c>
      <c r="BM135" s="13">
        <v>2</v>
      </c>
      <c r="BN135" s="13">
        <v>5</v>
      </c>
      <c r="BO135" s="13">
        <v>1</v>
      </c>
      <c r="BP135" s="13">
        <v>5</v>
      </c>
      <c r="BQ135" s="13">
        <v>3</v>
      </c>
      <c r="BS135" s="13" t="s">
        <v>118</v>
      </c>
      <c r="BT135" s="13"/>
      <c r="BU135" s="13"/>
      <c r="BV135" s="13"/>
      <c r="BX135" s="13" t="s">
        <v>82</v>
      </c>
      <c r="BY135" s="13"/>
      <c r="BZ135" s="13" t="s">
        <v>84</v>
      </c>
      <c r="CA135" s="13" t="s">
        <v>2192</v>
      </c>
      <c r="CB135" s="13" t="s">
        <v>82</v>
      </c>
      <c r="CC135" s="13"/>
      <c r="CD135" s="13" t="s">
        <v>82</v>
      </c>
      <c r="CE135" s="13"/>
      <c r="CF135" s="13"/>
      <c r="CG135" s="13"/>
      <c r="CI135" s="13" t="s">
        <v>84</v>
      </c>
      <c r="CJ135" s="13" t="s">
        <v>860</v>
      </c>
      <c r="CK135" s="13" t="s">
        <v>82</v>
      </c>
      <c r="CL135" s="13"/>
      <c r="CM135" s="13" t="s">
        <v>82</v>
      </c>
      <c r="CN135" s="13"/>
      <c r="CO135" s="13"/>
      <c r="CP135" s="13"/>
      <c r="CQ135" s="13" t="s">
        <v>99</v>
      </c>
      <c r="CR135" s="13" t="s">
        <v>80</v>
      </c>
      <c r="CS135" s="13" t="s">
        <v>1312</v>
      </c>
      <c r="CT135" s="13"/>
      <c r="CU135" s="13" t="s">
        <v>246</v>
      </c>
      <c r="CV135" s="13"/>
      <c r="CW135" s="13" t="s">
        <v>82</v>
      </c>
      <c r="CX135" s="13"/>
      <c r="CY135" s="13" t="s">
        <v>81</v>
      </c>
      <c r="CZ135" s="13"/>
      <c r="DA135" s="13" t="s">
        <v>82</v>
      </c>
      <c r="DB135" s="13"/>
      <c r="DC135" s="13" t="s">
        <v>84</v>
      </c>
      <c r="DD135" s="13" t="s">
        <v>84</v>
      </c>
      <c r="DG135" s="13">
        <v>2</v>
      </c>
      <c r="DH135" s="13">
        <v>1</v>
      </c>
      <c r="DI135" s="13">
        <v>4</v>
      </c>
      <c r="DJ135" s="13">
        <v>2</v>
      </c>
      <c r="DK135" s="13">
        <v>1</v>
      </c>
      <c r="DL135" s="13">
        <v>2</v>
      </c>
      <c r="DM135" s="13">
        <v>1</v>
      </c>
      <c r="DN135" s="13">
        <v>1</v>
      </c>
      <c r="DO135" s="13">
        <v>5</v>
      </c>
      <c r="DP135" s="13">
        <v>4</v>
      </c>
      <c r="DQ135" s="13">
        <v>2</v>
      </c>
      <c r="DR135" s="13">
        <v>2</v>
      </c>
      <c r="DS135" s="13" t="s">
        <v>99</v>
      </c>
      <c r="DT135" s="13" t="s">
        <v>82</v>
      </c>
      <c r="DU135" s="13" t="s">
        <v>1350</v>
      </c>
      <c r="DV135" s="13" t="s">
        <v>84</v>
      </c>
      <c r="DW135" s="13" t="s">
        <v>113</v>
      </c>
      <c r="DX135" s="13" t="s">
        <v>246</v>
      </c>
      <c r="DY135" s="13"/>
      <c r="DZ135" s="13" t="s">
        <v>113</v>
      </c>
      <c r="EA135" s="13"/>
      <c r="EB135" s="13" t="s">
        <v>82</v>
      </c>
      <c r="EC135" s="13"/>
      <c r="ED135" s="13" t="s">
        <v>81</v>
      </c>
      <c r="EE135" s="13"/>
      <c r="EF135" s="13" t="s">
        <v>82</v>
      </c>
      <c r="EG135" s="13" t="s">
        <v>82</v>
      </c>
      <c r="EH135" s="13" t="s">
        <v>82</v>
      </c>
      <c r="EI135" s="13"/>
      <c r="EJ135" s="13" t="s">
        <v>2476</v>
      </c>
      <c r="EK135" s="13" t="s">
        <v>2477</v>
      </c>
      <c r="EL135" s="13" t="s">
        <v>2478</v>
      </c>
      <c r="EM135" s="9">
        <v>658.17</v>
      </c>
      <c r="EN135" s="9">
        <v>40.58</v>
      </c>
      <c r="EO135" s="9"/>
      <c r="EP135" s="9"/>
      <c r="EQ135" s="9">
        <v>37.65</v>
      </c>
      <c r="ER135" s="9"/>
      <c r="ES135" s="9"/>
      <c r="ET135" s="9"/>
      <c r="EU135" s="9"/>
      <c r="EV135" s="9"/>
      <c r="EW135" s="9">
        <v>38.869999999999997</v>
      </c>
      <c r="EX135" s="9"/>
      <c r="EY135" s="9"/>
      <c r="EZ135" s="9"/>
      <c r="FA135" s="9"/>
      <c r="FB135" s="9"/>
      <c r="FC135" s="9"/>
      <c r="FD135" s="9"/>
      <c r="FE135" s="9"/>
      <c r="FF135" s="9">
        <v>26.16</v>
      </c>
      <c r="FG135" s="9"/>
      <c r="FH135" s="9"/>
      <c r="FI135" s="9"/>
      <c r="FJ135" s="9">
        <v>11.63</v>
      </c>
      <c r="FK135" s="9"/>
      <c r="FL135" s="9"/>
      <c r="FM135" s="9"/>
      <c r="FN135" s="9"/>
      <c r="FO135" s="9"/>
      <c r="FP135" s="9">
        <v>29.54</v>
      </c>
      <c r="FQ135" s="9"/>
      <c r="FR135" s="9"/>
      <c r="FS135" s="9"/>
      <c r="FT135" s="9"/>
      <c r="FU135" s="9"/>
      <c r="FV135" s="9">
        <v>62.46</v>
      </c>
      <c r="FW135" s="9"/>
      <c r="FX135" s="9"/>
      <c r="FY135" s="9"/>
      <c r="FZ135" s="9"/>
      <c r="GA135" s="9"/>
      <c r="GB135" s="9"/>
      <c r="GC135" s="9">
        <v>173.94</v>
      </c>
      <c r="GD135" s="9"/>
      <c r="GE135" s="9"/>
      <c r="GF135" s="9"/>
      <c r="GG135" s="9"/>
      <c r="GH135" s="9"/>
      <c r="GI135" s="9"/>
      <c r="GJ135" s="9"/>
      <c r="GK135" s="9"/>
      <c r="GL135" s="9"/>
      <c r="GM135" s="9"/>
      <c r="GN135" s="9"/>
      <c r="GO135" s="9"/>
      <c r="GP135" s="9"/>
      <c r="GQ135" s="9"/>
      <c r="GR135" s="9"/>
      <c r="GS135" s="9"/>
      <c r="GT135" s="9">
        <v>29.74</v>
      </c>
      <c r="GU135" s="9"/>
      <c r="GV135" s="9"/>
      <c r="GW135" s="9"/>
      <c r="GX135" s="9">
        <v>40.450000000000003</v>
      </c>
      <c r="GY135" s="9"/>
      <c r="GZ135" s="9"/>
      <c r="HA135" s="9"/>
      <c r="HB135" s="9">
        <v>167.15</v>
      </c>
      <c r="HC135" s="9"/>
      <c r="HD135" s="9"/>
      <c r="HE135" s="9"/>
      <c r="HF135" s="9"/>
      <c r="HG135" s="9"/>
      <c r="HH135" s="9"/>
      <c r="HI135" s="9"/>
      <c r="HJ135" s="9"/>
      <c r="HK135" s="9"/>
      <c r="HL135" s="9"/>
      <c r="HM135" s="9"/>
      <c r="HN135" s="9"/>
      <c r="HO135" s="9"/>
      <c r="HP135" s="9"/>
      <c r="HQ135" s="62">
        <f t="shared" si="10"/>
        <v>658.17</v>
      </c>
      <c r="HR135" s="62">
        <f t="shared" si="8"/>
        <v>10.9695</v>
      </c>
    </row>
    <row r="136" spans="1:226" s="13" customFormat="1" ht="12.75" x14ac:dyDescent="0.2">
      <c r="A136" s="11">
        <v>195</v>
      </c>
      <c r="B136" s="13">
        <v>191</v>
      </c>
      <c r="C136" s="13" t="s">
        <v>83</v>
      </c>
      <c r="D136" s="13">
        <v>11</v>
      </c>
      <c r="E136" s="13" t="s">
        <v>79</v>
      </c>
      <c r="F136" s="13">
        <v>1412127081</v>
      </c>
      <c r="G136" s="13" t="s">
        <v>81</v>
      </c>
      <c r="H136" s="13" t="s">
        <v>84</v>
      </c>
      <c r="I136" s="13" t="s">
        <v>119</v>
      </c>
      <c r="J136" s="13" t="s">
        <v>402</v>
      </c>
      <c r="K136" s="58"/>
      <c r="L136" s="58"/>
      <c r="M136" s="13" t="s">
        <v>1319</v>
      </c>
      <c r="N136" s="13" t="s">
        <v>108</v>
      </c>
      <c r="P136" s="13" t="s">
        <v>632</v>
      </c>
      <c r="Q136" s="13" t="s">
        <v>1766</v>
      </c>
      <c r="R136" s="58"/>
      <c r="S136" s="13" t="s">
        <v>84</v>
      </c>
      <c r="T136" s="13" t="s">
        <v>84</v>
      </c>
      <c r="U136" s="13" t="s">
        <v>82</v>
      </c>
      <c r="V136" s="13" t="s">
        <v>82</v>
      </c>
      <c r="W136" s="13" t="s">
        <v>82</v>
      </c>
      <c r="X136" s="13" t="s">
        <v>84</v>
      </c>
      <c r="Y136" s="13" t="s">
        <v>82</v>
      </c>
      <c r="Z136" s="13" t="s">
        <v>84</v>
      </c>
      <c r="AB136" s="13" t="s">
        <v>82</v>
      </c>
      <c r="AD136" s="13" t="s">
        <v>84</v>
      </c>
      <c r="AE136" s="13" t="s">
        <v>2126</v>
      </c>
      <c r="AG136" s="13" t="s">
        <v>80</v>
      </c>
      <c r="AI136" s="13" t="s">
        <v>84</v>
      </c>
      <c r="AK136" s="13" t="s">
        <v>2127</v>
      </c>
      <c r="AL136" s="13" t="s">
        <v>296</v>
      </c>
      <c r="AM136" s="13" t="s">
        <v>111</v>
      </c>
      <c r="AO136" s="13" t="s">
        <v>80</v>
      </c>
      <c r="AP136" s="58"/>
      <c r="AQ136" s="13" t="s">
        <v>84</v>
      </c>
      <c r="AR136" s="13" t="s">
        <v>82</v>
      </c>
      <c r="AS136" s="13" t="s">
        <v>82</v>
      </c>
      <c r="AT136" s="13" t="s">
        <v>84</v>
      </c>
      <c r="AV136" s="58"/>
      <c r="AW136" s="13" t="s">
        <v>80</v>
      </c>
      <c r="AX136" s="13" t="s">
        <v>80</v>
      </c>
      <c r="AY136" s="13" t="s">
        <v>80</v>
      </c>
      <c r="AZ136" s="13" t="s">
        <v>80</v>
      </c>
      <c r="BB136" s="13" t="s">
        <v>82</v>
      </c>
      <c r="BC136" s="13" t="s">
        <v>82</v>
      </c>
      <c r="BD136" s="13" t="s">
        <v>113</v>
      </c>
      <c r="BE136" s="13" t="s">
        <v>100</v>
      </c>
      <c r="BF136" s="13" t="s">
        <v>112</v>
      </c>
      <c r="BG136" s="13" t="s">
        <v>82</v>
      </c>
      <c r="BH136" s="13" t="s">
        <v>82</v>
      </c>
      <c r="BJ136" s="13" t="s">
        <v>84</v>
      </c>
      <c r="BK136" s="13" t="s">
        <v>80</v>
      </c>
      <c r="BL136" s="13">
        <v>4</v>
      </c>
      <c r="BM136" s="13">
        <v>5</v>
      </c>
      <c r="BN136" s="13">
        <v>5</v>
      </c>
      <c r="BO136" s="13">
        <v>5</v>
      </c>
      <c r="BP136" s="13">
        <v>2</v>
      </c>
      <c r="BQ136" s="13">
        <v>2</v>
      </c>
      <c r="BR136" s="58"/>
      <c r="BS136" s="13" t="s">
        <v>119</v>
      </c>
      <c r="BT136" s="13" t="s">
        <v>2494</v>
      </c>
      <c r="BU136" s="13" t="s">
        <v>246</v>
      </c>
      <c r="BV136" s="13" t="s">
        <v>2495</v>
      </c>
      <c r="BW136" s="58"/>
      <c r="BX136" s="13" t="s">
        <v>82</v>
      </c>
      <c r="BZ136" s="13" t="s">
        <v>84</v>
      </c>
      <c r="CA136" s="13" t="s">
        <v>2496</v>
      </c>
      <c r="CB136" s="13" t="s">
        <v>82</v>
      </c>
      <c r="CD136" s="13" t="s">
        <v>82</v>
      </c>
      <c r="CH136" s="58"/>
      <c r="CI136" s="13" t="s">
        <v>84</v>
      </c>
      <c r="CK136" s="13" t="s">
        <v>82</v>
      </c>
      <c r="CM136" s="13" t="s">
        <v>82</v>
      </c>
      <c r="CQ136" s="13" t="s">
        <v>99</v>
      </c>
      <c r="CR136" s="13" t="s">
        <v>80</v>
      </c>
      <c r="CS136" s="13" t="s">
        <v>99</v>
      </c>
      <c r="CW136" s="13" t="s">
        <v>82</v>
      </c>
      <c r="CY136" s="13" t="s">
        <v>81</v>
      </c>
      <c r="DA136" s="13" t="s">
        <v>84</v>
      </c>
      <c r="DB136" s="13" t="s">
        <v>2497</v>
      </c>
      <c r="DC136" s="13" t="s">
        <v>84</v>
      </c>
      <c r="DD136" s="13" t="s">
        <v>84</v>
      </c>
      <c r="DE136" s="58"/>
      <c r="DF136" s="58"/>
      <c r="DG136" s="13">
        <v>1</v>
      </c>
      <c r="DH136" s="13">
        <v>1</v>
      </c>
      <c r="DI136" s="13">
        <v>2</v>
      </c>
      <c r="DJ136" s="13">
        <v>1</v>
      </c>
      <c r="DK136" s="13">
        <v>2</v>
      </c>
      <c r="DL136" s="13">
        <v>1</v>
      </c>
      <c r="DM136" s="13">
        <v>2</v>
      </c>
      <c r="DN136" s="13">
        <v>1</v>
      </c>
      <c r="DO136" s="13">
        <v>1</v>
      </c>
      <c r="DP136" s="13">
        <v>1</v>
      </c>
      <c r="DQ136" s="13">
        <v>1</v>
      </c>
      <c r="DR136" s="13">
        <v>1</v>
      </c>
      <c r="DS136" s="13" t="s">
        <v>97</v>
      </c>
      <c r="DT136" s="13" t="s">
        <v>82</v>
      </c>
      <c r="DU136" s="13" t="s">
        <v>2498</v>
      </c>
      <c r="DV136" s="13" t="s">
        <v>84</v>
      </c>
      <c r="DW136" s="13" t="s">
        <v>113</v>
      </c>
      <c r="DX136" s="13" t="s">
        <v>81</v>
      </c>
      <c r="DY136" s="13" t="s">
        <v>2499</v>
      </c>
      <c r="DZ136" s="13" t="s">
        <v>113</v>
      </c>
      <c r="EB136" s="13" t="s">
        <v>84</v>
      </c>
      <c r="EF136" s="13" t="s">
        <v>82</v>
      </c>
      <c r="EG136" s="13" t="s">
        <v>82</v>
      </c>
      <c r="EH136" s="13" t="s">
        <v>82</v>
      </c>
      <c r="EJ136" s="13" t="s">
        <v>2500</v>
      </c>
      <c r="EK136" s="13" t="s">
        <v>2501</v>
      </c>
      <c r="EL136" s="13" t="s">
        <v>2502</v>
      </c>
      <c r="EM136" s="13">
        <v>2522.2199999999998</v>
      </c>
      <c r="EN136" s="13">
        <v>21.29</v>
      </c>
      <c r="EQ136" s="13">
        <v>146.93</v>
      </c>
      <c r="EW136" s="13">
        <v>45.67</v>
      </c>
      <c r="FF136" s="13">
        <v>250.88</v>
      </c>
      <c r="FJ136" s="13">
        <v>15.75</v>
      </c>
      <c r="FP136" s="13">
        <v>41.88</v>
      </c>
      <c r="FV136" s="13">
        <v>45.26</v>
      </c>
      <c r="GC136" s="13">
        <v>1730.95</v>
      </c>
      <c r="GT136" s="13">
        <v>57.62</v>
      </c>
      <c r="GX136" s="13">
        <v>71.91</v>
      </c>
      <c r="HB136" s="13">
        <v>94.08</v>
      </c>
      <c r="HQ136" s="62">
        <f t="shared" si="10"/>
        <v>2522.2199999999998</v>
      </c>
      <c r="HR136" s="62">
        <f t="shared" si="8"/>
        <v>42.036999999999999</v>
      </c>
    </row>
    <row r="137" spans="1:226" s="9" customFormat="1" ht="12.75" x14ac:dyDescent="0.2">
      <c r="A137" s="11">
        <v>196</v>
      </c>
      <c r="B137" s="9">
        <v>194</v>
      </c>
      <c r="C137" s="9" t="s">
        <v>83</v>
      </c>
      <c r="D137" s="9">
        <v>11</v>
      </c>
      <c r="E137" s="9" t="s">
        <v>79</v>
      </c>
      <c r="F137" s="9">
        <v>2116390798</v>
      </c>
      <c r="G137" s="9" t="s">
        <v>81</v>
      </c>
      <c r="H137" s="9" t="s">
        <v>84</v>
      </c>
      <c r="I137" s="13" t="s">
        <v>161</v>
      </c>
      <c r="J137" s="13"/>
      <c r="K137" s="58"/>
      <c r="L137" s="58"/>
      <c r="M137" s="13" t="s">
        <v>1294</v>
      </c>
      <c r="N137" s="13" t="s">
        <v>618</v>
      </c>
      <c r="O137" s="13"/>
      <c r="P137" s="13" t="s">
        <v>290</v>
      </c>
      <c r="Q137" s="13" t="s">
        <v>1358</v>
      </c>
      <c r="R137" s="58"/>
      <c r="S137" s="13" t="s">
        <v>84</v>
      </c>
      <c r="T137" s="13" t="s">
        <v>84</v>
      </c>
      <c r="U137" s="13" t="s">
        <v>84</v>
      </c>
      <c r="V137" s="13" t="s">
        <v>82</v>
      </c>
      <c r="W137" s="13" t="s">
        <v>82</v>
      </c>
      <c r="X137" s="13" t="s">
        <v>84</v>
      </c>
      <c r="Y137" s="13" t="s">
        <v>82</v>
      </c>
      <c r="Z137" s="13" t="s">
        <v>84</v>
      </c>
      <c r="AA137" s="13"/>
      <c r="AB137" s="13" t="s">
        <v>82</v>
      </c>
      <c r="AC137" s="13"/>
      <c r="AD137" s="13" t="s">
        <v>84</v>
      </c>
      <c r="AE137" s="13" t="s">
        <v>2503</v>
      </c>
      <c r="AF137" s="13" t="s">
        <v>2504</v>
      </c>
      <c r="AG137" s="13" t="s">
        <v>80</v>
      </c>
      <c r="AH137" s="13"/>
      <c r="AI137" s="13" t="s">
        <v>82</v>
      </c>
      <c r="AJ137" s="13" t="s">
        <v>2505</v>
      </c>
      <c r="AK137" s="13"/>
      <c r="AL137" s="13" t="s">
        <v>126</v>
      </c>
      <c r="AM137" s="13" t="s">
        <v>111</v>
      </c>
      <c r="AN137" s="13"/>
      <c r="AO137" s="13" t="s">
        <v>80</v>
      </c>
      <c r="AP137" s="58"/>
      <c r="AQ137" s="13" t="s">
        <v>84</v>
      </c>
      <c r="AR137" s="13" t="s">
        <v>82</v>
      </c>
      <c r="AS137" s="13" t="s">
        <v>82</v>
      </c>
      <c r="AT137" s="13" t="s">
        <v>84</v>
      </c>
      <c r="AU137" s="13"/>
      <c r="AV137" s="58"/>
      <c r="AW137" s="13" t="s">
        <v>80</v>
      </c>
      <c r="AX137" s="13" t="s">
        <v>80</v>
      </c>
      <c r="AY137" s="13" t="s">
        <v>80</v>
      </c>
      <c r="AZ137" s="13" t="s">
        <v>80</v>
      </c>
      <c r="BA137" s="13"/>
      <c r="BB137" s="13" t="s">
        <v>84</v>
      </c>
      <c r="BC137" s="13" t="s">
        <v>80</v>
      </c>
      <c r="BD137" s="13" t="s">
        <v>93</v>
      </c>
      <c r="BE137" s="13" t="s">
        <v>113</v>
      </c>
      <c r="BF137" s="13" t="s">
        <v>112</v>
      </c>
      <c r="BG137" s="13" t="s">
        <v>84</v>
      </c>
      <c r="BH137" s="13" t="s">
        <v>84</v>
      </c>
      <c r="BI137" s="13" t="s">
        <v>2506</v>
      </c>
      <c r="BJ137" s="13" t="s">
        <v>84</v>
      </c>
      <c r="BK137" s="13" t="s">
        <v>80</v>
      </c>
      <c r="BL137" s="13">
        <v>1</v>
      </c>
      <c r="BM137" s="13">
        <v>1</v>
      </c>
      <c r="BN137" s="13">
        <v>1</v>
      </c>
      <c r="BO137" s="13">
        <v>1</v>
      </c>
      <c r="BP137" s="13">
        <v>1</v>
      </c>
      <c r="BQ137" s="13">
        <v>1</v>
      </c>
      <c r="BR137" s="58"/>
      <c r="BS137" s="13" t="s">
        <v>99</v>
      </c>
      <c r="BT137" s="13"/>
      <c r="BU137" s="13"/>
      <c r="BV137" s="13"/>
      <c r="BW137" s="58"/>
      <c r="BX137" s="13" t="s">
        <v>82</v>
      </c>
      <c r="BY137" s="13"/>
      <c r="BZ137" s="13" t="s">
        <v>84</v>
      </c>
      <c r="CA137" s="13"/>
      <c r="CB137" s="13" t="s">
        <v>84</v>
      </c>
      <c r="CC137" s="13"/>
      <c r="CD137" s="13" t="s">
        <v>82</v>
      </c>
      <c r="CE137" s="13"/>
      <c r="CF137" s="13"/>
      <c r="CG137" s="13"/>
      <c r="CH137" s="58"/>
      <c r="CI137" s="13" t="s">
        <v>84</v>
      </c>
      <c r="CJ137" s="13" t="s">
        <v>2507</v>
      </c>
      <c r="CK137" s="13" t="s">
        <v>82</v>
      </c>
      <c r="CL137" s="13"/>
      <c r="CM137" s="13" t="s">
        <v>82</v>
      </c>
      <c r="CN137" s="13"/>
      <c r="CO137" s="13"/>
      <c r="CP137" s="13"/>
      <c r="CQ137" s="13" t="s">
        <v>99</v>
      </c>
      <c r="CR137" s="13" t="s">
        <v>80</v>
      </c>
      <c r="CS137" s="13" t="s">
        <v>99</v>
      </c>
      <c r="CT137" s="13" t="s">
        <v>2508</v>
      </c>
      <c r="CU137" s="13"/>
      <c r="CV137" s="13"/>
      <c r="CW137" s="13" t="s">
        <v>84</v>
      </c>
      <c r="CX137" s="13"/>
      <c r="CY137" s="13"/>
      <c r="CZ137" s="13"/>
      <c r="DA137" s="13" t="s">
        <v>84</v>
      </c>
      <c r="DB137" s="13" t="s">
        <v>2509</v>
      </c>
      <c r="DC137" s="13" t="s">
        <v>84</v>
      </c>
      <c r="DD137" s="13" t="s">
        <v>84</v>
      </c>
      <c r="DE137" s="58"/>
      <c r="DF137" s="58"/>
      <c r="DG137" s="13">
        <v>1</v>
      </c>
      <c r="DH137" s="13">
        <v>3</v>
      </c>
      <c r="DI137" s="13">
        <v>1</v>
      </c>
      <c r="DJ137" s="13">
        <v>3</v>
      </c>
      <c r="DK137" s="13">
        <v>1</v>
      </c>
      <c r="DL137" s="13">
        <v>3</v>
      </c>
      <c r="DM137" s="13">
        <v>1</v>
      </c>
      <c r="DN137" s="13">
        <v>3</v>
      </c>
      <c r="DO137" s="13">
        <v>1</v>
      </c>
      <c r="DP137" s="13">
        <v>3</v>
      </c>
      <c r="DQ137" s="13">
        <v>1</v>
      </c>
      <c r="DR137" s="13">
        <v>3</v>
      </c>
      <c r="DS137" s="13" t="s">
        <v>99</v>
      </c>
      <c r="DT137" s="13" t="s">
        <v>84</v>
      </c>
      <c r="DU137" s="13"/>
      <c r="DV137" s="13" t="s">
        <v>84</v>
      </c>
      <c r="DW137" s="13" t="s">
        <v>113</v>
      </c>
      <c r="DX137" s="13" t="s">
        <v>81</v>
      </c>
      <c r="DY137" s="13" t="s">
        <v>2510</v>
      </c>
      <c r="DZ137" s="13" t="s">
        <v>93</v>
      </c>
      <c r="EA137" s="13" t="s">
        <v>2511</v>
      </c>
      <c r="EB137" s="13" t="s">
        <v>84</v>
      </c>
      <c r="EC137" s="13"/>
      <c r="ED137" s="13"/>
      <c r="EE137" s="13"/>
      <c r="EF137" s="13" t="s">
        <v>82</v>
      </c>
      <c r="EG137" s="13" t="s">
        <v>84</v>
      </c>
      <c r="EH137" s="13" t="s">
        <v>84</v>
      </c>
      <c r="EI137" s="13" t="s">
        <v>2512</v>
      </c>
      <c r="EJ137" s="13" t="s">
        <v>2513</v>
      </c>
      <c r="EK137" s="13" t="s">
        <v>2514</v>
      </c>
      <c r="EL137" s="13" t="s">
        <v>2515</v>
      </c>
      <c r="EM137" s="9">
        <v>2145.1799999999998</v>
      </c>
      <c r="EN137" s="9">
        <v>69.010000000000005</v>
      </c>
      <c r="EQ137" s="9">
        <v>245.9</v>
      </c>
      <c r="EW137" s="9">
        <v>138.05000000000001</v>
      </c>
      <c r="FF137" s="9">
        <v>385.08</v>
      </c>
      <c r="FJ137" s="9">
        <v>28.76</v>
      </c>
      <c r="FP137" s="9">
        <v>56.01</v>
      </c>
      <c r="FV137" s="9">
        <v>253.13</v>
      </c>
      <c r="GC137" s="9">
        <v>305</v>
      </c>
      <c r="GT137" s="9">
        <v>25.77</v>
      </c>
      <c r="GX137" s="9">
        <v>94.92</v>
      </c>
      <c r="HB137" s="9">
        <v>543.54999999999995</v>
      </c>
      <c r="HQ137" s="62">
        <f t="shared" si="10"/>
        <v>2145.1799999999998</v>
      </c>
      <c r="HR137" s="62">
        <f t="shared" si="8"/>
        <v>35.753</v>
      </c>
    </row>
    <row r="138" spans="1:226" s="32" customFormat="1" ht="12.75" x14ac:dyDescent="0.2">
      <c r="A138" s="33">
        <v>197</v>
      </c>
      <c r="B138" s="32">
        <v>195</v>
      </c>
      <c r="D138" s="32">
        <v>10</v>
      </c>
      <c r="E138" s="32" t="s">
        <v>79</v>
      </c>
      <c r="F138" s="32">
        <v>394801048</v>
      </c>
      <c r="G138" s="32" t="s">
        <v>81</v>
      </c>
      <c r="H138" s="32" t="s">
        <v>84</v>
      </c>
      <c r="I138" s="32" t="s">
        <v>107</v>
      </c>
      <c r="K138" s="58"/>
      <c r="L138" s="58"/>
      <c r="M138" s="32" t="s">
        <v>1319</v>
      </c>
      <c r="N138" s="32" t="s">
        <v>618</v>
      </c>
      <c r="P138" s="32" t="s">
        <v>253</v>
      </c>
      <c r="Q138" s="32" t="s">
        <v>1358</v>
      </c>
      <c r="R138" s="58"/>
      <c r="S138" s="32" t="s">
        <v>84</v>
      </c>
      <c r="T138" s="32" t="s">
        <v>84</v>
      </c>
      <c r="U138" s="32" t="s">
        <v>84</v>
      </c>
      <c r="V138" s="32" t="s">
        <v>84</v>
      </c>
      <c r="W138" s="32" t="s">
        <v>82</v>
      </c>
      <c r="X138" s="32" t="s">
        <v>82</v>
      </c>
      <c r="Y138" s="32" t="s">
        <v>82</v>
      </c>
      <c r="Z138" s="32" t="s">
        <v>82</v>
      </c>
      <c r="AB138" s="32" t="s">
        <v>82</v>
      </c>
      <c r="AD138" s="32" t="s">
        <v>82</v>
      </c>
      <c r="AG138" s="32" t="s">
        <v>82</v>
      </c>
      <c r="AH138" s="32" t="s">
        <v>2516</v>
      </c>
      <c r="AI138" s="32" t="s">
        <v>84</v>
      </c>
      <c r="AK138" s="32" t="s">
        <v>2517</v>
      </c>
      <c r="AL138" s="32" t="s">
        <v>140</v>
      </c>
      <c r="AM138" s="32" t="s">
        <v>91</v>
      </c>
      <c r="AO138" s="32" t="s">
        <v>80</v>
      </c>
      <c r="AP138" s="58"/>
      <c r="AQ138" s="32" t="s">
        <v>80</v>
      </c>
      <c r="AR138" s="32" t="s">
        <v>80</v>
      </c>
      <c r="AS138" s="32" t="s">
        <v>80</v>
      </c>
      <c r="AT138" s="32" t="s">
        <v>80</v>
      </c>
      <c r="AV138" s="58"/>
      <c r="AW138" s="32" t="s">
        <v>84</v>
      </c>
      <c r="AX138" s="32" t="s">
        <v>84</v>
      </c>
      <c r="AY138" s="32" t="s">
        <v>84</v>
      </c>
      <c r="AZ138" s="32" t="s">
        <v>84</v>
      </c>
      <c r="BB138" s="32" t="s">
        <v>84</v>
      </c>
      <c r="BC138" s="32" t="s">
        <v>80</v>
      </c>
      <c r="BD138" s="32" t="s">
        <v>93</v>
      </c>
      <c r="BE138" s="32" t="s">
        <v>93</v>
      </c>
      <c r="BF138" s="32" t="s">
        <v>112</v>
      </c>
      <c r="BG138" s="32" t="s">
        <v>84</v>
      </c>
      <c r="BH138" s="32" t="s">
        <v>82</v>
      </c>
      <c r="BJ138" s="32" t="s">
        <v>84</v>
      </c>
      <c r="BK138" s="32" t="s">
        <v>80</v>
      </c>
      <c r="BL138" s="32">
        <v>2</v>
      </c>
      <c r="BM138" s="32">
        <v>2</v>
      </c>
      <c r="BN138" s="32">
        <v>1</v>
      </c>
      <c r="BO138" s="32">
        <v>1</v>
      </c>
      <c r="BP138" s="32">
        <v>2</v>
      </c>
      <c r="BQ138" s="32">
        <v>2</v>
      </c>
      <c r="BR138" s="58"/>
      <c r="BS138" s="32" t="s">
        <v>118</v>
      </c>
      <c r="BW138" s="58"/>
      <c r="BX138" s="32" t="s">
        <v>82</v>
      </c>
      <c r="BZ138" s="32" t="s">
        <v>84</v>
      </c>
      <c r="CB138" s="32" t="s">
        <v>82</v>
      </c>
      <c r="CD138" s="32" t="s">
        <v>82</v>
      </c>
      <c r="CH138" s="58"/>
      <c r="CI138" s="32" t="s">
        <v>84</v>
      </c>
      <c r="CK138" s="32" t="s">
        <v>84</v>
      </c>
      <c r="CM138" s="32" t="s">
        <v>84</v>
      </c>
      <c r="CQ138" s="32" t="s">
        <v>118</v>
      </c>
      <c r="CR138" s="32" t="s">
        <v>84</v>
      </c>
      <c r="CS138" s="32" t="s">
        <v>1312</v>
      </c>
      <c r="CU138" s="32" t="s">
        <v>81</v>
      </c>
      <c r="CW138" s="32" t="s">
        <v>82</v>
      </c>
      <c r="CY138" s="32" t="s">
        <v>81</v>
      </c>
      <c r="DA138" s="32" t="s">
        <v>82</v>
      </c>
      <c r="DC138" s="32" t="s">
        <v>84</v>
      </c>
      <c r="DD138" s="32" t="s">
        <v>84</v>
      </c>
      <c r="DE138" s="58"/>
      <c r="DF138" s="58"/>
      <c r="DG138" s="32">
        <v>1</v>
      </c>
      <c r="DH138" s="32">
        <v>1</v>
      </c>
      <c r="DI138" s="32">
        <v>2</v>
      </c>
      <c r="DJ138" s="32">
        <v>1</v>
      </c>
      <c r="DK138" s="32">
        <v>4</v>
      </c>
      <c r="DL138" s="32">
        <v>3</v>
      </c>
      <c r="DM138" s="32">
        <v>3</v>
      </c>
      <c r="DN138" s="32">
        <v>3</v>
      </c>
      <c r="DO138" s="32">
        <v>4</v>
      </c>
      <c r="DP138" s="32">
        <v>3</v>
      </c>
      <c r="DQ138" s="32">
        <v>2</v>
      </c>
      <c r="DR138" s="32">
        <v>2</v>
      </c>
      <c r="DS138" s="32" t="s">
        <v>118</v>
      </c>
      <c r="DT138" s="32" t="s">
        <v>84</v>
      </c>
      <c r="DV138" s="32" t="s">
        <v>84</v>
      </c>
      <c r="DW138" s="32" t="s">
        <v>93</v>
      </c>
      <c r="DX138" s="32" t="s">
        <v>81</v>
      </c>
      <c r="DY138" s="32" t="s">
        <v>2518</v>
      </c>
      <c r="EB138" s="32" t="s">
        <v>80</v>
      </c>
      <c r="EF138" s="32" t="s">
        <v>80</v>
      </c>
      <c r="EG138" s="32" t="s">
        <v>80</v>
      </c>
      <c r="EH138" s="32" t="s">
        <v>80</v>
      </c>
      <c r="EM138" s="32">
        <v>2456.91</v>
      </c>
      <c r="EN138" s="32">
        <v>41.2</v>
      </c>
      <c r="EQ138" s="32">
        <v>75.97</v>
      </c>
      <c r="EW138" s="32">
        <v>1589.9</v>
      </c>
      <c r="FF138" s="32">
        <v>148.94999999999999</v>
      </c>
      <c r="FJ138" s="32">
        <v>43.82</v>
      </c>
      <c r="FP138" s="32">
        <v>49.27</v>
      </c>
      <c r="FV138" s="32">
        <v>133.56</v>
      </c>
      <c r="GC138" s="32">
        <v>285.91000000000003</v>
      </c>
      <c r="GT138" s="32">
        <v>22.48</v>
      </c>
      <c r="GX138" s="32">
        <v>65.849999999999994</v>
      </c>
      <c r="HQ138" s="63">
        <f t="shared" si="10"/>
        <v>2456.91</v>
      </c>
      <c r="HR138" s="63"/>
    </row>
    <row r="139" spans="1:226" s="32" customFormat="1" ht="12.75" x14ac:dyDescent="0.2">
      <c r="A139" s="33">
        <v>198</v>
      </c>
      <c r="B139" s="32">
        <v>197</v>
      </c>
      <c r="D139" s="32">
        <v>6</v>
      </c>
      <c r="E139" s="32" t="s">
        <v>79</v>
      </c>
      <c r="F139" s="32">
        <v>1258316308</v>
      </c>
      <c r="G139" s="32" t="s">
        <v>81</v>
      </c>
      <c r="H139" s="32" t="s">
        <v>84</v>
      </c>
      <c r="I139" s="32" t="s">
        <v>107</v>
      </c>
      <c r="K139" s="58"/>
      <c r="L139" s="58"/>
      <c r="M139" s="32" t="s">
        <v>1294</v>
      </c>
      <c r="N139" s="32" t="s">
        <v>108</v>
      </c>
      <c r="P139" s="32" t="s">
        <v>253</v>
      </c>
      <c r="Q139" s="32" t="s">
        <v>1375</v>
      </c>
      <c r="R139" s="58"/>
      <c r="S139" s="32" t="s">
        <v>84</v>
      </c>
      <c r="T139" s="32" t="s">
        <v>84</v>
      </c>
      <c r="U139" s="32" t="s">
        <v>82</v>
      </c>
      <c r="V139" s="32" t="s">
        <v>82</v>
      </c>
      <c r="W139" s="32" t="s">
        <v>84</v>
      </c>
      <c r="X139" s="32" t="s">
        <v>84</v>
      </c>
      <c r="Y139" s="32" t="s">
        <v>84</v>
      </c>
      <c r="Z139" s="32" t="s">
        <v>84</v>
      </c>
      <c r="AB139" s="32" t="s">
        <v>84</v>
      </c>
      <c r="AC139" s="32" t="s">
        <v>2519</v>
      </c>
      <c r="AD139" s="32" t="s">
        <v>84</v>
      </c>
      <c r="AE139" s="32" t="s">
        <v>2126</v>
      </c>
      <c r="AF139" s="32" t="s">
        <v>2520</v>
      </c>
      <c r="AG139" s="32" t="s">
        <v>80</v>
      </c>
      <c r="AI139" s="32" t="s">
        <v>84</v>
      </c>
      <c r="AK139" s="32" t="s">
        <v>2521</v>
      </c>
      <c r="AL139" s="32" t="s">
        <v>126</v>
      </c>
      <c r="AM139" s="32" t="s">
        <v>91</v>
      </c>
      <c r="AO139" s="32" t="s">
        <v>80</v>
      </c>
      <c r="AP139" s="58"/>
      <c r="AQ139" s="32" t="s">
        <v>80</v>
      </c>
      <c r="AR139" s="32" t="s">
        <v>80</v>
      </c>
      <c r="AS139" s="32" t="s">
        <v>80</v>
      </c>
      <c r="AT139" s="32" t="s">
        <v>80</v>
      </c>
      <c r="AV139" s="58"/>
      <c r="AW139" s="32" t="s">
        <v>84</v>
      </c>
      <c r="AX139" s="32" t="s">
        <v>82</v>
      </c>
      <c r="AY139" s="32" t="s">
        <v>84</v>
      </c>
      <c r="AZ139" s="32" t="s">
        <v>84</v>
      </c>
      <c r="BB139" s="32" t="s">
        <v>84</v>
      </c>
      <c r="BC139" s="32" t="s">
        <v>80</v>
      </c>
      <c r="BD139" s="32" t="s">
        <v>93</v>
      </c>
      <c r="BE139" s="32" t="s">
        <v>113</v>
      </c>
      <c r="BF139" s="32" t="s">
        <v>93</v>
      </c>
      <c r="BH139" s="32" t="s">
        <v>80</v>
      </c>
      <c r="BJ139" s="32" t="s">
        <v>80</v>
      </c>
      <c r="BK139" s="32" t="s">
        <v>80</v>
      </c>
      <c r="BR139" s="58"/>
      <c r="BW139" s="58"/>
      <c r="BX139" s="32" t="s">
        <v>80</v>
      </c>
      <c r="BZ139" s="32" t="s">
        <v>80</v>
      </c>
      <c r="CB139" s="32" t="s">
        <v>80</v>
      </c>
      <c r="CD139" s="32" t="s">
        <v>80</v>
      </c>
      <c r="CH139" s="58"/>
      <c r="CI139" s="32" t="s">
        <v>80</v>
      </c>
      <c r="CK139" s="32" t="s">
        <v>80</v>
      </c>
      <c r="CM139" s="32" t="s">
        <v>80</v>
      </c>
      <c r="CR139" s="32" t="s">
        <v>80</v>
      </c>
      <c r="CW139" s="32" t="s">
        <v>80</v>
      </c>
      <c r="DA139" s="32" t="s">
        <v>80</v>
      </c>
      <c r="DC139" s="32" t="s">
        <v>80</v>
      </c>
      <c r="DD139" s="32" t="s">
        <v>80</v>
      </c>
      <c r="DE139" s="58"/>
      <c r="DF139" s="58"/>
      <c r="DV139" s="32" t="s">
        <v>80</v>
      </c>
      <c r="EB139" s="32" t="s">
        <v>80</v>
      </c>
      <c r="EF139" s="32" t="s">
        <v>80</v>
      </c>
      <c r="EG139" s="32" t="s">
        <v>80</v>
      </c>
      <c r="EH139" s="32" t="s">
        <v>80</v>
      </c>
      <c r="EM139" s="32">
        <v>197.01</v>
      </c>
      <c r="EN139" s="32">
        <v>22.49</v>
      </c>
      <c r="EQ139" s="32">
        <v>45.46</v>
      </c>
      <c r="EW139" s="32">
        <v>73.45</v>
      </c>
      <c r="FF139" s="32">
        <v>22.32</v>
      </c>
      <c r="FJ139" s="32">
        <v>11.13</v>
      </c>
      <c r="FP139" s="32">
        <v>22.16</v>
      </c>
      <c r="HQ139" s="63">
        <f t="shared" si="10"/>
        <v>197.01</v>
      </c>
      <c r="HR139" s="63"/>
    </row>
    <row r="140" spans="1:226" s="9" customFormat="1" ht="12.75" x14ac:dyDescent="0.2">
      <c r="A140" s="11">
        <v>199</v>
      </c>
      <c r="B140" s="9">
        <v>198</v>
      </c>
      <c r="C140" s="9" t="s">
        <v>83</v>
      </c>
      <c r="D140" s="9">
        <v>11</v>
      </c>
      <c r="E140" s="9" t="s">
        <v>79</v>
      </c>
      <c r="F140" s="9">
        <v>2083444919</v>
      </c>
      <c r="G140" s="9" t="s">
        <v>81</v>
      </c>
      <c r="H140" s="9" t="s">
        <v>84</v>
      </c>
      <c r="I140" s="13" t="s">
        <v>161</v>
      </c>
      <c r="J140" s="13"/>
      <c r="K140" s="58"/>
      <c r="L140" s="58"/>
      <c r="M140" s="13" t="s">
        <v>1294</v>
      </c>
      <c r="N140" s="13" t="s">
        <v>618</v>
      </c>
      <c r="O140" s="13"/>
      <c r="P140" s="13" t="s">
        <v>87</v>
      </c>
      <c r="Q140" s="13" t="s">
        <v>1296</v>
      </c>
      <c r="R140" s="58"/>
      <c r="S140" s="13" t="s">
        <v>84</v>
      </c>
      <c r="T140" s="13" t="s">
        <v>84</v>
      </c>
      <c r="U140" s="13" t="s">
        <v>84</v>
      </c>
      <c r="V140" s="13" t="s">
        <v>82</v>
      </c>
      <c r="W140" s="13" t="s">
        <v>82</v>
      </c>
      <c r="X140" s="13" t="s">
        <v>82</v>
      </c>
      <c r="Y140" s="13" t="s">
        <v>82</v>
      </c>
      <c r="Z140" s="13" t="s">
        <v>82</v>
      </c>
      <c r="AA140" s="13"/>
      <c r="AB140" s="13" t="s">
        <v>82</v>
      </c>
      <c r="AC140" s="13"/>
      <c r="AD140" s="13" t="s">
        <v>82</v>
      </c>
      <c r="AE140" s="13"/>
      <c r="AF140" s="13"/>
      <c r="AG140" s="13" t="s">
        <v>84</v>
      </c>
      <c r="AH140" s="13" t="s">
        <v>2522</v>
      </c>
      <c r="AI140" s="13" t="s">
        <v>82</v>
      </c>
      <c r="AJ140" s="13"/>
      <c r="AK140" s="13"/>
      <c r="AL140" s="13" t="s">
        <v>126</v>
      </c>
      <c r="AM140" s="13" t="s">
        <v>91</v>
      </c>
      <c r="AN140" s="13"/>
      <c r="AO140" s="13" t="s">
        <v>80</v>
      </c>
      <c r="AP140" s="58"/>
      <c r="AQ140" s="13" t="s">
        <v>80</v>
      </c>
      <c r="AR140" s="13" t="s">
        <v>80</v>
      </c>
      <c r="AS140" s="13" t="s">
        <v>80</v>
      </c>
      <c r="AT140" s="13" t="s">
        <v>80</v>
      </c>
      <c r="AU140" s="13"/>
      <c r="AV140" s="58"/>
      <c r="AW140" s="13" t="s">
        <v>84</v>
      </c>
      <c r="AX140" s="13" t="s">
        <v>82</v>
      </c>
      <c r="AY140" s="13" t="s">
        <v>82</v>
      </c>
      <c r="AZ140" s="13" t="s">
        <v>84</v>
      </c>
      <c r="BA140" s="13"/>
      <c r="BB140" s="13" t="s">
        <v>84</v>
      </c>
      <c r="BC140" s="13" t="s">
        <v>80</v>
      </c>
      <c r="BD140" s="13" t="s">
        <v>93</v>
      </c>
      <c r="BE140" s="13" t="s">
        <v>93</v>
      </c>
      <c r="BF140" s="13" t="s">
        <v>112</v>
      </c>
      <c r="BG140" s="13" t="s">
        <v>84</v>
      </c>
      <c r="BH140" s="13" t="s">
        <v>84</v>
      </c>
      <c r="BI140" s="13" t="s">
        <v>2523</v>
      </c>
      <c r="BJ140" s="13" t="s">
        <v>84</v>
      </c>
      <c r="BK140" s="13" t="s">
        <v>80</v>
      </c>
      <c r="BL140" s="13">
        <v>1</v>
      </c>
      <c r="BM140" s="13">
        <v>1</v>
      </c>
      <c r="BN140" s="13">
        <v>1</v>
      </c>
      <c r="BO140" s="13">
        <v>1</v>
      </c>
      <c r="BP140" s="13">
        <v>2</v>
      </c>
      <c r="BQ140" s="13">
        <v>2</v>
      </c>
      <c r="BR140" s="58"/>
      <c r="BS140" s="13" t="s">
        <v>99</v>
      </c>
      <c r="BT140" s="13"/>
      <c r="BU140" s="13"/>
      <c r="BV140" s="13"/>
      <c r="BW140" s="58"/>
      <c r="BX140" s="13" t="s">
        <v>82</v>
      </c>
      <c r="BY140" s="13"/>
      <c r="BZ140" s="13" t="s">
        <v>82</v>
      </c>
      <c r="CA140" s="13"/>
      <c r="CB140" s="13" t="s">
        <v>84</v>
      </c>
      <c r="CC140" s="13"/>
      <c r="CD140" s="13" t="s">
        <v>84</v>
      </c>
      <c r="CE140" s="13"/>
      <c r="CF140" s="13"/>
      <c r="CG140" s="13"/>
      <c r="CH140" s="58"/>
      <c r="CI140" s="13" t="s">
        <v>84</v>
      </c>
      <c r="CJ140" s="13"/>
      <c r="CK140" s="13" t="s">
        <v>84</v>
      </c>
      <c r="CL140" s="13"/>
      <c r="CM140" s="13" t="s">
        <v>82</v>
      </c>
      <c r="CN140" s="13"/>
      <c r="CO140" s="13"/>
      <c r="CP140" s="13"/>
      <c r="CQ140" s="13" t="s">
        <v>99</v>
      </c>
      <c r="CR140" s="13" t="s">
        <v>80</v>
      </c>
      <c r="CS140" s="13" t="s">
        <v>99</v>
      </c>
      <c r="CT140" s="13"/>
      <c r="CU140" s="13"/>
      <c r="CV140" s="13"/>
      <c r="CW140" s="13" t="s">
        <v>84</v>
      </c>
      <c r="CX140" s="13"/>
      <c r="CY140" s="13"/>
      <c r="CZ140" s="13"/>
      <c r="DA140" s="13" t="s">
        <v>84</v>
      </c>
      <c r="DB140" s="13"/>
      <c r="DC140" s="13" t="s">
        <v>84</v>
      </c>
      <c r="DD140" s="13" t="s">
        <v>84</v>
      </c>
      <c r="DE140" s="58"/>
      <c r="DF140" s="58"/>
      <c r="DG140" s="13">
        <v>1</v>
      </c>
      <c r="DH140" s="13">
        <v>1</v>
      </c>
      <c r="DI140" s="13">
        <v>1</v>
      </c>
      <c r="DJ140" s="13">
        <v>1</v>
      </c>
      <c r="DK140" s="13">
        <v>3</v>
      </c>
      <c r="DL140" s="13">
        <v>3</v>
      </c>
      <c r="DM140" s="13">
        <v>1</v>
      </c>
      <c r="DN140" s="13">
        <v>1</v>
      </c>
      <c r="DO140" s="13">
        <v>2</v>
      </c>
      <c r="DP140" s="13">
        <v>2</v>
      </c>
      <c r="DQ140" s="13">
        <v>1</v>
      </c>
      <c r="DR140" s="13">
        <v>1</v>
      </c>
      <c r="DS140" s="13" t="s">
        <v>99</v>
      </c>
      <c r="DT140" s="13" t="s">
        <v>84</v>
      </c>
      <c r="DU140" s="13"/>
      <c r="DV140" s="13" t="s">
        <v>84</v>
      </c>
      <c r="DW140" s="13" t="s">
        <v>93</v>
      </c>
      <c r="DX140" s="13" t="s">
        <v>81</v>
      </c>
      <c r="DY140" s="13"/>
      <c r="DZ140" s="13" t="s">
        <v>113</v>
      </c>
      <c r="EA140" s="13" t="s">
        <v>2524</v>
      </c>
      <c r="EB140" s="13" t="s">
        <v>82</v>
      </c>
      <c r="EC140" s="13"/>
      <c r="ED140" s="13" t="s">
        <v>246</v>
      </c>
      <c r="EE140" s="13"/>
      <c r="EF140" s="13" t="s">
        <v>82</v>
      </c>
      <c r="EG140" s="13" t="s">
        <v>82</v>
      </c>
      <c r="EH140" s="13" t="s">
        <v>82</v>
      </c>
      <c r="EI140" s="13"/>
      <c r="EJ140" s="13"/>
      <c r="EK140" s="13"/>
      <c r="EL140" s="13"/>
      <c r="EM140" s="9">
        <v>787.99</v>
      </c>
      <c r="EN140" s="9">
        <v>30.51</v>
      </c>
      <c r="EQ140" s="9">
        <v>45.85</v>
      </c>
      <c r="EW140" s="9">
        <v>115.34</v>
      </c>
      <c r="FF140" s="9">
        <v>22.42</v>
      </c>
      <c r="FJ140" s="9">
        <v>13.38</v>
      </c>
      <c r="FP140" s="9">
        <v>55.81</v>
      </c>
      <c r="FV140" s="9">
        <v>141.06</v>
      </c>
      <c r="GC140" s="9">
        <v>180.37</v>
      </c>
      <c r="GT140" s="9">
        <v>12.62</v>
      </c>
      <c r="GX140" s="9">
        <v>27.47</v>
      </c>
      <c r="HB140" s="9">
        <v>143.16</v>
      </c>
      <c r="HQ140" s="62">
        <f t="shared" si="10"/>
        <v>787.99</v>
      </c>
      <c r="HR140" s="62">
        <f t="shared" ref="HR140:HR146" si="11">HQ140/60</f>
        <v>13.133166666666666</v>
      </c>
    </row>
    <row r="141" spans="1:226" s="9" customFormat="1" ht="12.75" x14ac:dyDescent="0.2">
      <c r="A141" s="11">
        <v>200</v>
      </c>
      <c r="B141" s="9">
        <v>199</v>
      </c>
      <c r="C141" s="9" t="s">
        <v>83</v>
      </c>
      <c r="D141" s="9">
        <v>11</v>
      </c>
      <c r="E141" s="9" t="s">
        <v>79</v>
      </c>
      <c r="F141" s="9">
        <v>1354861827</v>
      </c>
      <c r="G141" s="9" t="s">
        <v>81</v>
      </c>
      <c r="H141" s="9" t="s">
        <v>84</v>
      </c>
      <c r="I141" s="13" t="s">
        <v>324</v>
      </c>
      <c r="J141" s="13"/>
      <c r="K141" s="58"/>
      <c r="L141" s="58"/>
      <c r="M141" s="13" t="s">
        <v>1294</v>
      </c>
      <c r="N141" s="13" t="s">
        <v>618</v>
      </c>
      <c r="O141" s="13"/>
      <c r="P141" s="13" t="s">
        <v>290</v>
      </c>
      <c r="Q141" s="13" t="s">
        <v>1358</v>
      </c>
      <c r="R141" s="58"/>
      <c r="S141" s="13" t="s">
        <v>84</v>
      </c>
      <c r="T141" s="13" t="s">
        <v>84</v>
      </c>
      <c r="U141" s="13" t="s">
        <v>84</v>
      </c>
      <c r="V141" s="13" t="s">
        <v>84</v>
      </c>
      <c r="W141" s="13" t="s">
        <v>84</v>
      </c>
      <c r="X141" s="13" t="s">
        <v>84</v>
      </c>
      <c r="Y141" s="13" t="s">
        <v>84</v>
      </c>
      <c r="Z141" s="13" t="s">
        <v>82</v>
      </c>
      <c r="AA141" s="13"/>
      <c r="AB141" s="13" t="s">
        <v>82</v>
      </c>
      <c r="AC141" s="13"/>
      <c r="AD141" s="13" t="s">
        <v>84</v>
      </c>
      <c r="AE141" s="13" t="s">
        <v>2525</v>
      </c>
      <c r="AF141" s="13" t="s">
        <v>2526</v>
      </c>
      <c r="AG141" s="13" t="s">
        <v>80</v>
      </c>
      <c r="AH141" s="13"/>
      <c r="AI141" s="13" t="s">
        <v>84</v>
      </c>
      <c r="AJ141" s="13" t="s">
        <v>2527</v>
      </c>
      <c r="AK141" s="13" t="s">
        <v>2528</v>
      </c>
      <c r="AL141" s="13" t="s">
        <v>140</v>
      </c>
      <c r="AM141" s="13" t="s">
        <v>111</v>
      </c>
      <c r="AN141" s="13"/>
      <c r="AO141" s="13" t="s">
        <v>80</v>
      </c>
      <c r="AP141" s="58"/>
      <c r="AQ141" s="13" t="s">
        <v>84</v>
      </c>
      <c r="AR141" s="13" t="s">
        <v>84</v>
      </c>
      <c r="AS141" s="13" t="s">
        <v>84</v>
      </c>
      <c r="AT141" s="13" t="s">
        <v>84</v>
      </c>
      <c r="AU141" s="13"/>
      <c r="AV141" s="58"/>
      <c r="AW141" s="13" t="s">
        <v>80</v>
      </c>
      <c r="AX141" s="13" t="s">
        <v>80</v>
      </c>
      <c r="AY141" s="13" t="s">
        <v>80</v>
      </c>
      <c r="AZ141" s="13" t="s">
        <v>80</v>
      </c>
      <c r="BA141" s="13"/>
      <c r="BB141" s="13" t="s">
        <v>84</v>
      </c>
      <c r="BC141" s="13" t="s">
        <v>80</v>
      </c>
      <c r="BD141" s="13" t="s">
        <v>93</v>
      </c>
      <c r="BE141" s="13" t="s">
        <v>113</v>
      </c>
      <c r="BF141" s="13" t="s">
        <v>113</v>
      </c>
      <c r="BG141" s="13" t="s">
        <v>84</v>
      </c>
      <c r="BH141" s="13" t="s">
        <v>84</v>
      </c>
      <c r="BI141" s="13" t="s">
        <v>2529</v>
      </c>
      <c r="BJ141" s="13" t="s">
        <v>84</v>
      </c>
      <c r="BK141" s="13" t="s">
        <v>80</v>
      </c>
      <c r="BL141" s="13">
        <v>5</v>
      </c>
      <c r="BM141" s="13">
        <v>5</v>
      </c>
      <c r="BN141" s="13">
        <v>1</v>
      </c>
      <c r="BO141" s="13">
        <v>1</v>
      </c>
      <c r="BP141" s="13">
        <v>5</v>
      </c>
      <c r="BQ141" s="13">
        <v>5</v>
      </c>
      <c r="BR141" s="58"/>
      <c r="BS141" s="13" t="s">
        <v>118</v>
      </c>
      <c r="BT141" s="13"/>
      <c r="BU141" s="13"/>
      <c r="BV141" s="13"/>
      <c r="BW141" s="58"/>
      <c r="BX141" s="13" t="s">
        <v>84</v>
      </c>
      <c r="BY141" s="13"/>
      <c r="BZ141" s="13" t="s">
        <v>84</v>
      </c>
      <c r="CA141" s="13"/>
      <c r="CB141" s="13" t="s">
        <v>82</v>
      </c>
      <c r="CC141" s="13"/>
      <c r="CD141" s="13" t="s">
        <v>84</v>
      </c>
      <c r="CE141" s="13" t="s">
        <v>2530</v>
      </c>
      <c r="CF141" s="13"/>
      <c r="CG141" s="13"/>
      <c r="CH141" s="58"/>
      <c r="CI141" s="13" t="s">
        <v>84</v>
      </c>
      <c r="CJ141" s="13" t="s">
        <v>2531</v>
      </c>
      <c r="CK141" s="13" t="s">
        <v>82</v>
      </c>
      <c r="CL141" s="13"/>
      <c r="CM141" s="13" t="s">
        <v>82</v>
      </c>
      <c r="CN141" s="13"/>
      <c r="CO141" s="13"/>
      <c r="CP141" s="13"/>
      <c r="CQ141" s="13" t="s">
        <v>99</v>
      </c>
      <c r="CR141" s="13" t="s">
        <v>80</v>
      </c>
      <c r="CS141" s="13" t="s">
        <v>1312</v>
      </c>
      <c r="CT141" s="13"/>
      <c r="CU141" s="13" t="s">
        <v>81</v>
      </c>
      <c r="CV141" s="13" t="s">
        <v>2532</v>
      </c>
      <c r="CW141" s="13" t="s">
        <v>82</v>
      </c>
      <c r="CX141" s="13"/>
      <c r="CY141" s="13" t="s">
        <v>81</v>
      </c>
      <c r="CZ141" s="13" t="s">
        <v>2533</v>
      </c>
      <c r="DA141" s="13" t="s">
        <v>82</v>
      </c>
      <c r="DB141" s="13"/>
      <c r="DC141" s="13" t="s">
        <v>84</v>
      </c>
      <c r="DD141" s="13" t="s">
        <v>82</v>
      </c>
      <c r="DE141" s="58"/>
      <c r="DF141" s="58"/>
      <c r="DG141" s="13">
        <v>5</v>
      </c>
      <c r="DH141" s="13">
        <v>5</v>
      </c>
      <c r="DI141" s="13">
        <v>5</v>
      </c>
      <c r="DJ141" s="13">
        <v>5</v>
      </c>
      <c r="DK141" s="13">
        <v>5</v>
      </c>
      <c r="DL141" s="13">
        <v>5</v>
      </c>
      <c r="DM141" s="13">
        <v>5</v>
      </c>
      <c r="DN141" s="13">
        <v>5</v>
      </c>
      <c r="DO141" s="13">
        <v>5</v>
      </c>
      <c r="DP141" s="13">
        <v>5</v>
      </c>
      <c r="DQ141" s="13">
        <v>1</v>
      </c>
      <c r="DR141" s="13">
        <v>3</v>
      </c>
      <c r="DS141" s="13" t="s">
        <v>99</v>
      </c>
      <c r="DT141" s="13" t="s">
        <v>84</v>
      </c>
      <c r="DU141" s="13"/>
      <c r="DV141" s="13" t="s">
        <v>84</v>
      </c>
      <c r="DW141" s="13" t="s">
        <v>113</v>
      </c>
      <c r="DX141" s="13" t="s">
        <v>81</v>
      </c>
      <c r="DY141" s="13" t="s">
        <v>2534</v>
      </c>
      <c r="DZ141" s="13" t="s">
        <v>113</v>
      </c>
      <c r="EA141" s="13" t="s">
        <v>2535</v>
      </c>
      <c r="EB141" s="13" t="s">
        <v>82</v>
      </c>
      <c r="EC141" s="13"/>
      <c r="ED141" s="13" t="s">
        <v>81</v>
      </c>
      <c r="EE141" s="13" t="s">
        <v>2536</v>
      </c>
      <c r="EF141" s="13" t="s">
        <v>82</v>
      </c>
      <c r="EG141" s="13" t="s">
        <v>84</v>
      </c>
      <c r="EH141" s="13" t="s">
        <v>82</v>
      </c>
      <c r="EI141" s="13"/>
      <c r="EJ141" s="13" t="s">
        <v>2537</v>
      </c>
      <c r="EK141" s="13" t="s">
        <v>2538</v>
      </c>
      <c r="EL141" s="13" t="s">
        <v>2539</v>
      </c>
      <c r="EM141" s="9">
        <v>3312.59</v>
      </c>
      <c r="EN141" s="9">
        <v>48.44</v>
      </c>
      <c r="EQ141" s="9">
        <v>95.46</v>
      </c>
      <c r="EW141" s="9">
        <v>110.03</v>
      </c>
      <c r="FF141" s="9">
        <v>146.94</v>
      </c>
      <c r="FJ141" s="9">
        <v>25.76</v>
      </c>
      <c r="FP141" s="9">
        <v>39.11</v>
      </c>
      <c r="FV141" s="9">
        <v>210.73</v>
      </c>
      <c r="GC141" s="9">
        <v>652.71</v>
      </c>
      <c r="GT141" s="9">
        <v>17.5</v>
      </c>
      <c r="GX141" s="9">
        <v>60.84</v>
      </c>
      <c r="HB141" s="9">
        <v>1905.07</v>
      </c>
      <c r="HQ141" s="62">
        <f t="shared" si="10"/>
        <v>3312.59</v>
      </c>
      <c r="HR141" s="62">
        <f t="shared" si="11"/>
        <v>55.209833333333336</v>
      </c>
    </row>
    <row r="142" spans="1:226" s="9" customFormat="1" ht="12.75" x14ac:dyDescent="0.2">
      <c r="A142" s="11">
        <v>201</v>
      </c>
      <c r="B142" s="9">
        <v>200</v>
      </c>
      <c r="C142" s="9" t="s">
        <v>83</v>
      </c>
      <c r="D142" s="9">
        <v>11</v>
      </c>
      <c r="E142" s="9" t="s">
        <v>79</v>
      </c>
      <c r="F142" s="9">
        <v>868439190</v>
      </c>
      <c r="G142" s="9" t="s">
        <v>81</v>
      </c>
      <c r="H142" s="9" t="s">
        <v>84</v>
      </c>
      <c r="I142" s="13" t="s">
        <v>309</v>
      </c>
      <c r="J142" s="13"/>
      <c r="K142" s="58"/>
      <c r="L142" s="58"/>
      <c r="M142" s="13" t="s">
        <v>1319</v>
      </c>
      <c r="N142" s="13" t="s">
        <v>86</v>
      </c>
      <c r="O142" s="13"/>
      <c r="P142" s="13" t="s">
        <v>87</v>
      </c>
      <c r="Q142" s="13" t="s">
        <v>1296</v>
      </c>
      <c r="R142" s="58"/>
      <c r="S142" s="13" t="s">
        <v>84</v>
      </c>
      <c r="T142" s="13" t="s">
        <v>84</v>
      </c>
      <c r="U142" s="13" t="s">
        <v>84</v>
      </c>
      <c r="V142" s="13" t="s">
        <v>84</v>
      </c>
      <c r="W142" s="13" t="s">
        <v>82</v>
      </c>
      <c r="X142" s="13" t="s">
        <v>82</v>
      </c>
      <c r="Y142" s="13" t="s">
        <v>84</v>
      </c>
      <c r="Z142" s="13" t="s">
        <v>82</v>
      </c>
      <c r="AA142" s="13"/>
      <c r="AB142" s="13" t="s">
        <v>82</v>
      </c>
      <c r="AC142" s="13"/>
      <c r="AD142" s="13" t="s">
        <v>82</v>
      </c>
      <c r="AE142" s="13"/>
      <c r="AF142" s="13"/>
      <c r="AG142" s="13" t="s">
        <v>82</v>
      </c>
      <c r="AH142" s="13"/>
      <c r="AI142" s="13" t="s">
        <v>84</v>
      </c>
      <c r="AJ142" s="13"/>
      <c r="AK142" s="13" t="s">
        <v>2540</v>
      </c>
      <c r="AL142" s="13" t="s">
        <v>126</v>
      </c>
      <c r="AM142" s="13" t="s">
        <v>91</v>
      </c>
      <c r="AN142" s="13"/>
      <c r="AO142" s="13" t="s">
        <v>80</v>
      </c>
      <c r="AP142" s="58"/>
      <c r="AQ142" s="13" t="s">
        <v>80</v>
      </c>
      <c r="AR142" s="13" t="s">
        <v>80</v>
      </c>
      <c r="AS142" s="13" t="s">
        <v>80</v>
      </c>
      <c r="AT142" s="13" t="s">
        <v>80</v>
      </c>
      <c r="AU142" s="13"/>
      <c r="AV142" s="58"/>
      <c r="AW142" s="13" t="s">
        <v>84</v>
      </c>
      <c r="AX142" s="13" t="s">
        <v>84</v>
      </c>
      <c r="AY142" s="13" t="s">
        <v>84</v>
      </c>
      <c r="AZ142" s="13" t="s">
        <v>84</v>
      </c>
      <c r="BA142" s="13"/>
      <c r="BB142" s="13" t="s">
        <v>84</v>
      </c>
      <c r="BC142" s="13" t="s">
        <v>80</v>
      </c>
      <c r="BD142" s="13" t="s">
        <v>113</v>
      </c>
      <c r="BE142" s="13" t="s">
        <v>93</v>
      </c>
      <c r="BF142" s="13" t="s">
        <v>100</v>
      </c>
      <c r="BG142" s="13" t="s">
        <v>84</v>
      </c>
      <c r="BH142" s="13" t="s">
        <v>84</v>
      </c>
      <c r="BI142" s="13" t="s">
        <v>2541</v>
      </c>
      <c r="BJ142" s="13" t="s">
        <v>84</v>
      </c>
      <c r="BK142" s="13" t="s">
        <v>80</v>
      </c>
      <c r="BL142" s="13">
        <v>2</v>
      </c>
      <c r="BM142" s="13">
        <v>2</v>
      </c>
      <c r="BN142" s="13">
        <v>2</v>
      </c>
      <c r="BO142" s="13">
        <v>2</v>
      </c>
      <c r="BP142" s="13">
        <v>1</v>
      </c>
      <c r="BQ142" s="13">
        <v>1</v>
      </c>
      <c r="BR142" s="58"/>
      <c r="BS142" s="13" t="s">
        <v>118</v>
      </c>
      <c r="BT142" s="13"/>
      <c r="BU142" s="13"/>
      <c r="BV142" s="13"/>
      <c r="BW142" s="58"/>
      <c r="BX142" s="13" t="s">
        <v>84</v>
      </c>
      <c r="BY142" s="13"/>
      <c r="BZ142" s="13" t="s">
        <v>84</v>
      </c>
      <c r="CA142" s="13"/>
      <c r="CB142" s="13" t="s">
        <v>82</v>
      </c>
      <c r="CC142" s="13"/>
      <c r="CD142" s="13" t="s">
        <v>82</v>
      </c>
      <c r="CE142" s="13"/>
      <c r="CF142" s="13"/>
      <c r="CG142" s="13"/>
      <c r="CH142" s="58"/>
      <c r="CI142" s="13" t="s">
        <v>82</v>
      </c>
      <c r="CJ142" s="13"/>
      <c r="CK142" s="13" t="s">
        <v>84</v>
      </c>
      <c r="CL142" s="13"/>
      <c r="CM142" s="13" t="s">
        <v>82</v>
      </c>
      <c r="CN142" s="13"/>
      <c r="CO142" s="13"/>
      <c r="CP142" s="13"/>
      <c r="CQ142" s="13" t="s">
        <v>118</v>
      </c>
      <c r="CR142" s="13" t="s">
        <v>84</v>
      </c>
      <c r="CS142" s="13" t="s">
        <v>97</v>
      </c>
      <c r="CT142" s="13"/>
      <c r="CU142" s="13" t="s">
        <v>246</v>
      </c>
      <c r="CV142" s="13"/>
      <c r="CW142" s="13" t="s">
        <v>82</v>
      </c>
      <c r="CX142" s="13"/>
      <c r="CY142" s="13" t="s">
        <v>246</v>
      </c>
      <c r="CZ142" s="13"/>
      <c r="DA142" s="13" t="s">
        <v>82</v>
      </c>
      <c r="DB142" s="13"/>
      <c r="DC142" s="13" t="s">
        <v>84</v>
      </c>
      <c r="DD142" s="13" t="s">
        <v>84</v>
      </c>
      <c r="DE142" s="58"/>
      <c r="DF142" s="58"/>
      <c r="DG142" s="13">
        <v>3</v>
      </c>
      <c r="DH142" s="13">
        <v>2</v>
      </c>
      <c r="DI142" s="13">
        <v>2</v>
      </c>
      <c r="DJ142" s="13">
        <v>2</v>
      </c>
      <c r="DK142" s="13">
        <v>4</v>
      </c>
      <c r="DL142" s="13">
        <v>3</v>
      </c>
      <c r="DM142" s="13">
        <v>4</v>
      </c>
      <c r="DN142" s="13">
        <v>3</v>
      </c>
      <c r="DO142" s="13">
        <v>2</v>
      </c>
      <c r="DP142" s="13">
        <v>2</v>
      </c>
      <c r="DQ142" s="13">
        <v>2</v>
      </c>
      <c r="DR142" s="13">
        <v>2</v>
      </c>
      <c r="DS142" s="13" t="s">
        <v>118</v>
      </c>
      <c r="DT142" s="13" t="s">
        <v>84</v>
      </c>
      <c r="DU142" s="13"/>
      <c r="DV142" s="13" t="s">
        <v>84</v>
      </c>
      <c r="DW142" s="13" t="s">
        <v>113</v>
      </c>
      <c r="DX142" s="13" t="s">
        <v>81</v>
      </c>
      <c r="DY142" s="13"/>
      <c r="DZ142" s="13" t="s">
        <v>113</v>
      </c>
      <c r="EA142" s="13" t="s">
        <v>2542</v>
      </c>
      <c r="EB142" s="13" t="s">
        <v>82</v>
      </c>
      <c r="EC142" s="13"/>
      <c r="ED142" s="13" t="s">
        <v>81</v>
      </c>
      <c r="EE142" s="13"/>
      <c r="EF142" s="13" t="s">
        <v>84</v>
      </c>
      <c r="EG142" s="13" t="s">
        <v>82</v>
      </c>
      <c r="EH142" s="13" t="s">
        <v>82</v>
      </c>
      <c r="EI142" s="13"/>
      <c r="EJ142" s="13" t="s">
        <v>2543</v>
      </c>
      <c r="EK142" s="13" t="s">
        <v>2544</v>
      </c>
      <c r="EL142" s="13" t="s">
        <v>2545</v>
      </c>
      <c r="EM142" s="9">
        <v>860.74</v>
      </c>
      <c r="EN142" s="9">
        <v>30.55</v>
      </c>
      <c r="EQ142" s="9">
        <v>174.3</v>
      </c>
      <c r="EW142" s="9">
        <v>36.4</v>
      </c>
      <c r="FF142" s="9">
        <v>56.63</v>
      </c>
      <c r="FJ142" s="9">
        <v>16.809999999999999</v>
      </c>
      <c r="FP142" s="9">
        <v>26.59</v>
      </c>
      <c r="FV142" s="9">
        <v>70.89</v>
      </c>
      <c r="GC142" s="9">
        <v>156.80000000000001</v>
      </c>
      <c r="GT142" s="9">
        <v>67.91</v>
      </c>
      <c r="GX142" s="9">
        <v>29.99</v>
      </c>
      <c r="HB142" s="9">
        <v>193.87</v>
      </c>
      <c r="HQ142" s="62">
        <f t="shared" si="10"/>
        <v>860.74</v>
      </c>
      <c r="HR142" s="62">
        <f t="shared" si="11"/>
        <v>14.345666666666666</v>
      </c>
    </row>
    <row r="143" spans="1:226" s="9" customFormat="1" ht="12.75" x14ac:dyDescent="0.2">
      <c r="A143" s="11">
        <v>202</v>
      </c>
      <c r="B143" s="9">
        <v>203</v>
      </c>
      <c r="C143" s="9" t="s">
        <v>83</v>
      </c>
      <c r="D143" s="9">
        <v>11</v>
      </c>
      <c r="E143" s="9" t="s">
        <v>79</v>
      </c>
      <c r="F143" s="9">
        <v>1581144413</v>
      </c>
      <c r="G143" s="9" t="s">
        <v>81</v>
      </c>
      <c r="H143" s="9" t="s">
        <v>84</v>
      </c>
      <c r="I143" s="13" t="s">
        <v>119</v>
      </c>
      <c r="J143" s="13" t="s">
        <v>2546</v>
      </c>
      <c r="K143" s="58"/>
      <c r="L143" s="58"/>
      <c r="M143" s="13" t="s">
        <v>1319</v>
      </c>
      <c r="N143" s="13" t="s">
        <v>108</v>
      </c>
      <c r="O143" s="13" t="s">
        <v>2547</v>
      </c>
      <c r="P143" s="13" t="s">
        <v>87</v>
      </c>
      <c r="Q143" s="13" t="s">
        <v>1296</v>
      </c>
      <c r="R143" s="58"/>
      <c r="S143" s="13" t="s">
        <v>84</v>
      </c>
      <c r="T143" s="13" t="s">
        <v>84</v>
      </c>
      <c r="U143" s="13" t="s">
        <v>84</v>
      </c>
      <c r="V143" s="13" t="s">
        <v>82</v>
      </c>
      <c r="W143" s="13" t="s">
        <v>82</v>
      </c>
      <c r="X143" s="13" t="s">
        <v>82</v>
      </c>
      <c r="Y143" s="13" t="s">
        <v>84</v>
      </c>
      <c r="Z143" s="13" t="s">
        <v>84</v>
      </c>
      <c r="AA143" s="13"/>
      <c r="AB143" s="13" t="s">
        <v>82</v>
      </c>
      <c r="AC143" s="13"/>
      <c r="AD143" s="13" t="s">
        <v>84</v>
      </c>
      <c r="AE143" s="13" t="s">
        <v>2548</v>
      </c>
      <c r="AF143" s="13" t="s">
        <v>2549</v>
      </c>
      <c r="AG143" s="13" t="s">
        <v>80</v>
      </c>
      <c r="AH143" s="13"/>
      <c r="AI143" s="13" t="s">
        <v>84</v>
      </c>
      <c r="AJ143" s="13"/>
      <c r="AK143" s="13" t="s">
        <v>2550</v>
      </c>
      <c r="AL143" s="13" t="s">
        <v>126</v>
      </c>
      <c r="AM143" s="13" t="s">
        <v>91</v>
      </c>
      <c r="AN143" s="13"/>
      <c r="AO143" s="13" t="s">
        <v>80</v>
      </c>
      <c r="AP143" s="58"/>
      <c r="AQ143" s="13" t="s">
        <v>80</v>
      </c>
      <c r="AR143" s="13" t="s">
        <v>80</v>
      </c>
      <c r="AS143" s="13" t="s">
        <v>80</v>
      </c>
      <c r="AT143" s="13" t="s">
        <v>80</v>
      </c>
      <c r="AU143" s="13"/>
      <c r="AV143" s="58"/>
      <c r="AW143" s="13" t="s">
        <v>84</v>
      </c>
      <c r="AX143" s="13" t="s">
        <v>84</v>
      </c>
      <c r="AY143" s="13" t="s">
        <v>84</v>
      </c>
      <c r="AZ143" s="13" t="s">
        <v>84</v>
      </c>
      <c r="BA143" s="13"/>
      <c r="BB143" s="13" t="s">
        <v>84</v>
      </c>
      <c r="BC143" s="13" t="s">
        <v>80</v>
      </c>
      <c r="BD143" s="13" t="s">
        <v>113</v>
      </c>
      <c r="BE143" s="13" t="s">
        <v>93</v>
      </c>
      <c r="BF143" s="13" t="s">
        <v>340</v>
      </c>
      <c r="BG143" s="13" t="s">
        <v>84</v>
      </c>
      <c r="BH143" s="13" t="s">
        <v>84</v>
      </c>
      <c r="BI143" s="13" t="s">
        <v>2551</v>
      </c>
      <c r="BJ143" s="13" t="s">
        <v>84</v>
      </c>
      <c r="BK143" s="13" t="s">
        <v>80</v>
      </c>
      <c r="BL143" s="13">
        <v>3</v>
      </c>
      <c r="BM143" s="13">
        <v>3</v>
      </c>
      <c r="BN143" s="13">
        <v>5</v>
      </c>
      <c r="BO143" s="13">
        <v>5</v>
      </c>
      <c r="BP143" s="13">
        <v>4</v>
      </c>
      <c r="BQ143" s="13">
        <v>4</v>
      </c>
      <c r="BR143" s="58"/>
      <c r="BS143" s="13" t="s">
        <v>99</v>
      </c>
      <c r="BT143" s="13"/>
      <c r="BU143" s="13"/>
      <c r="BV143" s="13"/>
      <c r="BW143" s="58"/>
      <c r="BX143" s="13" t="s">
        <v>82</v>
      </c>
      <c r="BY143" s="13"/>
      <c r="BZ143" s="13" t="s">
        <v>84</v>
      </c>
      <c r="CA143" s="13"/>
      <c r="CB143" s="13" t="s">
        <v>82</v>
      </c>
      <c r="CC143" s="13"/>
      <c r="CD143" s="13" t="s">
        <v>82</v>
      </c>
      <c r="CE143" s="13"/>
      <c r="CF143" s="13"/>
      <c r="CG143" s="13"/>
      <c r="CH143" s="58"/>
      <c r="CI143" s="13" t="s">
        <v>84</v>
      </c>
      <c r="CJ143" s="13"/>
      <c r="CK143" s="13" t="s">
        <v>84</v>
      </c>
      <c r="CL143" s="13"/>
      <c r="CM143" s="13" t="s">
        <v>82</v>
      </c>
      <c r="CN143" s="13"/>
      <c r="CO143" s="13"/>
      <c r="CP143" s="13"/>
      <c r="CQ143" s="13" t="s">
        <v>118</v>
      </c>
      <c r="CR143" s="13" t="s">
        <v>84</v>
      </c>
      <c r="CS143" s="13" t="s">
        <v>1312</v>
      </c>
      <c r="CT143" s="13"/>
      <c r="CU143" s="13" t="s">
        <v>81</v>
      </c>
      <c r="CV143" s="13"/>
      <c r="CW143" s="13" t="s">
        <v>84</v>
      </c>
      <c r="CX143" s="13" t="s">
        <v>2552</v>
      </c>
      <c r="CY143" s="13"/>
      <c r="CZ143" s="13"/>
      <c r="DA143" s="13" t="s">
        <v>82</v>
      </c>
      <c r="DB143" s="13"/>
      <c r="DC143" s="13" t="s">
        <v>84</v>
      </c>
      <c r="DD143" s="13" t="s">
        <v>84</v>
      </c>
      <c r="DE143" s="58"/>
      <c r="DF143" s="58"/>
      <c r="DG143" s="13">
        <v>1</v>
      </c>
      <c r="DH143" s="13">
        <v>1</v>
      </c>
      <c r="DI143" s="13">
        <v>2</v>
      </c>
      <c r="DJ143" s="13">
        <v>1</v>
      </c>
      <c r="DK143" s="13">
        <v>2</v>
      </c>
      <c r="DL143" s="13">
        <v>1</v>
      </c>
      <c r="DM143" s="13">
        <v>1</v>
      </c>
      <c r="DN143" s="13">
        <v>1</v>
      </c>
      <c r="DO143" s="13">
        <v>2</v>
      </c>
      <c r="DP143" s="13">
        <v>1</v>
      </c>
      <c r="DQ143" s="13">
        <v>2</v>
      </c>
      <c r="DR143" s="13">
        <v>1</v>
      </c>
      <c r="DS143" s="13" t="s">
        <v>99</v>
      </c>
      <c r="DT143" s="13" t="s">
        <v>84</v>
      </c>
      <c r="DU143" s="13"/>
      <c r="DV143" s="13" t="s">
        <v>84</v>
      </c>
      <c r="DW143" s="13" t="s">
        <v>113</v>
      </c>
      <c r="DX143" s="13" t="s">
        <v>81</v>
      </c>
      <c r="DY143" s="13" t="s">
        <v>2553</v>
      </c>
      <c r="DZ143" s="13" t="s">
        <v>113</v>
      </c>
      <c r="EA143" s="13"/>
      <c r="EB143" s="13" t="s">
        <v>82</v>
      </c>
      <c r="EC143" s="13"/>
      <c r="ED143" s="13" t="s">
        <v>81</v>
      </c>
      <c r="EE143" s="13"/>
      <c r="EF143" s="13" t="s">
        <v>82</v>
      </c>
      <c r="EG143" s="13" t="s">
        <v>82</v>
      </c>
      <c r="EH143" s="13" t="s">
        <v>82</v>
      </c>
      <c r="EI143" s="13"/>
      <c r="EJ143" s="13" t="s">
        <v>2554</v>
      </c>
      <c r="EK143" s="13" t="s">
        <v>2555</v>
      </c>
      <c r="EL143" s="13" t="s">
        <v>2556</v>
      </c>
      <c r="EM143" s="9">
        <v>2661.42</v>
      </c>
      <c r="EN143" s="9">
        <v>19.63</v>
      </c>
      <c r="EQ143" s="9">
        <v>70.510000000000005</v>
      </c>
      <c r="EW143" s="9">
        <v>110.16</v>
      </c>
      <c r="FF143" s="9">
        <v>320.97000000000003</v>
      </c>
      <c r="FJ143" s="9">
        <v>28.1</v>
      </c>
      <c r="FP143" s="9">
        <v>34.200000000000003</v>
      </c>
      <c r="FV143" s="9">
        <v>104.4</v>
      </c>
      <c r="GC143" s="9">
        <v>295.52999999999997</v>
      </c>
      <c r="GT143" s="9">
        <v>16.29</v>
      </c>
      <c r="GX143" s="9">
        <v>111.27</v>
      </c>
      <c r="HB143" s="9">
        <v>1550.36</v>
      </c>
      <c r="HQ143" s="62">
        <f t="shared" si="10"/>
        <v>2661.42</v>
      </c>
      <c r="HR143" s="62">
        <f t="shared" si="11"/>
        <v>44.356999999999999</v>
      </c>
    </row>
    <row r="144" spans="1:226" s="9" customFormat="1" ht="12.75" x14ac:dyDescent="0.2">
      <c r="A144" s="11">
        <v>203</v>
      </c>
      <c r="B144" s="9">
        <v>204</v>
      </c>
      <c r="C144" s="9" t="s">
        <v>83</v>
      </c>
      <c r="D144" s="9">
        <v>11</v>
      </c>
      <c r="E144" s="9" t="s">
        <v>79</v>
      </c>
      <c r="F144" s="9">
        <v>858488562</v>
      </c>
      <c r="G144" s="9" t="s">
        <v>81</v>
      </c>
      <c r="H144" s="9" t="s">
        <v>84</v>
      </c>
      <c r="I144" s="13" t="s">
        <v>105</v>
      </c>
      <c r="J144" s="13"/>
      <c r="K144" s="58"/>
      <c r="L144" s="58"/>
      <c r="M144" s="13" t="s">
        <v>1319</v>
      </c>
      <c r="N144" s="13" t="s">
        <v>108</v>
      </c>
      <c r="O144" s="13"/>
      <c r="P144" s="13" t="s">
        <v>87</v>
      </c>
      <c r="Q144" s="13" t="s">
        <v>1320</v>
      </c>
      <c r="R144" s="58"/>
      <c r="S144" s="13" t="s">
        <v>84</v>
      </c>
      <c r="T144" s="13" t="s">
        <v>84</v>
      </c>
      <c r="U144" s="13" t="s">
        <v>82</v>
      </c>
      <c r="V144" s="13" t="s">
        <v>84</v>
      </c>
      <c r="W144" s="13" t="s">
        <v>82</v>
      </c>
      <c r="X144" s="13" t="s">
        <v>82</v>
      </c>
      <c r="Y144" s="13" t="s">
        <v>84</v>
      </c>
      <c r="Z144" s="13" t="s">
        <v>82</v>
      </c>
      <c r="AA144" s="13"/>
      <c r="AB144" s="13" t="s">
        <v>82</v>
      </c>
      <c r="AC144" s="13"/>
      <c r="AD144" s="13" t="s">
        <v>82</v>
      </c>
      <c r="AE144" s="13"/>
      <c r="AF144" s="13"/>
      <c r="AG144" s="13" t="s">
        <v>84</v>
      </c>
      <c r="AH144" s="13"/>
      <c r="AI144" s="13" t="s">
        <v>84</v>
      </c>
      <c r="AJ144" s="13"/>
      <c r="AK144" s="13"/>
      <c r="AL144" s="13" t="s">
        <v>126</v>
      </c>
      <c r="AM144" s="13" t="s">
        <v>111</v>
      </c>
      <c r="AN144" s="13"/>
      <c r="AO144" s="13" t="s">
        <v>80</v>
      </c>
      <c r="AP144" s="58"/>
      <c r="AQ144" s="13" t="s">
        <v>84</v>
      </c>
      <c r="AR144" s="13" t="s">
        <v>82</v>
      </c>
      <c r="AS144" s="13" t="s">
        <v>82</v>
      </c>
      <c r="AT144" s="13" t="s">
        <v>84</v>
      </c>
      <c r="AU144" s="13"/>
      <c r="AV144" s="58"/>
      <c r="AW144" s="13" t="s">
        <v>80</v>
      </c>
      <c r="AX144" s="13" t="s">
        <v>80</v>
      </c>
      <c r="AY144" s="13" t="s">
        <v>80</v>
      </c>
      <c r="AZ144" s="13" t="s">
        <v>80</v>
      </c>
      <c r="BA144" s="13"/>
      <c r="BB144" s="13" t="s">
        <v>84</v>
      </c>
      <c r="BC144" s="13" t="s">
        <v>80</v>
      </c>
      <c r="BD144" s="13" t="s">
        <v>100</v>
      </c>
      <c r="BE144" s="13" t="s">
        <v>100</v>
      </c>
      <c r="BF144" s="13" t="s">
        <v>100</v>
      </c>
      <c r="BG144" s="13" t="s">
        <v>82</v>
      </c>
      <c r="BH144" s="13" t="s">
        <v>82</v>
      </c>
      <c r="BI144" s="13"/>
      <c r="BJ144" s="13" t="s">
        <v>84</v>
      </c>
      <c r="BK144" s="13" t="s">
        <v>80</v>
      </c>
      <c r="BL144" s="13">
        <v>5</v>
      </c>
      <c r="BM144" s="13">
        <v>3</v>
      </c>
      <c r="BN144" s="13">
        <v>2</v>
      </c>
      <c r="BO144" s="13">
        <v>1</v>
      </c>
      <c r="BP144" s="13">
        <v>3</v>
      </c>
      <c r="BQ144" s="13">
        <v>3</v>
      </c>
      <c r="BR144" s="58"/>
      <c r="BS144" s="13" t="s">
        <v>97</v>
      </c>
      <c r="BT144" s="13"/>
      <c r="BU144" s="13" t="s">
        <v>246</v>
      </c>
      <c r="BV144" s="13"/>
      <c r="BW144" s="58"/>
      <c r="BX144" s="13" t="s">
        <v>80</v>
      </c>
      <c r="BY144" s="13"/>
      <c r="BZ144" s="13" t="s">
        <v>80</v>
      </c>
      <c r="CA144" s="13"/>
      <c r="CB144" s="13" t="s">
        <v>80</v>
      </c>
      <c r="CC144" s="13"/>
      <c r="CD144" s="13" t="s">
        <v>80</v>
      </c>
      <c r="CE144" s="13"/>
      <c r="CF144" s="13"/>
      <c r="CG144" s="13"/>
      <c r="CH144" s="58"/>
      <c r="CI144" s="13" t="s">
        <v>84</v>
      </c>
      <c r="CJ144" s="13"/>
      <c r="CK144" s="13" t="s">
        <v>84</v>
      </c>
      <c r="CL144" s="13"/>
      <c r="CM144" s="13" t="s">
        <v>82</v>
      </c>
      <c r="CN144" s="13"/>
      <c r="CO144" s="13"/>
      <c r="CP144" s="13"/>
      <c r="CQ144" s="13" t="s">
        <v>97</v>
      </c>
      <c r="CR144" s="13" t="s">
        <v>82</v>
      </c>
      <c r="CS144" s="13" t="s">
        <v>97</v>
      </c>
      <c r="CT144" s="13"/>
      <c r="CU144" s="13" t="s">
        <v>246</v>
      </c>
      <c r="CV144" s="13"/>
      <c r="CW144" s="13" t="s">
        <v>82</v>
      </c>
      <c r="CX144" s="13"/>
      <c r="CY144" s="13" t="s">
        <v>81</v>
      </c>
      <c r="CZ144" s="13" t="s">
        <v>2557</v>
      </c>
      <c r="DA144" s="13" t="s">
        <v>82</v>
      </c>
      <c r="DB144" s="13"/>
      <c r="DC144" s="13" t="s">
        <v>84</v>
      </c>
      <c r="DD144" s="13" t="s">
        <v>84</v>
      </c>
      <c r="DE144" s="58"/>
      <c r="DF144" s="58"/>
      <c r="DG144" s="13">
        <v>2</v>
      </c>
      <c r="DH144" s="13">
        <v>1</v>
      </c>
      <c r="DI144" s="13">
        <v>3</v>
      </c>
      <c r="DJ144" s="13">
        <v>1</v>
      </c>
      <c r="DK144" s="13">
        <v>3</v>
      </c>
      <c r="DL144" s="13">
        <v>3</v>
      </c>
      <c r="DM144" s="13">
        <v>3</v>
      </c>
      <c r="DN144" s="13">
        <v>2</v>
      </c>
      <c r="DO144" s="13">
        <v>4</v>
      </c>
      <c r="DP144" s="13">
        <v>1</v>
      </c>
      <c r="DQ144" s="13">
        <v>3</v>
      </c>
      <c r="DR144" s="13">
        <v>1</v>
      </c>
      <c r="DS144" s="13" t="s">
        <v>97</v>
      </c>
      <c r="DT144" s="13" t="s">
        <v>106</v>
      </c>
      <c r="DU144" s="13"/>
      <c r="DV144" s="13" t="s">
        <v>82</v>
      </c>
      <c r="DW144" s="13" t="s">
        <v>100</v>
      </c>
      <c r="DX144" s="13" t="s">
        <v>81</v>
      </c>
      <c r="DY144" s="13"/>
      <c r="DZ144" s="13" t="s">
        <v>100</v>
      </c>
      <c r="EA144" s="13"/>
      <c r="EB144" s="13" t="s">
        <v>82</v>
      </c>
      <c r="EC144" s="13"/>
      <c r="ED144" s="13" t="s">
        <v>81</v>
      </c>
      <c r="EE144" s="13"/>
      <c r="EF144" s="13" t="s">
        <v>82</v>
      </c>
      <c r="EG144" s="13" t="s">
        <v>84</v>
      </c>
      <c r="EH144" s="13" t="s">
        <v>82</v>
      </c>
      <c r="EI144" s="13"/>
      <c r="EJ144" s="13"/>
      <c r="EK144" s="13"/>
      <c r="EL144" s="13"/>
      <c r="EM144" s="9">
        <v>411.24</v>
      </c>
      <c r="EN144" s="9">
        <v>18.34</v>
      </c>
      <c r="EQ144" s="9">
        <v>44.22</v>
      </c>
      <c r="EW144" s="9">
        <v>39.69</v>
      </c>
      <c r="FF144" s="9">
        <v>20.58</v>
      </c>
      <c r="FJ144" s="9">
        <v>14.38</v>
      </c>
      <c r="FP144" s="9">
        <v>19.89</v>
      </c>
      <c r="FV144" s="9">
        <v>46.41</v>
      </c>
      <c r="GC144" s="9">
        <v>131.38</v>
      </c>
      <c r="GT144" s="9">
        <v>10.54</v>
      </c>
      <c r="GX144" s="9">
        <v>15.48</v>
      </c>
      <c r="HB144" s="9">
        <v>50.33</v>
      </c>
      <c r="HQ144" s="62">
        <f t="shared" si="10"/>
        <v>411.24</v>
      </c>
      <c r="HR144" s="62">
        <f t="shared" si="11"/>
        <v>6.8540000000000001</v>
      </c>
    </row>
    <row r="145" spans="1:226" s="9" customFormat="1" ht="12.75" x14ac:dyDescent="0.2">
      <c r="A145" s="11">
        <v>204</v>
      </c>
      <c r="B145" s="9">
        <v>209</v>
      </c>
      <c r="C145" s="9" t="s">
        <v>83</v>
      </c>
      <c r="D145" s="9">
        <v>11</v>
      </c>
      <c r="E145" s="9" t="s">
        <v>79</v>
      </c>
      <c r="F145" s="9">
        <v>1978768015</v>
      </c>
      <c r="G145" s="9" t="s">
        <v>81</v>
      </c>
      <c r="H145" s="9" t="s">
        <v>84</v>
      </c>
      <c r="I145" s="13" t="s">
        <v>105</v>
      </c>
      <c r="J145" s="13"/>
      <c r="K145" s="58"/>
      <c r="L145" s="58"/>
      <c r="M145" s="13" t="s">
        <v>1319</v>
      </c>
      <c r="N145" s="13" t="s">
        <v>86</v>
      </c>
      <c r="O145" s="13"/>
      <c r="P145" s="13" t="s">
        <v>87</v>
      </c>
      <c r="Q145" s="13" t="s">
        <v>1310</v>
      </c>
      <c r="R145" s="58"/>
      <c r="S145" s="13" t="s">
        <v>84</v>
      </c>
      <c r="T145" s="13" t="s">
        <v>84</v>
      </c>
      <c r="U145" s="13" t="s">
        <v>84</v>
      </c>
      <c r="V145" s="13" t="s">
        <v>84</v>
      </c>
      <c r="W145" s="13" t="s">
        <v>82</v>
      </c>
      <c r="X145" s="13" t="s">
        <v>84</v>
      </c>
      <c r="Y145" s="13" t="s">
        <v>84</v>
      </c>
      <c r="Z145" s="13" t="s">
        <v>82</v>
      </c>
      <c r="AA145" s="13"/>
      <c r="AB145" s="13" t="s">
        <v>82</v>
      </c>
      <c r="AC145" s="13"/>
      <c r="AD145" s="13" t="s">
        <v>84</v>
      </c>
      <c r="AE145" s="13" t="s">
        <v>1724</v>
      </c>
      <c r="AF145" s="13"/>
      <c r="AG145" s="13" t="s">
        <v>80</v>
      </c>
      <c r="AH145" s="13"/>
      <c r="AI145" s="13" t="s">
        <v>84</v>
      </c>
      <c r="AJ145" s="13"/>
      <c r="AK145" s="13" t="s">
        <v>2558</v>
      </c>
      <c r="AL145" s="13" t="s">
        <v>126</v>
      </c>
      <c r="AM145" s="13" t="s">
        <v>111</v>
      </c>
      <c r="AN145" s="13"/>
      <c r="AO145" s="13" t="s">
        <v>80</v>
      </c>
      <c r="AP145" s="58"/>
      <c r="AQ145" s="13" t="s">
        <v>84</v>
      </c>
      <c r="AR145" s="13" t="s">
        <v>82</v>
      </c>
      <c r="AS145" s="13" t="s">
        <v>84</v>
      </c>
      <c r="AT145" s="13" t="s">
        <v>84</v>
      </c>
      <c r="AU145" s="13"/>
      <c r="AV145" s="58"/>
      <c r="AW145" s="13" t="s">
        <v>80</v>
      </c>
      <c r="AX145" s="13" t="s">
        <v>80</v>
      </c>
      <c r="AY145" s="13" t="s">
        <v>80</v>
      </c>
      <c r="AZ145" s="13" t="s">
        <v>80</v>
      </c>
      <c r="BA145" s="13"/>
      <c r="BB145" s="13" t="s">
        <v>84</v>
      </c>
      <c r="BC145" s="13" t="s">
        <v>80</v>
      </c>
      <c r="BD145" s="13" t="s">
        <v>93</v>
      </c>
      <c r="BE145" s="13" t="s">
        <v>100</v>
      </c>
      <c r="BF145" s="13" t="s">
        <v>100</v>
      </c>
      <c r="BG145" s="13" t="s">
        <v>84</v>
      </c>
      <c r="BH145" s="13" t="s">
        <v>84</v>
      </c>
      <c r="BI145" s="13"/>
      <c r="BJ145" s="13" t="s">
        <v>84</v>
      </c>
      <c r="BK145" s="13" t="s">
        <v>80</v>
      </c>
      <c r="BL145" s="13">
        <v>5</v>
      </c>
      <c r="BM145" s="13">
        <v>5</v>
      </c>
      <c r="BN145" s="13">
        <v>2</v>
      </c>
      <c r="BO145" s="13">
        <v>1</v>
      </c>
      <c r="BP145" s="13">
        <v>5</v>
      </c>
      <c r="BQ145" s="13">
        <v>5</v>
      </c>
      <c r="BR145" s="58"/>
      <c r="BS145" s="13" t="s">
        <v>97</v>
      </c>
      <c r="BT145" s="13"/>
      <c r="BU145" s="13" t="s">
        <v>246</v>
      </c>
      <c r="BV145" s="13"/>
      <c r="BW145" s="58"/>
      <c r="BX145" s="13" t="s">
        <v>80</v>
      </c>
      <c r="BY145" s="13"/>
      <c r="BZ145" s="13" t="s">
        <v>80</v>
      </c>
      <c r="CA145" s="13"/>
      <c r="CB145" s="13" t="s">
        <v>80</v>
      </c>
      <c r="CC145" s="13"/>
      <c r="CD145" s="13" t="s">
        <v>80</v>
      </c>
      <c r="CE145" s="13"/>
      <c r="CF145" s="13"/>
      <c r="CG145" s="13"/>
      <c r="CH145" s="58"/>
      <c r="CI145" s="13" t="s">
        <v>84</v>
      </c>
      <c r="CJ145" s="13"/>
      <c r="CK145" s="13" t="s">
        <v>82</v>
      </c>
      <c r="CL145" s="13"/>
      <c r="CM145" s="13" t="s">
        <v>82</v>
      </c>
      <c r="CN145" s="13"/>
      <c r="CO145" s="13"/>
      <c r="CP145" s="13"/>
      <c r="CQ145" s="13" t="s">
        <v>97</v>
      </c>
      <c r="CR145" s="13" t="s">
        <v>84</v>
      </c>
      <c r="CS145" s="13" t="s">
        <v>97</v>
      </c>
      <c r="CT145" s="13"/>
      <c r="CU145" s="13" t="s">
        <v>246</v>
      </c>
      <c r="CV145" s="13"/>
      <c r="CW145" s="13" t="s">
        <v>82</v>
      </c>
      <c r="CX145" s="13"/>
      <c r="CY145" s="13" t="s">
        <v>246</v>
      </c>
      <c r="CZ145" s="13"/>
      <c r="DA145" s="13" t="s">
        <v>82</v>
      </c>
      <c r="DB145" s="13"/>
      <c r="DC145" s="13" t="s">
        <v>84</v>
      </c>
      <c r="DD145" s="13" t="s">
        <v>82</v>
      </c>
      <c r="DE145" s="58"/>
      <c r="DF145" s="58"/>
      <c r="DG145" s="13">
        <v>5</v>
      </c>
      <c r="DH145" s="13">
        <v>5</v>
      </c>
      <c r="DI145" s="13">
        <v>5</v>
      </c>
      <c r="DJ145" s="13">
        <v>1</v>
      </c>
      <c r="DK145" s="13">
        <v>1</v>
      </c>
      <c r="DL145" s="13">
        <v>1</v>
      </c>
      <c r="DM145" s="13">
        <v>1</v>
      </c>
      <c r="DN145" s="13">
        <v>1</v>
      </c>
      <c r="DO145" s="13">
        <v>1</v>
      </c>
      <c r="DP145" s="13">
        <v>1</v>
      </c>
      <c r="DQ145" s="13">
        <v>3</v>
      </c>
      <c r="DR145" s="13">
        <v>2</v>
      </c>
      <c r="DS145" s="13" t="s">
        <v>97</v>
      </c>
      <c r="DT145" s="13" t="s">
        <v>84</v>
      </c>
      <c r="DU145" s="13"/>
      <c r="DV145" s="13" t="s">
        <v>84</v>
      </c>
      <c r="DW145" s="13" t="s">
        <v>100</v>
      </c>
      <c r="DX145" s="13" t="s">
        <v>246</v>
      </c>
      <c r="DY145" s="13"/>
      <c r="DZ145" s="13" t="s">
        <v>93</v>
      </c>
      <c r="EA145" s="13"/>
      <c r="EB145" s="13" t="s">
        <v>82</v>
      </c>
      <c r="EC145" s="13"/>
      <c r="ED145" s="13" t="s">
        <v>246</v>
      </c>
      <c r="EE145" s="13"/>
      <c r="EF145" s="13" t="s">
        <v>84</v>
      </c>
      <c r="EG145" s="13" t="s">
        <v>84</v>
      </c>
      <c r="EH145" s="13" t="s">
        <v>82</v>
      </c>
      <c r="EI145" s="13"/>
      <c r="EJ145" s="13"/>
      <c r="EK145" s="13"/>
      <c r="EL145" s="13"/>
      <c r="EM145" s="9">
        <v>1353.07</v>
      </c>
      <c r="EN145" s="9">
        <v>103.18</v>
      </c>
      <c r="EQ145" s="9">
        <v>150.33000000000001</v>
      </c>
      <c r="EW145" s="9">
        <v>72.040000000000006</v>
      </c>
      <c r="FF145" s="9">
        <v>134.33000000000001</v>
      </c>
      <c r="FJ145" s="9">
        <v>37.840000000000003</v>
      </c>
      <c r="FP145" s="9">
        <v>81.39</v>
      </c>
      <c r="FV145" s="9">
        <v>177.56</v>
      </c>
      <c r="GC145" s="9">
        <v>356.47</v>
      </c>
      <c r="GT145" s="9">
        <v>63.55</v>
      </c>
      <c r="GX145" s="9">
        <v>51.77</v>
      </c>
      <c r="HB145" s="9">
        <v>124.61</v>
      </c>
      <c r="HQ145" s="62">
        <f t="shared" si="10"/>
        <v>1353.07</v>
      </c>
      <c r="HR145" s="62">
        <f t="shared" si="11"/>
        <v>22.551166666666667</v>
      </c>
    </row>
    <row r="146" spans="1:226" s="9" customFormat="1" ht="12.75" x14ac:dyDescent="0.2">
      <c r="A146" s="11">
        <v>205</v>
      </c>
      <c r="B146" s="9">
        <v>210</v>
      </c>
      <c r="C146" s="9" t="s">
        <v>83</v>
      </c>
      <c r="D146" s="9">
        <v>11</v>
      </c>
      <c r="E146" s="9" t="s">
        <v>79</v>
      </c>
      <c r="F146" s="9">
        <v>1598932664</v>
      </c>
      <c r="G146" s="9" t="s">
        <v>81</v>
      </c>
      <c r="H146" s="9" t="s">
        <v>84</v>
      </c>
      <c r="I146" s="13" t="s">
        <v>363</v>
      </c>
      <c r="J146" s="13"/>
      <c r="K146" s="58"/>
      <c r="L146" s="58"/>
      <c r="M146" s="13" t="s">
        <v>1319</v>
      </c>
      <c r="N146" s="13" t="s">
        <v>618</v>
      </c>
      <c r="O146" s="13"/>
      <c r="P146" s="13" t="s">
        <v>87</v>
      </c>
      <c r="Q146" s="13" t="s">
        <v>1296</v>
      </c>
      <c r="R146" s="58"/>
      <c r="S146" s="13" t="s">
        <v>84</v>
      </c>
      <c r="T146" s="13" t="s">
        <v>84</v>
      </c>
      <c r="U146" s="13" t="s">
        <v>84</v>
      </c>
      <c r="V146" s="13" t="s">
        <v>82</v>
      </c>
      <c r="W146" s="13" t="s">
        <v>82</v>
      </c>
      <c r="X146" s="13" t="s">
        <v>82</v>
      </c>
      <c r="Y146" s="13" t="s">
        <v>82</v>
      </c>
      <c r="Z146" s="13" t="s">
        <v>82</v>
      </c>
      <c r="AA146" s="13"/>
      <c r="AB146" s="13" t="s">
        <v>82</v>
      </c>
      <c r="AC146" s="13"/>
      <c r="AD146" s="13" t="s">
        <v>82</v>
      </c>
      <c r="AE146" s="13"/>
      <c r="AF146" s="13"/>
      <c r="AG146" s="13" t="s">
        <v>82</v>
      </c>
      <c r="AH146" s="13"/>
      <c r="AI146" s="13" t="s">
        <v>84</v>
      </c>
      <c r="AJ146" s="13"/>
      <c r="AK146" s="13"/>
      <c r="AL146" s="13" t="s">
        <v>126</v>
      </c>
      <c r="AM146" s="13" t="s">
        <v>91</v>
      </c>
      <c r="AN146" s="13"/>
      <c r="AO146" s="13" t="s">
        <v>80</v>
      </c>
      <c r="AP146" s="58"/>
      <c r="AQ146" s="13" t="s">
        <v>80</v>
      </c>
      <c r="AR146" s="13" t="s">
        <v>80</v>
      </c>
      <c r="AS146" s="13" t="s">
        <v>80</v>
      </c>
      <c r="AT146" s="13" t="s">
        <v>80</v>
      </c>
      <c r="AU146" s="13"/>
      <c r="AV146" s="58"/>
      <c r="AW146" s="13" t="s">
        <v>84</v>
      </c>
      <c r="AX146" s="13" t="s">
        <v>82</v>
      </c>
      <c r="AY146" s="13" t="s">
        <v>84</v>
      </c>
      <c r="AZ146" s="13" t="s">
        <v>82</v>
      </c>
      <c r="BA146" s="13"/>
      <c r="BB146" s="13" t="s">
        <v>84</v>
      </c>
      <c r="BC146" s="13" t="s">
        <v>80</v>
      </c>
      <c r="BD146" s="13" t="s">
        <v>93</v>
      </c>
      <c r="BE146" s="13" t="s">
        <v>93</v>
      </c>
      <c r="BF146" s="13" t="s">
        <v>100</v>
      </c>
      <c r="BG146" s="13" t="s">
        <v>84</v>
      </c>
      <c r="BH146" s="13" t="s">
        <v>84</v>
      </c>
      <c r="BI146" s="13"/>
      <c r="BJ146" s="13" t="s">
        <v>84</v>
      </c>
      <c r="BK146" s="13" t="s">
        <v>80</v>
      </c>
      <c r="BL146" s="13">
        <v>2</v>
      </c>
      <c r="BM146" s="13">
        <v>1</v>
      </c>
      <c r="BN146" s="13">
        <v>5</v>
      </c>
      <c r="BO146" s="13">
        <v>5</v>
      </c>
      <c r="BP146" s="13">
        <v>4</v>
      </c>
      <c r="BQ146" s="13">
        <v>2</v>
      </c>
      <c r="BR146" s="58"/>
      <c r="BS146" s="13" t="s">
        <v>99</v>
      </c>
      <c r="BT146" s="13"/>
      <c r="BU146" s="13"/>
      <c r="BV146" s="13"/>
      <c r="BW146" s="58"/>
      <c r="BX146" s="13" t="s">
        <v>82</v>
      </c>
      <c r="BY146" s="13"/>
      <c r="BZ146" s="13" t="s">
        <v>84</v>
      </c>
      <c r="CA146" s="13"/>
      <c r="CB146" s="13" t="s">
        <v>82</v>
      </c>
      <c r="CC146" s="13"/>
      <c r="CD146" s="13" t="s">
        <v>82</v>
      </c>
      <c r="CE146" s="13"/>
      <c r="CF146" s="13"/>
      <c r="CG146" s="13"/>
      <c r="CH146" s="58"/>
      <c r="CI146" s="13" t="s">
        <v>84</v>
      </c>
      <c r="CJ146" s="13"/>
      <c r="CK146" s="13" t="s">
        <v>82</v>
      </c>
      <c r="CL146" s="13"/>
      <c r="CM146" s="13" t="s">
        <v>84</v>
      </c>
      <c r="CN146" s="13"/>
      <c r="CO146" s="13"/>
      <c r="CP146" s="13"/>
      <c r="CQ146" s="13" t="s">
        <v>118</v>
      </c>
      <c r="CR146" s="13" t="s">
        <v>84</v>
      </c>
      <c r="CS146" s="13" t="s">
        <v>97</v>
      </c>
      <c r="CT146" s="13"/>
      <c r="CU146" s="13" t="s">
        <v>246</v>
      </c>
      <c r="CV146" s="13"/>
      <c r="CW146" s="13" t="s">
        <v>82</v>
      </c>
      <c r="CX146" s="13"/>
      <c r="CY146" s="13" t="s">
        <v>81</v>
      </c>
      <c r="CZ146" s="13"/>
      <c r="DA146" s="13" t="s">
        <v>82</v>
      </c>
      <c r="DB146" s="13"/>
      <c r="DC146" s="13" t="s">
        <v>84</v>
      </c>
      <c r="DD146" s="13" t="s">
        <v>84</v>
      </c>
      <c r="DE146" s="58"/>
      <c r="DF146" s="58"/>
      <c r="DG146" s="13">
        <v>3</v>
      </c>
      <c r="DH146" s="13">
        <v>1</v>
      </c>
      <c r="DI146" s="13">
        <v>3</v>
      </c>
      <c r="DJ146" s="13">
        <v>1</v>
      </c>
      <c r="DK146" s="13">
        <v>3</v>
      </c>
      <c r="DL146" s="13">
        <v>1</v>
      </c>
      <c r="DM146" s="13">
        <v>3</v>
      </c>
      <c r="DN146" s="13">
        <v>1</v>
      </c>
      <c r="DO146" s="13">
        <v>2</v>
      </c>
      <c r="DP146" s="13">
        <v>1</v>
      </c>
      <c r="DQ146" s="13">
        <v>3</v>
      </c>
      <c r="DR146" s="13">
        <v>1</v>
      </c>
      <c r="DS146" s="13" t="s">
        <v>118</v>
      </c>
      <c r="DT146" s="13" t="s">
        <v>84</v>
      </c>
      <c r="DU146" s="13"/>
      <c r="DV146" s="13" t="s">
        <v>84</v>
      </c>
      <c r="DW146" s="13" t="s">
        <v>93</v>
      </c>
      <c r="DX146" s="13" t="s">
        <v>81</v>
      </c>
      <c r="DY146" s="13"/>
      <c r="DZ146" s="13" t="s">
        <v>113</v>
      </c>
      <c r="EA146" s="13"/>
      <c r="EB146" s="13" t="s">
        <v>82</v>
      </c>
      <c r="EC146" s="13"/>
      <c r="ED146" s="13" t="s">
        <v>246</v>
      </c>
      <c r="EE146" s="13"/>
      <c r="EF146" s="13" t="s">
        <v>84</v>
      </c>
      <c r="EG146" s="13" t="s">
        <v>84</v>
      </c>
      <c r="EH146" s="13" t="s">
        <v>82</v>
      </c>
      <c r="EI146" s="13"/>
      <c r="EJ146" s="13"/>
      <c r="EK146" s="13"/>
      <c r="EL146" s="13"/>
      <c r="EM146" s="9">
        <v>473.46</v>
      </c>
      <c r="EN146" s="9">
        <v>19.78</v>
      </c>
      <c r="EQ146" s="9">
        <v>74.13</v>
      </c>
      <c r="EW146" s="9">
        <v>24.09</v>
      </c>
      <c r="FF146" s="9">
        <v>15.72</v>
      </c>
      <c r="FJ146" s="9">
        <v>16.010000000000002</v>
      </c>
      <c r="FP146" s="9">
        <v>55.39</v>
      </c>
      <c r="FV146" s="9">
        <v>55.34</v>
      </c>
      <c r="GC146" s="9">
        <v>139.41999999999999</v>
      </c>
      <c r="GT146" s="9">
        <v>13.56</v>
      </c>
      <c r="GX146" s="9">
        <v>21.95</v>
      </c>
      <c r="HB146" s="9">
        <v>38.07</v>
      </c>
      <c r="HQ146" s="62">
        <f t="shared" si="10"/>
        <v>473.46</v>
      </c>
      <c r="HR146" s="62">
        <f t="shared" si="11"/>
        <v>7.891</v>
      </c>
    </row>
    <row r="147" spans="1:226" s="32" customFormat="1" ht="12.75" x14ac:dyDescent="0.2">
      <c r="A147" s="33">
        <v>206</v>
      </c>
      <c r="B147" s="32">
        <v>211</v>
      </c>
      <c r="D147" s="32">
        <v>10</v>
      </c>
      <c r="E147" s="32" t="s">
        <v>79</v>
      </c>
      <c r="F147" s="32">
        <v>32421949</v>
      </c>
      <c r="G147" s="32" t="s">
        <v>81</v>
      </c>
      <c r="H147" s="32" t="s">
        <v>84</v>
      </c>
      <c r="I147" s="32" t="s">
        <v>161</v>
      </c>
      <c r="K147" s="58"/>
      <c r="L147" s="58"/>
      <c r="M147" s="32" t="s">
        <v>1319</v>
      </c>
      <c r="N147" s="32" t="s">
        <v>618</v>
      </c>
      <c r="P147" s="32" t="s">
        <v>87</v>
      </c>
      <c r="Q147" s="32" t="s">
        <v>1296</v>
      </c>
      <c r="R147" s="58"/>
      <c r="S147" s="32" t="s">
        <v>84</v>
      </c>
      <c r="T147" s="32" t="s">
        <v>82</v>
      </c>
      <c r="U147" s="32" t="s">
        <v>82</v>
      </c>
      <c r="V147" s="32" t="s">
        <v>82</v>
      </c>
      <c r="W147" s="32" t="s">
        <v>82</v>
      </c>
      <c r="X147" s="32" t="s">
        <v>84</v>
      </c>
      <c r="Y147" s="32" t="s">
        <v>82</v>
      </c>
      <c r="Z147" s="32" t="s">
        <v>84</v>
      </c>
      <c r="AB147" s="32" t="s">
        <v>82</v>
      </c>
      <c r="AD147" s="32" t="s">
        <v>84</v>
      </c>
      <c r="AE147" s="32" t="s">
        <v>2559</v>
      </c>
      <c r="AF147" s="32" t="s">
        <v>2560</v>
      </c>
      <c r="AG147" s="32" t="s">
        <v>80</v>
      </c>
      <c r="AI147" s="32" t="s">
        <v>84</v>
      </c>
      <c r="AK147" s="32" t="s">
        <v>2561</v>
      </c>
      <c r="AL147" s="32" t="s">
        <v>90</v>
      </c>
      <c r="AM147" s="32" t="s">
        <v>91</v>
      </c>
      <c r="AO147" s="32" t="s">
        <v>80</v>
      </c>
      <c r="AP147" s="58"/>
      <c r="AQ147" s="32" t="s">
        <v>80</v>
      </c>
      <c r="AR147" s="32" t="s">
        <v>80</v>
      </c>
      <c r="AS147" s="32" t="s">
        <v>80</v>
      </c>
      <c r="AT147" s="32" t="s">
        <v>80</v>
      </c>
      <c r="AV147" s="58"/>
      <c r="AW147" s="32" t="s">
        <v>84</v>
      </c>
      <c r="AX147" s="32" t="s">
        <v>82</v>
      </c>
      <c r="AY147" s="32" t="s">
        <v>82</v>
      </c>
      <c r="AZ147" s="32" t="s">
        <v>84</v>
      </c>
      <c r="BB147" s="32" t="s">
        <v>84</v>
      </c>
      <c r="BC147" s="32" t="s">
        <v>80</v>
      </c>
      <c r="BD147" s="32" t="s">
        <v>113</v>
      </c>
      <c r="BE147" s="32" t="s">
        <v>113</v>
      </c>
      <c r="BF147" s="32" t="s">
        <v>112</v>
      </c>
      <c r="BG147" s="32" t="s">
        <v>84</v>
      </c>
      <c r="BH147" s="32" t="s">
        <v>84</v>
      </c>
      <c r="BI147" s="32" t="s">
        <v>2562</v>
      </c>
      <c r="BJ147" s="32" t="s">
        <v>84</v>
      </c>
      <c r="BK147" s="32" t="s">
        <v>80</v>
      </c>
      <c r="BL147" s="32">
        <v>1</v>
      </c>
      <c r="BM147" s="32">
        <v>1</v>
      </c>
      <c r="BN147" s="32">
        <v>1</v>
      </c>
      <c r="BO147" s="32">
        <v>1</v>
      </c>
      <c r="BP147" s="32">
        <v>3</v>
      </c>
      <c r="BQ147" s="32">
        <v>5</v>
      </c>
      <c r="BR147" s="58"/>
      <c r="BS147" s="32" t="s">
        <v>99</v>
      </c>
      <c r="BW147" s="58"/>
      <c r="BX147" s="32" t="s">
        <v>82</v>
      </c>
      <c r="BZ147" s="32" t="s">
        <v>84</v>
      </c>
      <c r="CA147" s="32" t="s">
        <v>2563</v>
      </c>
      <c r="CB147" s="32" t="s">
        <v>82</v>
      </c>
      <c r="CD147" s="32" t="s">
        <v>82</v>
      </c>
      <c r="CH147" s="58"/>
      <c r="CI147" s="32" t="s">
        <v>82</v>
      </c>
      <c r="CK147" s="32" t="s">
        <v>82</v>
      </c>
      <c r="CM147" s="32" t="s">
        <v>84</v>
      </c>
      <c r="CQ147" s="32" t="s">
        <v>99</v>
      </c>
      <c r="CR147" s="32" t="s">
        <v>80</v>
      </c>
      <c r="CS147" s="32" t="s">
        <v>99</v>
      </c>
      <c r="CW147" s="32" t="s">
        <v>84</v>
      </c>
      <c r="CX147" s="32" t="s">
        <v>2564</v>
      </c>
      <c r="DA147" s="32" t="s">
        <v>84</v>
      </c>
      <c r="DB147" s="32" t="s">
        <v>2565</v>
      </c>
      <c r="DC147" s="32" t="s">
        <v>84</v>
      </c>
      <c r="DD147" s="32" t="s">
        <v>84</v>
      </c>
      <c r="DE147" s="58"/>
      <c r="DF147" s="58"/>
      <c r="DG147" s="32">
        <v>1</v>
      </c>
      <c r="DH147" s="32">
        <v>1</v>
      </c>
      <c r="DI147" s="32">
        <v>1</v>
      </c>
      <c r="DJ147" s="32">
        <v>1</v>
      </c>
      <c r="DK147" s="32">
        <v>2</v>
      </c>
      <c r="DL147" s="32">
        <v>1</v>
      </c>
      <c r="DM147" s="32">
        <v>1</v>
      </c>
      <c r="DN147" s="32">
        <v>1</v>
      </c>
      <c r="DO147" s="32">
        <v>1</v>
      </c>
      <c r="DP147" s="32">
        <v>1</v>
      </c>
      <c r="DQ147" s="32">
        <v>1</v>
      </c>
      <c r="DR147" s="32">
        <v>1</v>
      </c>
      <c r="DS147" s="32" t="s">
        <v>99</v>
      </c>
      <c r="DT147" s="32" t="s">
        <v>84</v>
      </c>
      <c r="DV147" s="32" t="s">
        <v>84</v>
      </c>
      <c r="DW147" s="32" t="s">
        <v>100</v>
      </c>
      <c r="DX147" s="32" t="s">
        <v>246</v>
      </c>
      <c r="EB147" s="32" t="s">
        <v>80</v>
      </c>
      <c r="EF147" s="32" t="s">
        <v>80</v>
      </c>
      <c r="EG147" s="32" t="s">
        <v>80</v>
      </c>
      <c r="EH147" s="32" t="s">
        <v>80</v>
      </c>
      <c r="EM147" s="32">
        <v>527.22</v>
      </c>
      <c r="EN147" s="32">
        <v>13.94</v>
      </c>
      <c r="EQ147" s="32">
        <v>88.32</v>
      </c>
      <c r="EW147" s="32">
        <v>55.75</v>
      </c>
      <c r="FF147" s="32">
        <v>40.83</v>
      </c>
      <c r="FJ147" s="32">
        <v>16.2</v>
      </c>
      <c r="FP147" s="32">
        <v>37.380000000000003</v>
      </c>
      <c r="FV147" s="32">
        <v>84.65</v>
      </c>
      <c r="GC147" s="32">
        <v>149.47999999999999</v>
      </c>
      <c r="GT147" s="32">
        <v>15.52</v>
      </c>
      <c r="GX147" s="32">
        <v>25.15</v>
      </c>
      <c r="HQ147" s="63">
        <f t="shared" si="10"/>
        <v>527.22</v>
      </c>
      <c r="HR147" s="63"/>
    </row>
    <row r="148" spans="1:226" s="9" customFormat="1" ht="12.75" x14ac:dyDescent="0.2">
      <c r="A148" s="11">
        <v>207</v>
      </c>
      <c r="B148" s="9">
        <v>212</v>
      </c>
      <c r="C148" s="9" t="s">
        <v>83</v>
      </c>
      <c r="D148" s="9">
        <v>11</v>
      </c>
      <c r="E148" s="9" t="s">
        <v>79</v>
      </c>
      <c r="F148" s="9">
        <v>1815639333</v>
      </c>
      <c r="G148" s="9" t="s">
        <v>81</v>
      </c>
      <c r="H148" s="9" t="s">
        <v>84</v>
      </c>
      <c r="I148" s="13" t="s">
        <v>161</v>
      </c>
      <c r="J148" s="13"/>
      <c r="K148" s="58"/>
      <c r="L148" s="58"/>
      <c r="M148" s="13" t="s">
        <v>1319</v>
      </c>
      <c r="N148" s="13" t="s">
        <v>618</v>
      </c>
      <c r="O148" s="13"/>
      <c r="P148" s="13" t="s">
        <v>87</v>
      </c>
      <c r="Q148" s="13" t="s">
        <v>1296</v>
      </c>
      <c r="R148" s="58"/>
      <c r="S148" s="13" t="s">
        <v>84</v>
      </c>
      <c r="T148" s="13" t="s">
        <v>84</v>
      </c>
      <c r="U148" s="13" t="s">
        <v>84</v>
      </c>
      <c r="V148" s="13" t="s">
        <v>84</v>
      </c>
      <c r="W148" s="13" t="s">
        <v>82</v>
      </c>
      <c r="X148" s="13" t="s">
        <v>82</v>
      </c>
      <c r="Y148" s="13" t="s">
        <v>82</v>
      </c>
      <c r="Z148" s="13" t="s">
        <v>82</v>
      </c>
      <c r="AA148" s="13"/>
      <c r="AB148" s="13" t="s">
        <v>82</v>
      </c>
      <c r="AC148" s="13"/>
      <c r="AD148" s="13" t="s">
        <v>82</v>
      </c>
      <c r="AE148" s="13"/>
      <c r="AF148" s="13"/>
      <c r="AG148" s="13" t="s">
        <v>84</v>
      </c>
      <c r="AH148" s="13"/>
      <c r="AI148" s="13" t="s">
        <v>84</v>
      </c>
      <c r="AJ148" s="13"/>
      <c r="AK148" s="13"/>
      <c r="AL148" s="13" t="s">
        <v>140</v>
      </c>
      <c r="AM148" s="13" t="s">
        <v>91</v>
      </c>
      <c r="AN148" s="13"/>
      <c r="AO148" s="13" t="s">
        <v>80</v>
      </c>
      <c r="AP148" s="58"/>
      <c r="AQ148" s="13" t="s">
        <v>80</v>
      </c>
      <c r="AR148" s="13" t="s">
        <v>80</v>
      </c>
      <c r="AS148" s="13" t="s">
        <v>80</v>
      </c>
      <c r="AT148" s="13" t="s">
        <v>80</v>
      </c>
      <c r="AU148" s="13"/>
      <c r="AV148" s="58"/>
      <c r="AW148" s="13" t="s">
        <v>84</v>
      </c>
      <c r="AX148" s="13" t="s">
        <v>82</v>
      </c>
      <c r="AY148" s="13" t="s">
        <v>84</v>
      </c>
      <c r="AZ148" s="13" t="s">
        <v>84</v>
      </c>
      <c r="BA148" s="13"/>
      <c r="BB148" s="13" t="s">
        <v>84</v>
      </c>
      <c r="BC148" s="13" t="s">
        <v>80</v>
      </c>
      <c r="BD148" s="13" t="s">
        <v>113</v>
      </c>
      <c r="BE148" s="13" t="s">
        <v>93</v>
      </c>
      <c r="BF148" s="13" t="s">
        <v>112</v>
      </c>
      <c r="BG148" s="13" t="s">
        <v>82</v>
      </c>
      <c r="BH148" s="13" t="s">
        <v>84</v>
      </c>
      <c r="BI148" s="13"/>
      <c r="BJ148" s="13" t="s">
        <v>84</v>
      </c>
      <c r="BK148" s="13" t="s">
        <v>80</v>
      </c>
      <c r="BL148" s="13">
        <v>4</v>
      </c>
      <c r="BM148" s="13">
        <v>2</v>
      </c>
      <c r="BN148" s="13">
        <v>1</v>
      </c>
      <c r="BO148" s="13">
        <v>1</v>
      </c>
      <c r="BP148" s="13">
        <v>4</v>
      </c>
      <c r="BQ148" s="13">
        <v>2</v>
      </c>
      <c r="BR148" s="58"/>
      <c r="BS148" s="13" t="s">
        <v>99</v>
      </c>
      <c r="BT148" s="13"/>
      <c r="BU148" s="13"/>
      <c r="BV148" s="13"/>
      <c r="BW148" s="58"/>
      <c r="BX148" s="13" t="s">
        <v>82</v>
      </c>
      <c r="BY148" s="13"/>
      <c r="BZ148" s="13" t="s">
        <v>84</v>
      </c>
      <c r="CA148" s="13"/>
      <c r="CB148" s="13" t="s">
        <v>82</v>
      </c>
      <c r="CC148" s="13"/>
      <c r="CD148" s="13" t="s">
        <v>84</v>
      </c>
      <c r="CE148" s="13"/>
      <c r="CF148" s="13"/>
      <c r="CG148" s="13"/>
      <c r="CH148" s="58"/>
      <c r="CI148" s="13" t="s">
        <v>82</v>
      </c>
      <c r="CJ148" s="13"/>
      <c r="CK148" s="13" t="s">
        <v>84</v>
      </c>
      <c r="CL148" s="13"/>
      <c r="CM148" s="13" t="s">
        <v>82</v>
      </c>
      <c r="CN148" s="13"/>
      <c r="CO148" s="13"/>
      <c r="CP148" s="13"/>
      <c r="CQ148" s="13" t="s">
        <v>99</v>
      </c>
      <c r="CR148" s="13" t="s">
        <v>80</v>
      </c>
      <c r="CS148" s="13" t="s">
        <v>1312</v>
      </c>
      <c r="CT148" s="13"/>
      <c r="CU148" s="13" t="s">
        <v>81</v>
      </c>
      <c r="CV148" s="13"/>
      <c r="CW148" s="13" t="s">
        <v>82</v>
      </c>
      <c r="CX148" s="13"/>
      <c r="CY148" s="13" t="s">
        <v>81</v>
      </c>
      <c r="CZ148" s="13"/>
      <c r="DA148" s="13" t="s">
        <v>84</v>
      </c>
      <c r="DB148" s="13"/>
      <c r="DC148" s="13" t="s">
        <v>84</v>
      </c>
      <c r="DD148" s="13" t="s">
        <v>82</v>
      </c>
      <c r="DE148" s="58"/>
      <c r="DF148" s="58"/>
      <c r="DG148" s="13">
        <v>2</v>
      </c>
      <c r="DH148" s="13">
        <v>1</v>
      </c>
      <c r="DI148" s="13">
        <v>2</v>
      </c>
      <c r="DJ148" s="13">
        <v>1</v>
      </c>
      <c r="DK148" s="13">
        <v>2</v>
      </c>
      <c r="DL148" s="13">
        <v>2</v>
      </c>
      <c r="DM148" s="13">
        <v>1</v>
      </c>
      <c r="DN148" s="13">
        <v>1</v>
      </c>
      <c r="DO148" s="13">
        <v>1</v>
      </c>
      <c r="DP148" s="13">
        <v>1</v>
      </c>
      <c r="DQ148" s="13">
        <v>1</v>
      </c>
      <c r="DR148" s="13">
        <v>1</v>
      </c>
      <c r="DS148" s="13" t="s">
        <v>99</v>
      </c>
      <c r="DT148" s="13" t="s">
        <v>84</v>
      </c>
      <c r="DU148" s="13"/>
      <c r="DV148" s="13" t="s">
        <v>84</v>
      </c>
      <c r="DW148" s="13" t="s">
        <v>113</v>
      </c>
      <c r="DX148" s="13" t="s">
        <v>81</v>
      </c>
      <c r="DY148" s="13"/>
      <c r="DZ148" s="13" t="s">
        <v>113</v>
      </c>
      <c r="EA148" s="13"/>
      <c r="EB148" s="13" t="s">
        <v>82</v>
      </c>
      <c r="EC148" s="13"/>
      <c r="ED148" s="13" t="s">
        <v>81</v>
      </c>
      <c r="EE148" s="13"/>
      <c r="EF148" s="13" t="s">
        <v>84</v>
      </c>
      <c r="EG148" s="13" t="s">
        <v>84</v>
      </c>
      <c r="EH148" s="13" t="s">
        <v>84</v>
      </c>
      <c r="EI148" s="13"/>
      <c r="EJ148" s="13"/>
      <c r="EK148" s="13"/>
      <c r="EL148" s="13"/>
      <c r="EM148" s="9">
        <v>478.77</v>
      </c>
      <c r="EN148" s="9">
        <v>29.51</v>
      </c>
      <c r="EQ148" s="9">
        <v>33.799999999999997</v>
      </c>
      <c r="EW148" s="9">
        <v>37.090000000000003</v>
      </c>
      <c r="FF148" s="9">
        <v>30.71</v>
      </c>
      <c r="FJ148" s="9">
        <v>41.56</v>
      </c>
      <c r="FP148" s="9">
        <v>30.99</v>
      </c>
      <c r="FV148" s="9">
        <v>53.22</v>
      </c>
      <c r="GC148" s="9">
        <v>134.6</v>
      </c>
      <c r="GT148" s="9">
        <v>12.38</v>
      </c>
      <c r="GX148" s="9">
        <v>13.73</v>
      </c>
      <c r="HB148" s="9">
        <v>61.18</v>
      </c>
      <c r="HQ148" s="62">
        <f t="shared" si="10"/>
        <v>478.77</v>
      </c>
      <c r="HR148" s="62">
        <f t="shared" ref="HR148:HR155" si="12">HQ148/60</f>
        <v>7.9794999999999998</v>
      </c>
    </row>
    <row r="149" spans="1:226" s="9" customFormat="1" ht="12.75" x14ac:dyDescent="0.2">
      <c r="A149" s="11">
        <v>208</v>
      </c>
      <c r="B149" s="9">
        <v>213</v>
      </c>
      <c r="C149" s="9" t="s">
        <v>83</v>
      </c>
      <c r="D149" s="9">
        <v>11</v>
      </c>
      <c r="E149" s="9" t="s">
        <v>79</v>
      </c>
      <c r="F149" s="9">
        <v>1066422061</v>
      </c>
      <c r="G149" s="9" t="s">
        <v>81</v>
      </c>
      <c r="H149" s="9" t="s">
        <v>84</v>
      </c>
      <c r="I149" s="13" t="s">
        <v>363</v>
      </c>
      <c r="J149" s="13"/>
      <c r="K149" s="58"/>
      <c r="L149" s="58"/>
      <c r="M149" s="13" t="s">
        <v>1294</v>
      </c>
      <c r="N149" s="13" t="s">
        <v>138</v>
      </c>
      <c r="O149" s="13"/>
      <c r="P149" s="13" t="s">
        <v>87</v>
      </c>
      <c r="Q149" s="13" t="s">
        <v>1358</v>
      </c>
      <c r="R149" s="58"/>
      <c r="S149" s="13" t="s">
        <v>84</v>
      </c>
      <c r="T149" s="13" t="s">
        <v>84</v>
      </c>
      <c r="U149" s="13" t="s">
        <v>84</v>
      </c>
      <c r="V149" s="13" t="s">
        <v>82</v>
      </c>
      <c r="W149" s="13" t="s">
        <v>82</v>
      </c>
      <c r="X149" s="13" t="s">
        <v>82</v>
      </c>
      <c r="Y149" s="13" t="s">
        <v>84</v>
      </c>
      <c r="Z149" s="13" t="s">
        <v>82</v>
      </c>
      <c r="AA149" s="13"/>
      <c r="AB149" s="13" t="s">
        <v>82</v>
      </c>
      <c r="AC149" s="13"/>
      <c r="AD149" s="13" t="s">
        <v>82</v>
      </c>
      <c r="AE149" s="13"/>
      <c r="AF149" s="13"/>
      <c r="AG149" s="13" t="s">
        <v>82</v>
      </c>
      <c r="AH149" s="13"/>
      <c r="AI149" s="13" t="s">
        <v>84</v>
      </c>
      <c r="AJ149" s="13" t="s">
        <v>2566</v>
      </c>
      <c r="AK149" s="13" t="s">
        <v>2567</v>
      </c>
      <c r="AL149" s="13" t="s">
        <v>140</v>
      </c>
      <c r="AM149" s="13" t="s">
        <v>91</v>
      </c>
      <c r="AN149" s="13"/>
      <c r="AO149" s="13" t="s">
        <v>80</v>
      </c>
      <c r="AP149" s="58"/>
      <c r="AQ149" s="13" t="s">
        <v>80</v>
      </c>
      <c r="AR149" s="13" t="s">
        <v>80</v>
      </c>
      <c r="AS149" s="13" t="s">
        <v>80</v>
      </c>
      <c r="AT149" s="13" t="s">
        <v>80</v>
      </c>
      <c r="AU149" s="13"/>
      <c r="AV149" s="58"/>
      <c r="AW149" s="13" t="s">
        <v>84</v>
      </c>
      <c r="AX149" s="13" t="s">
        <v>82</v>
      </c>
      <c r="AY149" s="13" t="s">
        <v>84</v>
      </c>
      <c r="AZ149" s="13" t="s">
        <v>84</v>
      </c>
      <c r="BA149" s="13"/>
      <c r="BB149" s="13" t="s">
        <v>84</v>
      </c>
      <c r="BC149" s="13" t="s">
        <v>80</v>
      </c>
      <c r="BD149" s="13" t="s">
        <v>112</v>
      </c>
      <c r="BE149" s="13" t="s">
        <v>113</v>
      </c>
      <c r="BF149" s="13" t="s">
        <v>340</v>
      </c>
      <c r="BG149" s="13" t="s">
        <v>84</v>
      </c>
      <c r="BH149" s="13" t="s">
        <v>84</v>
      </c>
      <c r="BI149" s="13"/>
      <c r="BJ149" s="13" t="s">
        <v>84</v>
      </c>
      <c r="BK149" s="13" t="s">
        <v>80</v>
      </c>
      <c r="BL149" s="13">
        <v>5</v>
      </c>
      <c r="BM149" s="13">
        <v>5</v>
      </c>
      <c r="BN149" s="13">
        <v>5</v>
      </c>
      <c r="BO149" s="13">
        <v>5</v>
      </c>
      <c r="BP149" s="13">
        <v>5</v>
      </c>
      <c r="BQ149" s="13">
        <v>5</v>
      </c>
      <c r="BR149" s="58"/>
      <c r="BS149" s="13" t="s">
        <v>99</v>
      </c>
      <c r="BT149" s="13"/>
      <c r="BU149" s="13"/>
      <c r="BV149" s="13"/>
      <c r="BW149" s="58"/>
      <c r="BX149" s="13" t="s">
        <v>82</v>
      </c>
      <c r="BY149" s="13"/>
      <c r="BZ149" s="13" t="s">
        <v>84</v>
      </c>
      <c r="CA149" s="13"/>
      <c r="CB149" s="13" t="s">
        <v>82</v>
      </c>
      <c r="CC149" s="13"/>
      <c r="CD149" s="13" t="s">
        <v>82</v>
      </c>
      <c r="CE149" s="13"/>
      <c r="CF149" s="13"/>
      <c r="CG149" s="13"/>
      <c r="CH149" s="58"/>
      <c r="CI149" s="13" t="s">
        <v>84</v>
      </c>
      <c r="CJ149" s="13"/>
      <c r="CK149" s="13" t="s">
        <v>82</v>
      </c>
      <c r="CL149" s="13"/>
      <c r="CM149" s="13" t="s">
        <v>84</v>
      </c>
      <c r="CN149" s="13"/>
      <c r="CO149" s="13"/>
      <c r="CP149" s="13"/>
      <c r="CQ149" s="13" t="s">
        <v>118</v>
      </c>
      <c r="CR149" s="13" t="s">
        <v>82</v>
      </c>
      <c r="CS149" s="13"/>
      <c r="CT149" s="13"/>
      <c r="CU149" s="13"/>
      <c r="CV149" s="13"/>
      <c r="CW149" s="13" t="s">
        <v>82</v>
      </c>
      <c r="CX149" s="13"/>
      <c r="CY149" s="13" t="s">
        <v>246</v>
      </c>
      <c r="CZ149" s="13" t="s">
        <v>2568</v>
      </c>
      <c r="DA149" s="13" t="s">
        <v>82</v>
      </c>
      <c r="DB149" s="13"/>
      <c r="DC149" s="13" t="s">
        <v>84</v>
      </c>
      <c r="DD149" s="13" t="s">
        <v>84</v>
      </c>
      <c r="DE149" s="58"/>
      <c r="DF149" s="58"/>
      <c r="DG149" s="13">
        <v>1</v>
      </c>
      <c r="DH149" s="13">
        <v>5</v>
      </c>
      <c r="DI149" s="13">
        <v>2</v>
      </c>
      <c r="DJ149" s="13">
        <v>4</v>
      </c>
      <c r="DK149" s="13">
        <v>3</v>
      </c>
      <c r="DL149" s="13">
        <v>3</v>
      </c>
      <c r="DM149" s="13">
        <v>1</v>
      </c>
      <c r="DN149" s="13">
        <v>5</v>
      </c>
      <c r="DO149" s="13">
        <v>1</v>
      </c>
      <c r="DP149" s="13">
        <v>5</v>
      </c>
      <c r="DQ149" s="13">
        <v>1</v>
      </c>
      <c r="DR149" s="13">
        <v>5</v>
      </c>
      <c r="DS149" s="13" t="s">
        <v>99</v>
      </c>
      <c r="DT149" s="13" t="s">
        <v>84</v>
      </c>
      <c r="DU149" s="13"/>
      <c r="DV149" s="13" t="s">
        <v>84</v>
      </c>
      <c r="DW149" s="13" t="s">
        <v>100</v>
      </c>
      <c r="DX149" s="13" t="s">
        <v>81</v>
      </c>
      <c r="DY149" s="13"/>
      <c r="DZ149" s="13" t="s">
        <v>113</v>
      </c>
      <c r="EA149" s="13"/>
      <c r="EB149" s="13" t="s">
        <v>82</v>
      </c>
      <c r="EC149" s="13"/>
      <c r="ED149" s="13" t="s">
        <v>246</v>
      </c>
      <c r="EE149" s="13"/>
      <c r="EF149" s="13" t="s">
        <v>82</v>
      </c>
      <c r="EG149" s="13" t="s">
        <v>84</v>
      </c>
      <c r="EH149" s="13" t="s">
        <v>84</v>
      </c>
      <c r="EI149" s="13" t="s">
        <v>2569</v>
      </c>
      <c r="EJ149" s="13" t="s">
        <v>2570</v>
      </c>
      <c r="EK149" s="13" t="s">
        <v>2571</v>
      </c>
      <c r="EL149" s="13" t="s">
        <v>2572</v>
      </c>
      <c r="EM149" s="9">
        <v>857.36</v>
      </c>
      <c r="EN149" s="9">
        <v>24.23</v>
      </c>
      <c r="EQ149" s="9">
        <v>69.319999999999993</v>
      </c>
      <c r="EW149" s="9">
        <v>36.909999999999997</v>
      </c>
      <c r="FF149" s="9">
        <v>164.93</v>
      </c>
      <c r="FJ149" s="9">
        <v>20.25</v>
      </c>
      <c r="FP149" s="9">
        <v>56.41</v>
      </c>
      <c r="FV149" s="9">
        <v>54.2</v>
      </c>
      <c r="GC149" s="9">
        <v>235.07</v>
      </c>
      <c r="GT149" s="9">
        <v>12.05</v>
      </c>
      <c r="GX149" s="9">
        <v>18.489999999999998</v>
      </c>
      <c r="HB149" s="9">
        <v>165.5</v>
      </c>
      <c r="HQ149" s="62">
        <f t="shared" si="10"/>
        <v>857.36</v>
      </c>
      <c r="HR149" s="62">
        <f t="shared" si="12"/>
        <v>14.289333333333333</v>
      </c>
    </row>
    <row r="150" spans="1:226" s="9" customFormat="1" ht="12.75" x14ac:dyDescent="0.2">
      <c r="A150" s="11">
        <v>209</v>
      </c>
      <c r="B150" s="9">
        <v>215</v>
      </c>
      <c r="C150" s="9" t="s">
        <v>83</v>
      </c>
      <c r="D150" s="9">
        <v>11</v>
      </c>
      <c r="E150" s="9" t="s">
        <v>79</v>
      </c>
      <c r="F150" s="9">
        <v>684966772</v>
      </c>
      <c r="G150" s="9" t="s">
        <v>81</v>
      </c>
      <c r="H150" s="9" t="s">
        <v>84</v>
      </c>
      <c r="I150" s="13" t="s">
        <v>161</v>
      </c>
      <c r="J150" s="13"/>
      <c r="K150" s="58"/>
      <c r="L150" s="58"/>
      <c r="M150" s="13" t="s">
        <v>1294</v>
      </c>
      <c r="N150" s="13" t="s">
        <v>108</v>
      </c>
      <c r="O150" s="13"/>
      <c r="P150" s="13" t="s">
        <v>253</v>
      </c>
      <c r="Q150" s="13" t="s">
        <v>1296</v>
      </c>
      <c r="R150" s="58"/>
      <c r="S150" s="13" t="s">
        <v>84</v>
      </c>
      <c r="T150" s="13" t="s">
        <v>84</v>
      </c>
      <c r="U150" s="13" t="s">
        <v>84</v>
      </c>
      <c r="V150" s="13" t="s">
        <v>82</v>
      </c>
      <c r="W150" s="13" t="s">
        <v>82</v>
      </c>
      <c r="X150" s="13" t="s">
        <v>82</v>
      </c>
      <c r="Y150" s="13" t="s">
        <v>82</v>
      </c>
      <c r="Z150" s="13" t="s">
        <v>82</v>
      </c>
      <c r="AA150" s="13"/>
      <c r="AB150" s="13" t="s">
        <v>82</v>
      </c>
      <c r="AC150" s="13"/>
      <c r="AD150" s="13" t="s">
        <v>82</v>
      </c>
      <c r="AE150" s="13"/>
      <c r="AF150" s="13"/>
      <c r="AG150" s="13" t="s">
        <v>82</v>
      </c>
      <c r="AH150" s="13" t="s">
        <v>2573</v>
      </c>
      <c r="AI150" s="13" t="s">
        <v>84</v>
      </c>
      <c r="AJ150" s="13"/>
      <c r="AK150" s="13" t="s">
        <v>2574</v>
      </c>
      <c r="AL150" s="13" t="s">
        <v>126</v>
      </c>
      <c r="AM150" s="13" t="s">
        <v>91</v>
      </c>
      <c r="AN150" s="13"/>
      <c r="AO150" s="13" t="s">
        <v>80</v>
      </c>
      <c r="AP150" s="58"/>
      <c r="AQ150" s="13" t="s">
        <v>80</v>
      </c>
      <c r="AR150" s="13" t="s">
        <v>80</v>
      </c>
      <c r="AS150" s="13" t="s">
        <v>80</v>
      </c>
      <c r="AT150" s="13" t="s">
        <v>80</v>
      </c>
      <c r="AU150" s="13"/>
      <c r="AV150" s="58"/>
      <c r="AW150" s="13" t="s">
        <v>84</v>
      </c>
      <c r="AX150" s="13" t="s">
        <v>84</v>
      </c>
      <c r="AY150" s="13" t="s">
        <v>84</v>
      </c>
      <c r="AZ150" s="13" t="s">
        <v>84</v>
      </c>
      <c r="BA150" s="13"/>
      <c r="BB150" s="13" t="s">
        <v>84</v>
      </c>
      <c r="BC150" s="13" t="s">
        <v>80</v>
      </c>
      <c r="BD150" s="13" t="s">
        <v>93</v>
      </c>
      <c r="BE150" s="13" t="s">
        <v>93</v>
      </c>
      <c r="BF150" s="13" t="s">
        <v>340</v>
      </c>
      <c r="BG150" s="13" t="s">
        <v>145</v>
      </c>
      <c r="BH150" s="13" t="s">
        <v>84</v>
      </c>
      <c r="BI150" s="13"/>
      <c r="BJ150" s="13" t="s">
        <v>84</v>
      </c>
      <c r="BK150" s="13" t="s">
        <v>80</v>
      </c>
      <c r="BL150" s="13">
        <v>2</v>
      </c>
      <c r="BM150" s="13">
        <v>2</v>
      </c>
      <c r="BN150" s="13">
        <v>2</v>
      </c>
      <c r="BO150" s="13">
        <v>2</v>
      </c>
      <c r="BP150" s="13">
        <v>5</v>
      </c>
      <c r="BQ150" s="13">
        <v>5</v>
      </c>
      <c r="BR150" s="58"/>
      <c r="BS150" s="13" t="s">
        <v>99</v>
      </c>
      <c r="BT150" s="13"/>
      <c r="BU150" s="13"/>
      <c r="BV150" s="13"/>
      <c r="BW150" s="58"/>
      <c r="BX150" s="13" t="s">
        <v>84</v>
      </c>
      <c r="BY150" s="13" t="s">
        <v>2575</v>
      </c>
      <c r="BZ150" s="13" t="s">
        <v>82</v>
      </c>
      <c r="CA150" s="13"/>
      <c r="CB150" s="13" t="s">
        <v>82</v>
      </c>
      <c r="CC150" s="13"/>
      <c r="CD150" s="13" t="s">
        <v>82</v>
      </c>
      <c r="CE150" s="13"/>
      <c r="CF150" s="13"/>
      <c r="CG150" s="13"/>
      <c r="CH150" s="58"/>
      <c r="CI150" s="13" t="s">
        <v>82</v>
      </c>
      <c r="CJ150" s="13"/>
      <c r="CK150" s="13" t="s">
        <v>84</v>
      </c>
      <c r="CL150" s="13" t="s">
        <v>2576</v>
      </c>
      <c r="CM150" s="13" t="s">
        <v>82</v>
      </c>
      <c r="CN150" s="13"/>
      <c r="CO150" s="13" t="s">
        <v>2577</v>
      </c>
      <c r="CP150" s="13" t="s">
        <v>2578</v>
      </c>
      <c r="CQ150" s="13" t="s">
        <v>99</v>
      </c>
      <c r="CR150" s="13" t="s">
        <v>80</v>
      </c>
      <c r="CS150" s="13" t="s">
        <v>99</v>
      </c>
      <c r="CT150" s="13"/>
      <c r="CU150" s="13"/>
      <c r="CV150" s="13"/>
      <c r="CW150" s="13" t="s">
        <v>84</v>
      </c>
      <c r="CX150" s="13"/>
      <c r="CY150" s="13"/>
      <c r="CZ150" s="13"/>
      <c r="DA150" s="13" t="s">
        <v>84</v>
      </c>
      <c r="DB150" s="13" t="s">
        <v>2579</v>
      </c>
      <c r="DC150" s="13" t="s">
        <v>84</v>
      </c>
      <c r="DD150" s="13" t="s">
        <v>84</v>
      </c>
      <c r="DE150" s="58"/>
      <c r="DF150" s="58"/>
      <c r="DG150" s="13">
        <v>1</v>
      </c>
      <c r="DH150" s="13">
        <v>5</v>
      </c>
      <c r="DI150" s="13">
        <v>2</v>
      </c>
      <c r="DJ150" s="13">
        <v>2</v>
      </c>
      <c r="DK150" s="13">
        <v>5</v>
      </c>
      <c r="DL150" s="13">
        <v>3</v>
      </c>
      <c r="DM150" s="13">
        <v>1</v>
      </c>
      <c r="DN150" s="13">
        <v>5</v>
      </c>
      <c r="DO150" s="13">
        <v>1</v>
      </c>
      <c r="DP150" s="13">
        <v>5</v>
      </c>
      <c r="DQ150" s="13">
        <v>1</v>
      </c>
      <c r="DR150" s="13">
        <v>5</v>
      </c>
      <c r="DS150" s="13" t="s">
        <v>99</v>
      </c>
      <c r="DT150" s="13" t="s">
        <v>84</v>
      </c>
      <c r="DU150" s="13"/>
      <c r="DV150" s="13" t="s">
        <v>84</v>
      </c>
      <c r="DW150" s="13" t="s">
        <v>93</v>
      </c>
      <c r="DX150" s="13" t="s">
        <v>81</v>
      </c>
      <c r="DY150" s="13" t="s">
        <v>2580</v>
      </c>
      <c r="DZ150" s="13" t="s">
        <v>113</v>
      </c>
      <c r="EA150" s="13"/>
      <c r="EB150" s="13" t="s">
        <v>82</v>
      </c>
      <c r="EC150" s="13"/>
      <c r="ED150" s="13" t="s">
        <v>81</v>
      </c>
      <c r="EE150" s="13" t="s">
        <v>2581</v>
      </c>
      <c r="EF150" s="13" t="s">
        <v>82</v>
      </c>
      <c r="EG150" s="13" t="s">
        <v>82</v>
      </c>
      <c r="EH150" s="13" t="s">
        <v>82</v>
      </c>
      <c r="EI150" s="13"/>
      <c r="EJ150" s="13" t="s">
        <v>2582</v>
      </c>
      <c r="EK150" s="13" t="s">
        <v>2583</v>
      </c>
      <c r="EL150" s="13" t="s">
        <v>1059</v>
      </c>
      <c r="EM150" s="9">
        <v>2250.17</v>
      </c>
      <c r="EN150" s="9">
        <v>10.97</v>
      </c>
      <c r="EQ150" s="9">
        <v>28.43</v>
      </c>
      <c r="EW150" s="9">
        <v>96.34</v>
      </c>
      <c r="FF150" s="9">
        <v>1171.6099999999999</v>
      </c>
      <c r="FJ150" s="9">
        <v>14</v>
      </c>
      <c r="FP150" s="9">
        <v>27.88</v>
      </c>
      <c r="FV150" s="9">
        <v>59.1</v>
      </c>
      <c r="GC150" s="9">
        <v>618.12</v>
      </c>
      <c r="GT150" s="9">
        <v>17.37</v>
      </c>
      <c r="GX150" s="9">
        <v>45.98</v>
      </c>
      <c r="HB150" s="9">
        <v>160.37</v>
      </c>
      <c r="HQ150" s="62">
        <f t="shared" si="10"/>
        <v>2250.17</v>
      </c>
      <c r="HR150" s="62">
        <f t="shared" si="12"/>
        <v>37.502833333333335</v>
      </c>
    </row>
    <row r="151" spans="1:226" s="9" customFormat="1" ht="12.75" x14ac:dyDescent="0.2">
      <c r="A151" s="11">
        <v>210</v>
      </c>
      <c r="B151" s="9">
        <v>216</v>
      </c>
      <c r="C151" s="9" t="s">
        <v>83</v>
      </c>
      <c r="D151" s="9">
        <v>11</v>
      </c>
      <c r="E151" s="9" t="s">
        <v>79</v>
      </c>
      <c r="F151" s="9">
        <v>1065231456</v>
      </c>
      <c r="G151" s="9" t="s">
        <v>81</v>
      </c>
      <c r="H151" s="9" t="s">
        <v>84</v>
      </c>
      <c r="I151" s="13" t="s">
        <v>107</v>
      </c>
      <c r="J151" s="13"/>
      <c r="K151" s="58"/>
      <c r="L151" s="58"/>
      <c r="M151" s="13" t="s">
        <v>1319</v>
      </c>
      <c r="N151" s="13" t="s">
        <v>108</v>
      </c>
      <c r="O151" s="13"/>
      <c r="P151" s="13" t="s">
        <v>632</v>
      </c>
      <c r="Q151" s="13" t="s">
        <v>1375</v>
      </c>
      <c r="R151" s="58"/>
      <c r="S151" s="13" t="s">
        <v>84</v>
      </c>
      <c r="T151" s="13" t="s">
        <v>84</v>
      </c>
      <c r="U151" s="13" t="s">
        <v>84</v>
      </c>
      <c r="V151" s="13" t="s">
        <v>84</v>
      </c>
      <c r="W151" s="13" t="s">
        <v>82</v>
      </c>
      <c r="X151" s="13" t="s">
        <v>84</v>
      </c>
      <c r="Y151" s="13" t="s">
        <v>82</v>
      </c>
      <c r="Z151" s="13" t="s">
        <v>82</v>
      </c>
      <c r="AA151" s="13"/>
      <c r="AB151" s="13" t="s">
        <v>84</v>
      </c>
      <c r="AC151" s="13" t="s">
        <v>2584</v>
      </c>
      <c r="AD151" s="13" t="s">
        <v>84</v>
      </c>
      <c r="AE151" s="13" t="s">
        <v>2585</v>
      </c>
      <c r="AF151" s="13" t="s">
        <v>2586</v>
      </c>
      <c r="AG151" s="13" t="s">
        <v>80</v>
      </c>
      <c r="AH151" s="13"/>
      <c r="AI151" s="13" t="s">
        <v>84</v>
      </c>
      <c r="AJ151" s="13"/>
      <c r="AK151" s="13" t="s">
        <v>2587</v>
      </c>
      <c r="AL151" s="13" t="s">
        <v>126</v>
      </c>
      <c r="AM151" s="13" t="s">
        <v>91</v>
      </c>
      <c r="AN151" s="13"/>
      <c r="AO151" s="13" t="s">
        <v>80</v>
      </c>
      <c r="AP151" s="58"/>
      <c r="AQ151" s="13" t="s">
        <v>80</v>
      </c>
      <c r="AR151" s="13" t="s">
        <v>80</v>
      </c>
      <c r="AS151" s="13" t="s">
        <v>80</v>
      </c>
      <c r="AT151" s="13" t="s">
        <v>80</v>
      </c>
      <c r="AU151" s="13"/>
      <c r="AV151" s="58"/>
      <c r="AW151" s="13" t="s">
        <v>84</v>
      </c>
      <c r="AX151" s="13" t="s">
        <v>82</v>
      </c>
      <c r="AY151" s="13" t="s">
        <v>84</v>
      </c>
      <c r="AZ151" s="13" t="s">
        <v>84</v>
      </c>
      <c r="BA151" s="13"/>
      <c r="BB151" s="13" t="s">
        <v>84</v>
      </c>
      <c r="BC151" s="13" t="s">
        <v>80</v>
      </c>
      <c r="BD151" s="13" t="s">
        <v>100</v>
      </c>
      <c r="BE151" s="13" t="s">
        <v>100</v>
      </c>
      <c r="BF151" s="13" t="s">
        <v>100</v>
      </c>
      <c r="BG151" s="13" t="s">
        <v>84</v>
      </c>
      <c r="BH151" s="13" t="s">
        <v>84</v>
      </c>
      <c r="BI151" s="13" t="s">
        <v>2588</v>
      </c>
      <c r="BJ151" s="13" t="s">
        <v>84</v>
      </c>
      <c r="BK151" s="13" t="s">
        <v>80</v>
      </c>
      <c r="BL151" s="13">
        <v>3</v>
      </c>
      <c r="BM151" s="13">
        <v>3</v>
      </c>
      <c r="BN151" s="13">
        <v>3</v>
      </c>
      <c r="BO151" s="13">
        <v>1</v>
      </c>
      <c r="BP151" s="13">
        <v>3</v>
      </c>
      <c r="BQ151" s="13">
        <v>3</v>
      </c>
      <c r="BR151" s="58"/>
      <c r="BS151" s="13" t="s">
        <v>118</v>
      </c>
      <c r="BT151" s="13"/>
      <c r="BU151" s="13"/>
      <c r="BV151" s="13"/>
      <c r="BW151" s="58"/>
      <c r="BX151" s="13" t="s">
        <v>82</v>
      </c>
      <c r="BY151" s="13"/>
      <c r="BZ151" s="13" t="s">
        <v>84</v>
      </c>
      <c r="CA151" s="13"/>
      <c r="CB151" s="13" t="s">
        <v>82</v>
      </c>
      <c r="CC151" s="13"/>
      <c r="CD151" s="13" t="s">
        <v>82</v>
      </c>
      <c r="CE151" s="13"/>
      <c r="CF151" s="13"/>
      <c r="CG151" s="13"/>
      <c r="CH151" s="58"/>
      <c r="CI151" s="13" t="s">
        <v>84</v>
      </c>
      <c r="CJ151" s="13"/>
      <c r="CK151" s="13" t="s">
        <v>82</v>
      </c>
      <c r="CL151" s="13"/>
      <c r="CM151" s="13" t="s">
        <v>82</v>
      </c>
      <c r="CN151" s="13"/>
      <c r="CO151" s="13"/>
      <c r="CP151" s="13"/>
      <c r="CQ151" s="13" t="s">
        <v>118</v>
      </c>
      <c r="CR151" s="13" t="s">
        <v>84</v>
      </c>
      <c r="CS151" s="13" t="s">
        <v>1312</v>
      </c>
      <c r="CT151" s="13"/>
      <c r="CU151" s="13" t="s">
        <v>246</v>
      </c>
      <c r="CV151" s="13"/>
      <c r="CW151" s="13" t="s">
        <v>82</v>
      </c>
      <c r="CX151" s="13"/>
      <c r="CY151" s="13" t="s">
        <v>81</v>
      </c>
      <c r="CZ151" s="13"/>
      <c r="DA151" s="13" t="s">
        <v>82</v>
      </c>
      <c r="DB151" s="13"/>
      <c r="DC151" s="13" t="s">
        <v>84</v>
      </c>
      <c r="DD151" s="13" t="s">
        <v>84</v>
      </c>
      <c r="DE151" s="58"/>
      <c r="DF151" s="58"/>
      <c r="DG151" s="13">
        <v>4</v>
      </c>
      <c r="DH151" s="13">
        <v>1</v>
      </c>
      <c r="DI151" s="13">
        <v>2</v>
      </c>
      <c r="DJ151" s="13">
        <v>2</v>
      </c>
      <c r="DK151" s="13">
        <v>4</v>
      </c>
      <c r="DL151" s="13">
        <v>3</v>
      </c>
      <c r="DM151" s="13">
        <v>4</v>
      </c>
      <c r="DN151" s="13">
        <v>3</v>
      </c>
      <c r="DO151" s="13">
        <v>2</v>
      </c>
      <c r="DP151" s="13">
        <v>2</v>
      </c>
      <c r="DQ151" s="13">
        <v>3</v>
      </c>
      <c r="DR151" s="13">
        <v>2</v>
      </c>
      <c r="DS151" s="13" t="s">
        <v>118</v>
      </c>
      <c r="DT151" s="13" t="s">
        <v>82</v>
      </c>
      <c r="DU151" s="13" t="s">
        <v>2589</v>
      </c>
      <c r="DV151" s="13" t="s">
        <v>84</v>
      </c>
      <c r="DW151" s="13" t="s">
        <v>100</v>
      </c>
      <c r="DX151" s="13" t="s">
        <v>81</v>
      </c>
      <c r="DY151" s="13"/>
      <c r="DZ151" s="13" t="s">
        <v>100</v>
      </c>
      <c r="EA151" s="13" t="s">
        <v>2590</v>
      </c>
      <c r="EB151" s="13" t="s">
        <v>82</v>
      </c>
      <c r="EC151" s="13"/>
      <c r="ED151" s="13" t="s">
        <v>81</v>
      </c>
      <c r="EE151" s="13"/>
      <c r="EF151" s="13" t="s">
        <v>82</v>
      </c>
      <c r="EG151" s="13" t="s">
        <v>84</v>
      </c>
      <c r="EH151" s="13" t="s">
        <v>82</v>
      </c>
      <c r="EI151" s="13"/>
      <c r="EJ151" s="13" t="s">
        <v>2591</v>
      </c>
      <c r="EK151" s="13" t="s">
        <v>2592</v>
      </c>
      <c r="EL151" s="13" t="s">
        <v>2593</v>
      </c>
      <c r="EM151" s="9">
        <v>836.36</v>
      </c>
      <c r="EN151" s="9">
        <v>14.25</v>
      </c>
      <c r="EQ151" s="9">
        <v>159.02000000000001</v>
      </c>
      <c r="EW151" s="9">
        <v>75.650000000000006</v>
      </c>
      <c r="FF151" s="9">
        <v>78.8</v>
      </c>
      <c r="FJ151" s="9">
        <v>18.25</v>
      </c>
      <c r="FP151" s="9">
        <v>28.22</v>
      </c>
      <c r="FV151" s="9">
        <v>83.42</v>
      </c>
      <c r="GC151" s="9">
        <v>133.03</v>
      </c>
      <c r="GT151" s="9">
        <v>86.01</v>
      </c>
      <c r="GX151" s="9">
        <v>21.34</v>
      </c>
      <c r="HB151" s="9">
        <v>138.37</v>
      </c>
      <c r="HQ151" s="62">
        <f t="shared" si="10"/>
        <v>836.36</v>
      </c>
      <c r="HR151" s="62">
        <f t="shared" si="12"/>
        <v>13.939333333333334</v>
      </c>
    </row>
    <row r="152" spans="1:226" s="9" customFormat="1" ht="12.75" x14ac:dyDescent="0.2">
      <c r="A152" s="11">
        <v>211</v>
      </c>
      <c r="B152" s="9">
        <v>218</v>
      </c>
      <c r="C152" s="9" t="s">
        <v>83</v>
      </c>
      <c r="D152" s="9">
        <v>11</v>
      </c>
      <c r="E152" s="9" t="s">
        <v>79</v>
      </c>
      <c r="F152" s="9">
        <v>1739311919</v>
      </c>
      <c r="G152" s="9" t="s">
        <v>81</v>
      </c>
      <c r="H152" s="9" t="s">
        <v>84</v>
      </c>
      <c r="I152" s="13" t="s">
        <v>161</v>
      </c>
      <c r="J152" s="13"/>
      <c r="K152" s="58"/>
      <c r="L152" s="58"/>
      <c r="M152" s="13" t="s">
        <v>1319</v>
      </c>
      <c r="N152" s="13" t="s">
        <v>618</v>
      </c>
      <c r="O152" s="13"/>
      <c r="P152" s="13" t="s">
        <v>253</v>
      </c>
      <c r="Q152" s="13" t="s">
        <v>1358</v>
      </c>
      <c r="R152" s="58"/>
      <c r="S152" s="13" t="s">
        <v>84</v>
      </c>
      <c r="T152" s="13" t="s">
        <v>84</v>
      </c>
      <c r="U152" s="13" t="s">
        <v>84</v>
      </c>
      <c r="V152" s="13" t="s">
        <v>84</v>
      </c>
      <c r="W152" s="13" t="s">
        <v>82</v>
      </c>
      <c r="X152" s="13" t="s">
        <v>84</v>
      </c>
      <c r="Y152" s="13" t="s">
        <v>84</v>
      </c>
      <c r="Z152" s="13" t="s">
        <v>84</v>
      </c>
      <c r="AA152" s="13"/>
      <c r="AB152" s="13" t="s">
        <v>84</v>
      </c>
      <c r="AC152" s="13" t="s">
        <v>2594</v>
      </c>
      <c r="AD152" s="13" t="s">
        <v>82</v>
      </c>
      <c r="AE152" s="13"/>
      <c r="AF152" s="13"/>
      <c r="AG152" s="13" t="s">
        <v>84</v>
      </c>
      <c r="AH152" s="13" t="s">
        <v>2595</v>
      </c>
      <c r="AI152" s="13" t="s">
        <v>84</v>
      </c>
      <c r="AJ152" s="13"/>
      <c r="AK152" s="13" t="s">
        <v>2596</v>
      </c>
      <c r="AL152" s="13" t="s">
        <v>126</v>
      </c>
      <c r="AM152" s="13" t="s">
        <v>91</v>
      </c>
      <c r="AN152" s="13"/>
      <c r="AO152" s="13" t="s">
        <v>80</v>
      </c>
      <c r="AP152" s="58"/>
      <c r="AQ152" s="13" t="s">
        <v>80</v>
      </c>
      <c r="AR152" s="13" t="s">
        <v>80</v>
      </c>
      <c r="AS152" s="13" t="s">
        <v>80</v>
      </c>
      <c r="AT152" s="13" t="s">
        <v>80</v>
      </c>
      <c r="AU152" s="13"/>
      <c r="AV152" s="58"/>
      <c r="AW152" s="13" t="s">
        <v>84</v>
      </c>
      <c r="AX152" s="13" t="s">
        <v>84</v>
      </c>
      <c r="AY152" s="13" t="s">
        <v>82</v>
      </c>
      <c r="AZ152" s="13" t="s">
        <v>84</v>
      </c>
      <c r="BA152" s="13"/>
      <c r="BB152" s="13" t="s">
        <v>84</v>
      </c>
      <c r="BC152" s="13" t="s">
        <v>80</v>
      </c>
      <c r="BD152" s="13" t="s">
        <v>113</v>
      </c>
      <c r="BE152" s="13" t="s">
        <v>93</v>
      </c>
      <c r="BF152" s="13" t="s">
        <v>100</v>
      </c>
      <c r="BG152" s="13" t="s">
        <v>84</v>
      </c>
      <c r="BH152" s="13" t="s">
        <v>84</v>
      </c>
      <c r="BI152" s="13" t="s">
        <v>2597</v>
      </c>
      <c r="BJ152" s="13" t="s">
        <v>84</v>
      </c>
      <c r="BK152" s="13" t="s">
        <v>80</v>
      </c>
      <c r="BL152" s="13">
        <v>2</v>
      </c>
      <c r="BM152" s="13">
        <v>3</v>
      </c>
      <c r="BN152" s="13">
        <v>5</v>
      </c>
      <c r="BO152" s="13">
        <v>5</v>
      </c>
      <c r="BP152" s="13">
        <v>2</v>
      </c>
      <c r="BQ152" s="13">
        <v>3</v>
      </c>
      <c r="BR152" s="58"/>
      <c r="BS152" s="13" t="s">
        <v>119</v>
      </c>
      <c r="BT152" s="13" t="s">
        <v>2598</v>
      </c>
      <c r="BU152" s="13" t="s">
        <v>246</v>
      </c>
      <c r="BV152" s="13" t="s">
        <v>2599</v>
      </c>
      <c r="BW152" s="58"/>
      <c r="BX152" s="13" t="s">
        <v>82</v>
      </c>
      <c r="BY152" s="13"/>
      <c r="BZ152" s="13" t="s">
        <v>84</v>
      </c>
      <c r="CA152" s="13" t="s">
        <v>2600</v>
      </c>
      <c r="CB152" s="13" t="s">
        <v>84</v>
      </c>
      <c r="CC152" s="13" t="s">
        <v>2601</v>
      </c>
      <c r="CD152" s="13" t="s">
        <v>84</v>
      </c>
      <c r="CE152" s="13" t="s">
        <v>2602</v>
      </c>
      <c r="CF152" s="13"/>
      <c r="CG152" s="13"/>
      <c r="CH152" s="58"/>
      <c r="CI152" s="13" t="s">
        <v>84</v>
      </c>
      <c r="CJ152" s="13" t="s">
        <v>2603</v>
      </c>
      <c r="CK152" s="13" t="s">
        <v>82</v>
      </c>
      <c r="CL152" s="13"/>
      <c r="CM152" s="13" t="s">
        <v>82</v>
      </c>
      <c r="CN152" s="13"/>
      <c r="CO152" s="13"/>
      <c r="CP152" s="13"/>
      <c r="CQ152" s="13" t="s">
        <v>118</v>
      </c>
      <c r="CR152" s="13" t="s">
        <v>84</v>
      </c>
      <c r="CS152" s="13" t="s">
        <v>1312</v>
      </c>
      <c r="CT152" s="13" t="s">
        <v>2604</v>
      </c>
      <c r="CU152" s="13" t="s">
        <v>81</v>
      </c>
      <c r="CV152" s="13" t="s">
        <v>2605</v>
      </c>
      <c r="CW152" s="13" t="s">
        <v>84</v>
      </c>
      <c r="CX152" s="13" t="s">
        <v>2606</v>
      </c>
      <c r="CY152" s="13"/>
      <c r="CZ152" s="13"/>
      <c r="DA152" s="13" t="s">
        <v>82</v>
      </c>
      <c r="DB152" s="13"/>
      <c r="DC152" s="13" t="s">
        <v>84</v>
      </c>
      <c r="DD152" s="13" t="s">
        <v>84</v>
      </c>
      <c r="DE152" s="58"/>
      <c r="DF152" s="58"/>
      <c r="DG152" s="13">
        <v>4</v>
      </c>
      <c r="DH152" s="13">
        <v>5</v>
      </c>
      <c r="DI152" s="13">
        <v>4</v>
      </c>
      <c r="DJ152" s="13">
        <v>5</v>
      </c>
      <c r="DK152" s="13">
        <v>3</v>
      </c>
      <c r="DL152" s="13">
        <v>3</v>
      </c>
      <c r="DM152" s="13">
        <v>4</v>
      </c>
      <c r="DN152" s="13">
        <v>5</v>
      </c>
      <c r="DO152" s="13">
        <v>2</v>
      </c>
      <c r="DP152" s="13">
        <v>3</v>
      </c>
      <c r="DQ152" s="13">
        <v>4</v>
      </c>
      <c r="DR152" s="13">
        <v>4</v>
      </c>
      <c r="DS152" s="13" t="s">
        <v>97</v>
      </c>
      <c r="DT152" s="13" t="s">
        <v>82</v>
      </c>
      <c r="DU152" s="13" t="s">
        <v>2607</v>
      </c>
      <c r="DV152" s="13" t="s">
        <v>84</v>
      </c>
      <c r="DW152" s="13" t="s">
        <v>100</v>
      </c>
      <c r="DX152" s="13" t="s">
        <v>81</v>
      </c>
      <c r="DY152" s="13" t="s">
        <v>2608</v>
      </c>
      <c r="DZ152" s="13" t="s">
        <v>113</v>
      </c>
      <c r="EA152" s="13" t="s">
        <v>2609</v>
      </c>
      <c r="EB152" s="13" t="s">
        <v>84</v>
      </c>
      <c r="EC152" s="13"/>
      <c r="ED152" s="13"/>
      <c r="EE152" s="13"/>
      <c r="EF152" s="13" t="s">
        <v>82</v>
      </c>
      <c r="EG152" s="13" t="s">
        <v>84</v>
      </c>
      <c r="EH152" s="13" t="s">
        <v>84</v>
      </c>
      <c r="EI152" s="13" t="s">
        <v>2610</v>
      </c>
      <c r="EJ152" s="13" t="s">
        <v>2611</v>
      </c>
      <c r="EK152" s="13" t="s">
        <v>2612</v>
      </c>
      <c r="EL152" s="13" t="s">
        <v>2613</v>
      </c>
      <c r="EM152" s="9">
        <v>1388.76</v>
      </c>
      <c r="EN152" s="9">
        <v>25.47</v>
      </c>
      <c r="EQ152" s="9">
        <v>290.36</v>
      </c>
      <c r="EW152" s="9">
        <v>122.81</v>
      </c>
      <c r="FF152" s="9">
        <v>42.76</v>
      </c>
      <c r="FJ152" s="9">
        <v>13.52</v>
      </c>
      <c r="FP152" s="9">
        <v>27.31</v>
      </c>
      <c r="FV152" s="9">
        <v>84.9</v>
      </c>
      <c r="GC152" s="9">
        <v>406.62</v>
      </c>
      <c r="GT152" s="9">
        <v>78.06</v>
      </c>
      <c r="GX152" s="9">
        <v>41.76</v>
      </c>
      <c r="HB152" s="9">
        <v>255.19</v>
      </c>
      <c r="HQ152" s="62">
        <f t="shared" si="10"/>
        <v>1388.76</v>
      </c>
      <c r="HR152" s="62">
        <f t="shared" si="12"/>
        <v>23.146000000000001</v>
      </c>
    </row>
    <row r="153" spans="1:226" s="9" customFormat="1" ht="12.75" x14ac:dyDescent="0.2">
      <c r="A153" s="11">
        <v>212</v>
      </c>
      <c r="B153" s="9">
        <v>219</v>
      </c>
      <c r="C153" s="9" t="s">
        <v>83</v>
      </c>
      <c r="D153" s="9">
        <v>11</v>
      </c>
      <c r="E153" s="9" t="s">
        <v>79</v>
      </c>
      <c r="F153" s="9">
        <v>1004143288</v>
      </c>
      <c r="G153" s="9" t="s">
        <v>81</v>
      </c>
      <c r="H153" s="9" t="s">
        <v>84</v>
      </c>
      <c r="I153" s="13" t="s">
        <v>309</v>
      </c>
      <c r="J153" s="13"/>
      <c r="K153" s="58"/>
      <c r="L153" s="58"/>
      <c r="M153" s="13" t="s">
        <v>1319</v>
      </c>
      <c r="N153" s="13" t="s">
        <v>618</v>
      </c>
      <c r="O153" s="13"/>
      <c r="P153" s="13" t="s">
        <v>87</v>
      </c>
      <c r="Q153" s="13" t="s">
        <v>1375</v>
      </c>
      <c r="R153" s="58"/>
      <c r="S153" s="13" t="s">
        <v>84</v>
      </c>
      <c r="T153" s="13" t="s">
        <v>84</v>
      </c>
      <c r="U153" s="13" t="s">
        <v>84</v>
      </c>
      <c r="V153" s="13" t="s">
        <v>84</v>
      </c>
      <c r="W153" s="13" t="s">
        <v>82</v>
      </c>
      <c r="X153" s="13" t="s">
        <v>84</v>
      </c>
      <c r="Y153" s="13" t="s">
        <v>84</v>
      </c>
      <c r="Z153" s="13" t="s">
        <v>84</v>
      </c>
      <c r="AA153" s="13"/>
      <c r="AB153" s="13" t="s">
        <v>82</v>
      </c>
      <c r="AC153" s="13"/>
      <c r="AD153" s="13" t="s">
        <v>84</v>
      </c>
      <c r="AE153" s="13" t="s">
        <v>2614</v>
      </c>
      <c r="AF153" s="13" t="s">
        <v>2615</v>
      </c>
      <c r="AG153" s="13" t="s">
        <v>80</v>
      </c>
      <c r="AH153" s="13"/>
      <c r="AI153" s="13" t="s">
        <v>84</v>
      </c>
      <c r="AJ153" s="13"/>
      <c r="AK153" s="13" t="s">
        <v>2616</v>
      </c>
      <c r="AL153" s="13" t="s">
        <v>126</v>
      </c>
      <c r="AM153" s="13" t="s">
        <v>111</v>
      </c>
      <c r="AN153" s="13"/>
      <c r="AO153" s="13" t="s">
        <v>80</v>
      </c>
      <c r="AP153" s="58"/>
      <c r="AQ153" s="13" t="s">
        <v>84</v>
      </c>
      <c r="AR153" s="13" t="s">
        <v>82</v>
      </c>
      <c r="AS153" s="13" t="s">
        <v>84</v>
      </c>
      <c r="AT153" s="13" t="s">
        <v>84</v>
      </c>
      <c r="AU153" s="13"/>
      <c r="AV153" s="58"/>
      <c r="AW153" s="13" t="s">
        <v>80</v>
      </c>
      <c r="AX153" s="13" t="s">
        <v>80</v>
      </c>
      <c r="AY153" s="13" t="s">
        <v>80</v>
      </c>
      <c r="AZ153" s="13" t="s">
        <v>80</v>
      </c>
      <c r="BA153" s="13"/>
      <c r="BB153" s="13" t="s">
        <v>84</v>
      </c>
      <c r="BC153" s="13" t="s">
        <v>80</v>
      </c>
      <c r="BD153" s="13" t="s">
        <v>100</v>
      </c>
      <c r="BE153" s="13" t="s">
        <v>113</v>
      </c>
      <c r="BF153" s="13" t="s">
        <v>100</v>
      </c>
      <c r="BG153" s="13" t="s">
        <v>84</v>
      </c>
      <c r="BH153" s="13" t="s">
        <v>84</v>
      </c>
      <c r="BI153" s="13" t="s">
        <v>2617</v>
      </c>
      <c r="BJ153" s="13" t="s">
        <v>84</v>
      </c>
      <c r="BK153" s="13" t="s">
        <v>80</v>
      </c>
      <c r="BL153" s="13">
        <v>5</v>
      </c>
      <c r="BM153" s="13">
        <v>1</v>
      </c>
      <c r="BN153" s="13">
        <v>3</v>
      </c>
      <c r="BO153" s="13">
        <v>4</v>
      </c>
      <c r="BP153" s="13">
        <v>5</v>
      </c>
      <c r="BQ153" s="13">
        <v>1</v>
      </c>
      <c r="BR153" s="58"/>
      <c r="BS153" s="13" t="s">
        <v>97</v>
      </c>
      <c r="BT153" s="13"/>
      <c r="BU153" s="13" t="s">
        <v>81</v>
      </c>
      <c r="BV153" s="13" t="s">
        <v>2618</v>
      </c>
      <c r="BW153" s="58"/>
      <c r="BX153" s="13" t="s">
        <v>80</v>
      </c>
      <c r="BY153" s="13"/>
      <c r="BZ153" s="13" t="s">
        <v>80</v>
      </c>
      <c r="CA153" s="13"/>
      <c r="CB153" s="13" t="s">
        <v>80</v>
      </c>
      <c r="CC153" s="13"/>
      <c r="CD153" s="13" t="s">
        <v>80</v>
      </c>
      <c r="CE153" s="13"/>
      <c r="CF153" s="13"/>
      <c r="CG153" s="13"/>
      <c r="CH153" s="58"/>
      <c r="CI153" s="13" t="s">
        <v>84</v>
      </c>
      <c r="CJ153" s="13" t="s">
        <v>2619</v>
      </c>
      <c r="CK153" s="13" t="s">
        <v>84</v>
      </c>
      <c r="CL153" s="13"/>
      <c r="CM153" s="13" t="s">
        <v>82</v>
      </c>
      <c r="CN153" s="13"/>
      <c r="CO153" s="13"/>
      <c r="CP153" s="13"/>
      <c r="CQ153" s="13" t="s">
        <v>97</v>
      </c>
      <c r="CR153" s="13" t="s">
        <v>84</v>
      </c>
      <c r="CS153" s="13" t="s">
        <v>97</v>
      </c>
      <c r="CT153" s="13" t="s">
        <v>2620</v>
      </c>
      <c r="CU153" s="13" t="s">
        <v>81</v>
      </c>
      <c r="CV153" s="13" t="s">
        <v>2621</v>
      </c>
      <c r="CW153" s="13" t="s">
        <v>84</v>
      </c>
      <c r="CX153" s="13" t="s">
        <v>2622</v>
      </c>
      <c r="CY153" s="13"/>
      <c r="CZ153" s="13"/>
      <c r="DA153" s="13" t="s">
        <v>82</v>
      </c>
      <c r="DB153" s="13"/>
      <c r="DC153" s="13" t="s">
        <v>84</v>
      </c>
      <c r="DD153" s="13" t="s">
        <v>84</v>
      </c>
      <c r="DE153" s="58"/>
      <c r="DF153" s="58"/>
      <c r="DG153" s="13">
        <v>3</v>
      </c>
      <c r="DH153" s="13">
        <v>2</v>
      </c>
      <c r="DI153" s="13">
        <v>4</v>
      </c>
      <c r="DJ153" s="13">
        <v>1</v>
      </c>
      <c r="DK153" s="13">
        <v>3</v>
      </c>
      <c r="DL153" s="13">
        <v>2</v>
      </c>
      <c r="DM153" s="13">
        <v>2</v>
      </c>
      <c r="DN153" s="13">
        <v>3</v>
      </c>
      <c r="DO153" s="13">
        <v>4</v>
      </c>
      <c r="DP153" s="13">
        <v>1</v>
      </c>
      <c r="DQ153" s="13">
        <v>2</v>
      </c>
      <c r="DR153" s="13">
        <v>2</v>
      </c>
      <c r="DS153" s="13" t="s">
        <v>97</v>
      </c>
      <c r="DT153" s="13" t="s">
        <v>82</v>
      </c>
      <c r="DU153" s="13" t="s">
        <v>2623</v>
      </c>
      <c r="DV153" s="13" t="s">
        <v>84</v>
      </c>
      <c r="DW153" s="13" t="s">
        <v>100</v>
      </c>
      <c r="DX153" s="13" t="s">
        <v>81</v>
      </c>
      <c r="DY153" s="13" t="s">
        <v>2624</v>
      </c>
      <c r="DZ153" s="13" t="s">
        <v>100</v>
      </c>
      <c r="EA153" s="13" t="s">
        <v>2625</v>
      </c>
      <c r="EB153" s="13" t="s">
        <v>84</v>
      </c>
      <c r="EC153" s="13" t="s">
        <v>2626</v>
      </c>
      <c r="ED153" s="13"/>
      <c r="EE153" s="13"/>
      <c r="EF153" s="13" t="s">
        <v>82</v>
      </c>
      <c r="EG153" s="13" t="s">
        <v>82</v>
      </c>
      <c r="EH153" s="13" t="s">
        <v>82</v>
      </c>
      <c r="EI153" s="13"/>
      <c r="EJ153" s="13" t="s">
        <v>2627</v>
      </c>
      <c r="EK153" s="13" t="s">
        <v>2628</v>
      </c>
      <c r="EL153" s="13" t="s">
        <v>2629</v>
      </c>
      <c r="EM153" s="9">
        <v>1376.9</v>
      </c>
      <c r="EN153" s="9">
        <v>21.37</v>
      </c>
      <c r="EQ153" s="9">
        <v>50.8</v>
      </c>
      <c r="EW153" s="9">
        <v>54.52</v>
      </c>
      <c r="FF153" s="9">
        <v>24.63</v>
      </c>
      <c r="FJ153" s="9">
        <v>18.170000000000002</v>
      </c>
      <c r="FP153" s="9">
        <v>51.28</v>
      </c>
      <c r="FV153" s="9">
        <v>101.94</v>
      </c>
      <c r="GC153" s="9">
        <v>259.67</v>
      </c>
      <c r="GT153" s="9">
        <v>72.599999999999994</v>
      </c>
      <c r="GX153" s="9">
        <v>102.8</v>
      </c>
      <c r="HB153" s="9">
        <v>619.12</v>
      </c>
      <c r="HQ153" s="62">
        <f t="shared" si="10"/>
        <v>1376.9</v>
      </c>
      <c r="HR153" s="62">
        <f t="shared" si="12"/>
        <v>22.948333333333334</v>
      </c>
    </row>
    <row r="154" spans="1:226" s="9" customFormat="1" ht="12.75" x14ac:dyDescent="0.2">
      <c r="A154" s="11">
        <v>213</v>
      </c>
      <c r="B154" s="9">
        <v>220</v>
      </c>
      <c r="C154" s="9" t="s">
        <v>83</v>
      </c>
      <c r="D154" s="9">
        <v>11</v>
      </c>
      <c r="E154" s="9" t="s">
        <v>79</v>
      </c>
      <c r="F154" s="9">
        <v>1470971132</v>
      </c>
      <c r="G154" s="9" t="s">
        <v>81</v>
      </c>
      <c r="H154" s="9" t="s">
        <v>84</v>
      </c>
      <c r="I154" s="13" t="s">
        <v>105</v>
      </c>
      <c r="J154" s="13"/>
      <c r="K154" s="58"/>
      <c r="L154" s="58"/>
      <c r="M154" s="13" t="s">
        <v>1319</v>
      </c>
      <c r="N154" s="13" t="s">
        <v>618</v>
      </c>
      <c r="O154" s="13"/>
      <c r="P154" s="13" t="s">
        <v>87</v>
      </c>
      <c r="Q154" s="13" t="s">
        <v>1766</v>
      </c>
      <c r="R154" s="58"/>
      <c r="S154" s="13" t="s">
        <v>84</v>
      </c>
      <c r="T154" s="13" t="s">
        <v>84</v>
      </c>
      <c r="U154" s="13" t="s">
        <v>82</v>
      </c>
      <c r="V154" s="13" t="s">
        <v>82</v>
      </c>
      <c r="W154" s="13" t="s">
        <v>82</v>
      </c>
      <c r="X154" s="13" t="s">
        <v>84</v>
      </c>
      <c r="Y154" s="13" t="s">
        <v>82</v>
      </c>
      <c r="Z154" s="13" t="s">
        <v>82</v>
      </c>
      <c r="AA154" s="13"/>
      <c r="AB154" s="13" t="s">
        <v>82</v>
      </c>
      <c r="AC154" s="13"/>
      <c r="AD154" s="13" t="s">
        <v>84</v>
      </c>
      <c r="AE154" s="13" t="s">
        <v>360</v>
      </c>
      <c r="AF154" s="13"/>
      <c r="AG154" s="13" t="s">
        <v>80</v>
      </c>
      <c r="AH154" s="13"/>
      <c r="AI154" s="13" t="s">
        <v>84</v>
      </c>
      <c r="AJ154" s="13"/>
      <c r="AK154" s="13" t="s">
        <v>2108</v>
      </c>
      <c r="AL154" s="13" t="s">
        <v>90</v>
      </c>
      <c r="AM154" s="13" t="s">
        <v>91</v>
      </c>
      <c r="AN154" s="13"/>
      <c r="AO154" s="13" t="s">
        <v>80</v>
      </c>
      <c r="AP154" s="58"/>
      <c r="AQ154" s="13" t="s">
        <v>80</v>
      </c>
      <c r="AR154" s="13" t="s">
        <v>80</v>
      </c>
      <c r="AS154" s="13" t="s">
        <v>80</v>
      </c>
      <c r="AT154" s="13" t="s">
        <v>80</v>
      </c>
      <c r="AU154" s="13"/>
      <c r="AV154" s="58"/>
      <c r="AW154" s="13" t="s">
        <v>84</v>
      </c>
      <c r="AX154" s="13" t="s">
        <v>82</v>
      </c>
      <c r="AY154" s="13" t="s">
        <v>84</v>
      </c>
      <c r="AZ154" s="13" t="s">
        <v>84</v>
      </c>
      <c r="BA154" s="13"/>
      <c r="BB154" s="13" t="s">
        <v>84</v>
      </c>
      <c r="BC154" s="13" t="s">
        <v>80</v>
      </c>
      <c r="BD154" s="13" t="s">
        <v>100</v>
      </c>
      <c r="BE154" s="13" t="s">
        <v>100</v>
      </c>
      <c r="BF154" s="13" t="s">
        <v>93</v>
      </c>
      <c r="BG154" s="13" t="s">
        <v>82</v>
      </c>
      <c r="BH154" s="13" t="s">
        <v>84</v>
      </c>
      <c r="BI154" s="13" t="s">
        <v>2630</v>
      </c>
      <c r="BJ154" s="13" t="s">
        <v>84</v>
      </c>
      <c r="BK154" s="13" t="s">
        <v>80</v>
      </c>
      <c r="BL154" s="13">
        <v>5</v>
      </c>
      <c r="BM154" s="13">
        <v>5</v>
      </c>
      <c r="BN154" s="13">
        <v>1</v>
      </c>
      <c r="BO154" s="13">
        <v>1</v>
      </c>
      <c r="BP154" s="13">
        <v>5</v>
      </c>
      <c r="BQ154" s="13">
        <v>5</v>
      </c>
      <c r="BR154" s="58"/>
      <c r="BS154" s="13" t="s">
        <v>118</v>
      </c>
      <c r="BT154" s="13"/>
      <c r="BU154" s="13"/>
      <c r="BV154" s="13"/>
      <c r="BW154" s="58"/>
      <c r="BX154" s="13" t="s">
        <v>84</v>
      </c>
      <c r="BY154" s="13" t="s">
        <v>2189</v>
      </c>
      <c r="BZ154" s="13" t="s">
        <v>82</v>
      </c>
      <c r="CA154" s="13"/>
      <c r="CB154" s="13" t="s">
        <v>82</v>
      </c>
      <c r="CC154" s="13"/>
      <c r="CD154" s="13" t="s">
        <v>82</v>
      </c>
      <c r="CE154" s="13"/>
      <c r="CF154" s="13"/>
      <c r="CG154" s="13"/>
      <c r="CH154" s="58"/>
      <c r="CI154" s="13" t="s">
        <v>82</v>
      </c>
      <c r="CJ154" s="13"/>
      <c r="CK154" s="13" t="s">
        <v>84</v>
      </c>
      <c r="CL154" s="13" t="s">
        <v>2631</v>
      </c>
      <c r="CM154" s="13" t="s">
        <v>82</v>
      </c>
      <c r="CN154" s="13"/>
      <c r="CO154" s="13"/>
      <c r="CP154" s="13"/>
      <c r="CQ154" s="13" t="s">
        <v>118</v>
      </c>
      <c r="CR154" s="13" t="s">
        <v>84</v>
      </c>
      <c r="CS154" s="13" t="s">
        <v>97</v>
      </c>
      <c r="CT154" s="13"/>
      <c r="CU154" s="13" t="s">
        <v>246</v>
      </c>
      <c r="CV154" s="13"/>
      <c r="CW154" s="13" t="s">
        <v>82</v>
      </c>
      <c r="CX154" s="13"/>
      <c r="CY154" s="13" t="s">
        <v>246</v>
      </c>
      <c r="CZ154" s="13"/>
      <c r="DA154" s="13" t="s">
        <v>84</v>
      </c>
      <c r="DB154" s="13" t="s">
        <v>2632</v>
      </c>
      <c r="DC154" s="13" t="s">
        <v>84</v>
      </c>
      <c r="DD154" s="13" t="s">
        <v>84</v>
      </c>
      <c r="DE154" s="58"/>
      <c r="DF154" s="58"/>
      <c r="DG154" s="13">
        <v>5</v>
      </c>
      <c r="DH154" s="13">
        <v>5</v>
      </c>
      <c r="DI154" s="13">
        <v>1</v>
      </c>
      <c r="DJ154" s="13">
        <v>2</v>
      </c>
      <c r="DK154" s="13">
        <v>2</v>
      </c>
      <c r="DL154" s="13">
        <v>2</v>
      </c>
      <c r="DM154" s="13">
        <v>1</v>
      </c>
      <c r="DN154" s="13">
        <v>1</v>
      </c>
      <c r="DO154" s="13">
        <v>3</v>
      </c>
      <c r="DP154" s="13">
        <v>3</v>
      </c>
      <c r="DQ154" s="13">
        <v>5</v>
      </c>
      <c r="DR154" s="13">
        <v>5</v>
      </c>
      <c r="DS154" s="13" t="s">
        <v>118</v>
      </c>
      <c r="DT154" s="13" t="s">
        <v>84</v>
      </c>
      <c r="DU154" s="13"/>
      <c r="DV154" s="13" t="s">
        <v>84</v>
      </c>
      <c r="DW154" s="13" t="s">
        <v>113</v>
      </c>
      <c r="DX154" s="13" t="s">
        <v>246</v>
      </c>
      <c r="DY154" s="13" t="s">
        <v>2633</v>
      </c>
      <c r="DZ154" s="13" t="s">
        <v>93</v>
      </c>
      <c r="EA154" s="13" t="s">
        <v>2458</v>
      </c>
      <c r="EB154" s="13" t="s">
        <v>82</v>
      </c>
      <c r="EC154" s="13"/>
      <c r="ED154" s="13" t="s">
        <v>246</v>
      </c>
      <c r="EE154" s="13"/>
      <c r="EF154" s="13" t="s">
        <v>84</v>
      </c>
      <c r="EG154" s="13" t="s">
        <v>84</v>
      </c>
      <c r="EH154" s="13" t="s">
        <v>82</v>
      </c>
      <c r="EI154" s="13"/>
      <c r="EJ154" s="13"/>
      <c r="EK154" s="13" t="s">
        <v>2634</v>
      </c>
      <c r="EL154" s="13" t="s">
        <v>2635</v>
      </c>
      <c r="EM154" s="9">
        <v>544.05999999999995</v>
      </c>
      <c r="EN154" s="9">
        <v>19.66</v>
      </c>
      <c r="EQ154" s="9">
        <v>36.22</v>
      </c>
      <c r="EW154" s="9">
        <v>26.19</v>
      </c>
      <c r="FF154" s="9">
        <v>18.23</v>
      </c>
      <c r="FJ154" s="9">
        <v>16.649999999999999</v>
      </c>
      <c r="FP154" s="9">
        <v>25.38</v>
      </c>
      <c r="FV154" s="9">
        <v>59.08</v>
      </c>
      <c r="GC154" s="9">
        <v>168.16</v>
      </c>
      <c r="GT154" s="9">
        <v>12.99</v>
      </c>
      <c r="GX154" s="9">
        <v>76.83</v>
      </c>
      <c r="HB154" s="9">
        <v>84.67</v>
      </c>
      <c r="HQ154" s="62">
        <f t="shared" si="10"/>
        <v>544.05999999999995</v>
      </c>
      <c r="HR154" s="62">
        <f t="shared" si="12"/>
        <v>9.0676666666666659</v>
      </c>
    </row>
    <row r="155" spans="1:226" s="9" customFormat="1" ht="12.75" x14ac:dyDescent="0.2">
      <c r="A155" s="11">
        <v>214</v>
      </c>
      <c r="B155" s="9">
        <v>221</v>
      </c>
      <c r="C155" s="9" t="s">
        <v>83</v>
      </c>
      <c r="D155" s="9">
        <v>11</v>
      </c>
      <c r="E155" s="9" t="s">
        <v>79</v>
      </c>
      <c r="F155" s="9">
        <v>335615231</v>
      </c>
      <c r="G155" s="9" t="s">
        <v>81</v>
      </c>
      <c r="H155" s="9" t="s">
        <v>84</v>
      </c>
      <c r="I155" s="13" t="s">
        <v>105</v>
      </c>
      <c r="J155" s="13"/>
      <c r="K155" s="58"/>
      <c r="L155" s="58"/>
      <c r="M155" s="13" t="s">
        <v>1319</v>
      </c>
      <c r="N155" s="13" t="s">
        <v>618</v>
      </c>
      <c r="O155" s="13"/>
      <c r="P155" s="13" t="s">
        <v>87</v>
      </c>
      <c r="Q155" s="13" t="s">
        <v>1358</v>
      </c>
      <c r="R155" s="58"/>
      <c r="S155" s="13" t="s">
        <v>84</v>
      </c>
      <c r="T155" s="13" t="s">
        <v>84</v>
      </c>
      <c r="U155" s="13" t="s">
        <v>82</v>
      </c>
      <c r="V155" s="13" t="s">
        <v>82</v>
      </c>
      <c r="W155" s="13" t="s">
        <v>82</v>
      </c>
      <c r="X155" s="13" t="s">
        <v>82</v>
      </c>
      <c r="Y155" s="13" t="s">
        <v>82</v>
      </c>
      <c r="Z155" s="13" t="s">
        <v>82</v>
      </c>
      <c r="AA155" s="13"/>
      <c r="AB155" s="13" t="s">
        <v>82</v>
      </c>
      <c r="AC155" s="13"/>
      <c r="AD155" s="13" t="s">
        <v>82</v>
      </c>
      <c r="AE155" s="13"/>
      <c r="AF155" s="13"/>
      <c r="AG155" s="13" t="s">
        <v>82</v>
      </c>
      <c r="AH155" s="13"/>
      <c r="AI155" s="13" t="s">
        <v>84</v>
      </c>
      <c r="AJ155" s="13"/>
      <c r="AK155" s="13" t="s">
        <v>2636</v>
      </c>
      <c r="AL155" s="13" t="s">
        <v>126</v>
      </c>
      <c r="AM155" s="13" t="s">
        <v>111</v>
      </c>
      <c r="AN155" s="13"/>
      <c r="AO155" s="13" t="s">
        <v>80</v>
      </c>
      <c r="AP155" s="58"/>
      <c r="AQ155" s="13" t="s">
        <v>84</v>
      </c>
      <c r="AR155" s="13" t="s">
        <v>82</v>
      </c>
      <c r="AS155" s="13" t="s">
        <v>84</v>
      </c>
      <c r="AT155" s="13" t="s">
        <v>84</v>
      </c>
      <c r="AU155" s="13"/>
      <c r="AV155" s="58"/>
      <c r="AW155" s="13" t="s">
        <v>80</v>
      </c>
      <c r="AX155" s="13" t="s">
        <v>80</v>
      </c>
      <c r="AY155" s="13" t="s">
        <v>80</v>
      </c>
      <c r="AZ155" s="13" t="s">
        <v>80</v>
      </c>
      <c r="BA155" s="13"/>
      <c r="BB155" s="13" t="s">
        <v>84</v>
      </c>
      <c r="BC155" s="13" t="s">
        <v>80</v>
      </c>
      <c r="BD155" s="13" t="s">
        <v>100</v>
      </c>
      <c r="BE155" s="13" t="s">
        <v>100</v>
      </c>
      <c r="BF155" s="13" t="s">
        <v>100</v>
      </c>
      <c r="BG155" s="13" t="s">
        <v>82</v>
      </c>
      <c r="BH155" s="13" t="s">
        <v>84</v>
      </c>
      <c r="BI155" s="13" t="s">
        <v>2637</v>
      </c>
      <c r="BJ155" s="13" t="s">
        <v>84</v>
      </c>
      <c r="BK155" s="13" t="s">
        <v>80</v>
      </c>
      <c r="BL155" s="13">
        <v>5</v>
      </c>
      <c r="BM155" s="13">
        <v>5</v>
      </c>
      <c r="BN155" s="13">
        <v>2</v>
      </c>
      <c r="BO155" s="13">
        <v>1</v>
      </c>
      <c r="BP155" s="13">
        <v>3</v>
      </c>
      <c r="BQ155" s="13">
        <v>3</v>
      </c>
      <c r="BR155" s="58"/>
      <c r="BS155" s="13" t="s">
        <v>97</v>
      </c>
      <c r="BT155" s="13"/>
      <c r="BU155" s="13" t="s">
        <v>246</v>
      </c>
      <c r="BV155" s="13"/>
      <c r="BW155" s="58"/>
      <c r="BX155" s="13" t="s">
        <v>80</v>
      </c>
      <c r="BY155" s="13"/>
      <c r="BZ155" s="13" t="s">
        <v>80</v>
      </c>
      <c r="CA155" s="13"/>
      <c r="CB155" s="13" t="s">
        <v>80</v>
      </c>
      <c r="CC155" s="13"/>
      <c r="CD155" s="13" t="s">
        <v>80</v>
      </c>
      <c r="CE155" s="13"/>
      <c r="CF155" s="13"/>
      <c r="CG155" s="13"/>
      <c r="CH155" s="58"/>
      <c r="CI155" s="13" t="s">
        <v>82</v>
      </c>
      <c r="CJ155" s="13"/>
      <c r="CK155" s="13" t="s">
        <v>84</v>
      </c>
      <c r="CL155" s="13"/>
      <c r="CM155" s="13" t="s">
        <v>82</v>
      </c>
      <c r="CN155" s="13"/>
      <c r="CO155" s="13"/>
      <c r="CP155" s="13"/>
      <c r="CQ155" s="13" t="s">
        <v>97</v>
      </c>
      <c r="CR155" s="13" t="s">
        <v>84</v>
      </c>
      <c r="CS155" s="13" t="s">
        <v>97</v>
      </c>
      <c r="CT155" s="13"/>
      <c r="CU155" s="13" t="s">
        <v>246</v>
      </c>
      <c r="CV155" s="13"/>
      <c r="CW155" s="13" t="s">
        <v>82</v>
      </c>
      <c r="CX155" s="13"/>
      <c r="CY155" s="13" t="s">
        <v>81</v>
      </c>
      <c r="CZ155" s="13"/>
      <c r="DA155" s="13" t="s">
        <v>82</v>
      </c>
      <c r="DB155" s="13"/>
      <c r="DC155" s="13" t="s">
        <v>82</v>
      </c>
      <c r="DD155" s="13" t="s">
        <v>82</v>
      </c>
      <c r="DE155" s="58"/>
      <c r="DF155" s="58"/>
      <c r="DG155" s="13">
        <v>3</v>
      </c>
      <c r="DH155" s="13">
        <v>1</v>
      </c>
      <c r="DI155" s="13">
        <v>3</v>
      </c>
      <c r="DJ155" s="13">
        <v>2</v>
      </c>
      <c r="DK155" s="13">
        <v>1</v>
      </c>
      <c r="DL155" s="13">
        <v>2</v>
      </c>
      <c r="DM155" s="13">
        <v>3</v>
      </c>
      <c r="DN155" s="13">
        <v>2</v>
      </c>
      <c r="DO155" s="13">
        <v>4</v>
      </c>
      <c r="DP155" s="13">
        <v>2</v>
      </c>
      <c r="DQ155" s="13">
        <v>4</v>
      </c>
      <c r="DR155" s="13">
        <v>2</v>
      </c>
      <c r="DS155" s="13" t="s">
        <v>97</v>
      </c>
      <c r="DT155" s="13" t="s">
        <v>106</v>
      </c>
      <c r="DU155" s="13"/>
      <c r="DV155" s="13" t="s">
        <v>84</v>
      </c>
      <c r="DW155" s="13" t="s">
        <v>100</v>
      </c>
      <c r="DX155" s="13" t="s">
        <v>81</v>
      </c>
      <c r="DY155" s="13"/>
      <c r="DZ155" s="13" t="s">
        <v>113</v>
      </c>
      <c r="EA155" s="13" t="s">
        <v>2638</v>
      </c>
      <c r="EB155" s="13" t="s">
        <v>82</v>
      </c>
      <c r="EC155" s="13"/>
      <c r="ED155" s="13" t="s">
        <v>246</v>
      </c>
      <c r="EE155" s="13"/>
      <c r="EF155" s="13" t="s">
        <v>82</v>
      </c>
      <c r="EG155" s="13" t="s">
        <v>82</v>
      </c>
      <c r="EH155" s="13" t="s">
        <v>82</v>
      </c>
      <c r="EI155" s="13"/>
      <c r="EJ155" s="13" t="s">
        <v>2639</v>
      </c>
      <c r="EK155" s="13" t="s">
        <v>164</v>
      </c>
      <c r="EL155" s="13"/>
      <c r="EM155" s="9">
        <v>1077.3900000000001</v>
      </c>
      <c r="EN155" s="9">
        <v>29.63</v>
      </c>
      <c r="EQ155" s="9">
        <v>37.159999999999997</v>
      </c>
      <c r="EW155" s="9">
        <v>29.39</v>
      </c>
      <c r="FF155" s="9">
        <v>30.12</v>
      </c>
      <c r="FJ155" s="9">
        <v>14.1</v>
      </c>
      <c r="FP155" s="9">
        <v>25.63</v>
      </c>
      <c r="FV155" s="9">
        <v>89.74</v>
      </c>
      <c r="GC155" s="9">
        <v>694.64</v>
      </c>
      <c r="GT155" s="9">
        <v>10.23</v>
      </c>
      <c r="GX155" s="9">
        <v>14.54</v>
      </c>
      <c r="HB155" s="9">
        <v>102.21</v>
      </c>
      <c r="HQ155" s="62">
        <f t="shared" si="10"/>
        <v>1077.3900000000001</v>
      </c>
      <c r="HR155" s="62">
        <f t="shared" si="12"/>
        <v>17.956500000000002</v>
      </c>
    </row>
    <row r="156" spans="1:226" s="32" customFormat="1" ht="12.75" x14ac:dyDescent="0.2">
      <c r="A156" s="33">
        <v>215</v>
      </c>
      <c r="B156" s="32">
        <v>223</v>
      </c>
      <c r="D156" s="32">
        <v>6</v>
      </c>
      <c r="E156" s="32" t="s">
        <v>79</v>
      </c>
      <c r="F156" s="32">
        <v>2057082764</v>
      </c>
      <c r="G156" s="32" t="s">
        <v>81</v>
      </c>
      <c r="H156" s="32" t="s">
        <v>84</v>
      </c>
      <c r="I156" s="32" t="s">
        <v>119</v>
      </c>
      <c r="J156" s="32" t="s">
        <v>2640</v>
      </c>
      <c r="K156" s="58"/>
      <c r="L156" s="58"/>
      <c r="M156" s="32" t="s">
        <v>1319</v>
      </c>
      <c r="N156" s="32" t="s">
        <v>106</v>
      </c>
      <c r="P156" s="32" t="s">
        <v>195</v>
      </c>
      <c r="Q156" s="32" t="s">
        <v>1296</v>
      </c>
      <c r="R156" s="58"/>
      <c r="S156" s="32" t="s">
        <v>84</v>
      </c>
      <c r="T156" s="32" t="s">
        <v>84</v>
      </c>
      <c r="U156" s="32" t="s">
        <v>84</v>
      </c>
      <c r="V156" s="32" t="s">
        <v>84</v>
      </c>
      <c r="W156" s="32" t="s">
        <v>84</v>
      </c>
      <c r="X156" s="32" t="s">
        <v>82</v>
      </c>
      <c r="Y156" s="32" t="s">
        <v>84</v>
      </c>
      <c r="Z156" s="32" t="s">
        <v>84</v>
      </c>
      <c r="AB156" s="32" t="s">
        <v>82</v>
      </c>
      <c r="AD156" s="32" t="s">
        <v>82</v>
      </c>
      <c r="AG156" s="32" t="s">
        <v>82</v>
      </c>
      <c r="AI156" s="32" t="s">
        <v>145</v>
      </c>
      <c r="AL156" s="32" t="s">
        <v>140</v>
      </c>
      <c r="AM156" s="32" t="s">
        <v>91</v>
      </c>
      <c r="AO156" s="32" t="s">
        <v>80</v>
      </c>
      <c r="AP156" s="58"/>
      <c r="AQ156" s="32" t="s">
        <v>80</v>
      </c>
      <c r="AR156" s="32" t="s">
        <v>80</v>
      </c>
      <c r="AS156" s="32" t="s">
        <v>80</v>
      </c>
      <c r="AT156" s="32" t="s">
        <v>80</v>
      </c>
      <c r="AV156" s="58"/>
      <c r="AW156" s="32" t="s">
        <v>84</v>
      </c>
      <c r="AX156" s="32" t="s">
        <v>84</v>
      </c>
      <c r="AY156" s="32" t="s">
        <v>84</v>
      </c>
      <c r="AZ156" s="32" t="s">
        <v>84</v>
      </c>
      <c r="BB156" s="32" t="s">
        <v>82</v>
      </c>
      <c r="BC156" s="32" t="s">
        <v>82</v>
      </c>
      <c r="BD156" s="32" t="s">
        <v>93</v>
      </c>
      <c r="BE156" s="32" t="s">
        <v>93</v>
      </c>
      <c r="BF156" s="32" t="s">
        <v>340</v>
      </c>
      <c r="BH156" s="32" t="s">
        <v>80</v>
      </c>
      <c r="BJ156" s="32" t="s">
        <v>80</v>
      </c>
      <c r="BK156" s="32" t="s">
        <v>80</v>
      </c>
      <c r="BR156" s="58"/>
      <c r="BW156" s="58"/>
      <c r="BX156" s="32" t="s">
        <v>80</v>
      </c>
      <c r="BZ156" s="32" t="s">
        <v>80</v>
      </c>
      <c r="CB156" s="32" t="s">
        <v>80</v>
      </c>
      <c r="CD156" s="32" t="s">
        <v>80</v>
      </c>
      <c r="CH156" s="58"/>
      <c r="CI156" s="32" t="s">
        <v>80</v>
      </c>
      <c r="CK156" s="32" t="s">
        <v>80</v>
      </c>
      <c r="CM156" s="32" t="s">
        <v>80</v>
      </c>
      <c r="CR156" s="32" t="s">
        <v>80</v>
      </c>
      <c r="CW156" s="32" t="s">
        <v>80</v>
      </c>
      <c r="DA156" s="32" t="s">
        <v>80</v>
      </c>
      <c r="DC156" s="32" t="s">
        <v>80</v>
      </c>
      <c r="DD156" s="32" t="s">
        <v>80</v>
      </c>
      <c r="DE156" s="58"/>
      <c r="DF156" s="58"/>
      <c r="DV156" s="32" t="s">
        <v>80</v>
      </c>
      <c r="EB156" s="32" t="s">
        <v>80</v>
      </c>
      <c r="EF156" s="32" t="s">
        <v>80</v>
      </c>
      <c r="EG156" s="32" t="s">
        <v>80</v>
      </c>
      <c r="EH156" s="32" t="s">
        <v>80</v>
      </c>
      <c r="EM156" s="32">
        <v>98.91</v>
      </c>
      <c r="EN156" s="32">
        <v>6.75</v>
      </c>
      <c r="EQ156" s="32">
        <v>31.72</v>
      </c>
      <c r="EW156" s="32">
        <v>14.7</v>
      </c>
      <c r="FF156" s="32">
        <v>14.2</v>
      </c>
      <c r="FJ156" s="32">
        <v>7.86</v>
      </c>
      <c r="FP156" s="32">
        <v>23.68</v>
      </c>
      <c r="HQ156" s="63">
        <f t="shared" si="10"/>
        <v>98.91</v>
      </c>
      <c r="HR156" s="63"/>
    </row>
    <row r="157" spans="1:226" s="9" customFormat="1" ht="12.75" x14ac:dyDescent="0.2">
      <c r="A157" s="11">
        <v>216</v>
      </c>
      <c r="B157" s="9">
        <v>225</v>
      </c>
      <c r="C157" s="9" t="s">
        <v>83</v>
      </c>
      <c r="D157" s="9">
        <v>11</v>
      </c>
      <c r="E157" s="9" t="s">
        <v>79</v>
      </c>
      <c r="F157" s="9">
        <v>907877755</v>
      </c>
      <c r="G157" s="9" t="s">
        <v>81</v>
      </c>
      <c r="H157" s="9" t="s">
        <v>84</v>
      </c>
      <c r="I157" s="13" t="s">
        <v>324</v>
      </c>
      <c r="J157" s="13"/>
      <c r="K157" s="58"/>
      <c r="L157" s="58"/>
      <c r="M157" s="13" t="s">
        <v>1294</v>
      </c>
      <c r="N157" s="13" t="s">
        <v>108</v>
      </c>
      <c r="O157" s="13"/>
      <c r="P157" s="13" t="s">
        <v>253</v>
      </c>
      <c r="Q157" s="13" t="s">
        <v>1320</v>
      </c>
      <c r="R157" s="58"/>
      <c r="S157" s="13" t="s">
        <v>84</v>
      </c>
      <c r="T157" s="13" t="s">
        <v>84</v>
      </c>
      <c r="U157" s="13" t="s">
        <v>82</v>
      </c>
      <c r="V157" s="13" t="s">
        <v>84</v>
      </c>
      <c r="W157" s="13" t="s">
        <v>82</v>
      </c>
      <c r="X157" s="13" t="s">
        <v>84</v>
      </c>
      <c r="Y157" s="13" t="s">
        <v>84</v>
      </c>
      <c r="Z157" s="13" t="s">
        <v>82</v>
      </c>
      <c r="AA157" s="13"/>
      <c r="AB157" s="13" t="s">
        <v>84</v>
      </c>
      <c r="AC157" s="13" t="s">
        <v>2641</v>
      </c>
      <c r="AD157" s="13" t="s">
        <v>84</v>
      </c>
      <c r="AE157" s="13" t="s">
        <v>2642</v>
      </c>
      <c r="AF157" s="13" t="s">
        <v>2643</v>
      </c>
      <c r="AG157" s="13" t="s">
        <v>80</v>
      </c>
      <c r="AH157" s="13"/>
      <c r="AI157" s="13" t="s">
        <v>84</v>
      </c>
      <c r="AJ157" s="13" t="s">
        <v>2644</v>
      </c>
      <c r="AK157" s="13" t="s">
        <v>2645</v>
      </c>
      <c r="AL157" s="13" t="s">
        <v>126</v>
      </c>
      <c r="AM157" s="13" t="s">
        <v>91</v>
      </c>
      <c r="AN157" s="13"/>
      <c r="AO157" s="13" t="s">
        <v>80</v>
      </c>
      <c r="AP157" s="58"/>
      <c r="AQ157" s="13" t="s">
        <v>80</v>
      </c>
      <c r="AR157" s="13" t="s">
        <v>80</v>
      </c>
      <c r="AS157" s="13" t="s">
        <v>80</v>
      </c>
      <c r="AT157" s="13" t="s">
        <v>80</v>
      </c>
      <c r="AU157" s="13"/>
      <c r="AV157" s="58"/>
      <c r="AW157" s="13" t="s">
        <v>84</v>
      </c>
      <c r="AX157" s="13" t="s">
        <v>82</v>
      </c>
      <c r="AY157" s="13" t="s">
        <v>82</v>
      </c>
      <c r="AZ157" s="13" t="s">
        <v>82</v>
      </c>
      <c r="BA157" s="13"/>
      <c r="BB157" s="13" t="s">
        <v>84</v>
      </c>
      <c r="BC157" s="13" t="s">
        <v>80</v>
      </c>
      <c r="BD157" s="13" t="s">
        <v>100</v>
      </c>
      <c r="BE157" s="13" t="s">
        <v>100</v>
      </c>
      <c r="BF157" s="13" t="s">
        <v>100</v>
      </c>
      <c r="BG157" s="13" t="s">
        <v>82</v>
      </c>
      <c r="BH157" s="13" t="s">
        <v>84</v>
      </c>
      <c r="BI157" s="13" t="s">
        <v>2646</v>
      </c>
      <c r="BJ157" s="13" t="s">
        <v>84</v>
      </c>
      <c r="BK157" s="13" t="s">
        <v>80</v>
      </c>
      <c r="BL157" s="13">
        <v>2</v>
      </c>
      <c r="BM157" s="13">
        <v>1</v>
      </c>
      <c r="BN157" s="13">
        <v>2</v>
      </c>
      <c r="BO157" s="13">
        <v>2</v>
      </c>
      <c r="BP157" s="13">
        <v>4</v>
      </c>
      <c r="BQ157" s="13">
        <v>5</v>
      </c>
      <c r="BR157" s="58"/>
      <c r="BS157" s="13" t="s">
        <v>118</v>
      </c>
      <c r="BT157" s="13"/>
      <c r="BU157" s="13"/>
      <c r="BV157" s="13"/>
      <c r="BW157" s="58"/>
      <c r="BX157" s="13" t="s">
        <v>82</v>
      </c>
      <c r="BY157" s="13"/>
      <c r="BZ157" s="13" t="s">
        <v>84</v>
      </c>
      <c r="CA157" s="13"/>
      <c r="CB157" s="13" t="s">
        <v>82</v>
      </c>
      <c r="CC157" s="13"/>
      <c r="CD157" s="13" t="s">
        <v>82</v>
      </c>
      <c r="CE157" s="13"/>
      <c r="CF157" s="13"/>
      <c r="CG157" s="13"/>
      <c r="CH157" s="58"/>
      <c r="CI157" s="13" t="s">
        <v>84</v>
      </c>
      <c r="CJ157" s="13"/>
      <c r="CK157" s="13" t="s">
        <v>82</v>
      </c>
      <c r="CL157" s="13"/>
      <c r="CM157" s="13" t="s">
        <v>82</v>
      </c>
      <c r="CN157" s="13"/>
      <c r="CO157" s="13"/>
      <c r="CP157" s="13"/>
      <c r="CQ157" s="13" t="s">
        <v>99</v>
      </c>
      <c r="CR157" s="13" t="s">
        <v>80</v>
      </c>
      <c r="CS157" s="13" t="s">
        <v>702</v>
      </c>
      <c r="CT157" s="13" t="s">
        <v>2647</v>
      </c>
      <c r="CU157" s="13"/>
      <c r="CV157" s="13"/>
      <c r="CW157" s="13" t="s">
        <v>82</v>
      </c>
      <c r="CX157" s="13"/>
      <c r="CY157" s="13" t="s">
        <v>246</v>
      </c>
      <c r="CZ157" s="13"/>
      <c r="DA157" s="13" t="s">
        <v>84</v>
      </c>
      <c r="DB157" s="13" t="s">
        <v>2648</v>
      </c>
      <c r="DC157" s="13" t="s">
        <v>84</v>
      </c>
      <c r="DD157" s="13" t="s">
        <v>84</v>
      </c>
      <c r="DE157" s="58"/>
      <c r="DF157" s="58"/>
      <c r="DG157" s="13">
        <v>1</v>
      </c>
      <c r="DH157" s="13">
        <v>3</v>
      </c>
      <c r="DI157" s="13">
        <v>1</v>
      </c>
      <c r="DJ157" s="13">
        <v>3</v>
      </c>
      <c r="DK157" s="13">
        <v>1</v>
      </c>
      <c r="DL157" s="13">
        <v>3</v>
      </c>
      <c r="DM157" s="13">
        <v>1</v>
      </c>
      <c r="DN157" s="13">
        <v>3</v>
      </c>
      <c r="DO157" s="13">
        <v>1</v>
      </c>
      <c r="DP157" s="13">
        <v>3</v>
      </c>
      <c r="DQ157" s="13">
        <v>1</v>
      </c>
      <c r="DR157" s="13">
        <v>3</v>
      </c>
      <c r="DS157" s="13" t="s">
        <v>99</v>
      </c>
      <c r="DT157" s="13" t="s">
        <v>84</v>
      </c>
      <c r="DU157" s="13"/>
      <c r="DV157" s="13" t="s">
        <v>84</v>
      </c>
      <c r="DW157" s="13" t="s">
        <v>112</v>
      </c>
      <c r="DX157" s="13" t="s">
        <v>81</v>
      </c>
      <c r="DY157" s="13" t="s">
        <v>2649</v>
      </c>
      <c r="DZ157" s="13" t="s">
        <v>100</v>
      </c>
      <c r="EA157" s="13"/>
      <c r="EB157" s="13" t="s">
        <v>82</v>
      </c>
      <c r="EC157" s="13"/>
      <c r="ED157" s="13" t="s">
        <v>246</v>
      </c>
      <c r="EE157" s="13"/>
      <c r="EF157" s="13" t="s">
        <v>84</v>
      </c>
      <c r="EG157" s="13" t="s">
        <v>84</v>
      </c>
      <c r="EH157" s="13" t="s">
        <v>82</v>
      </c>
      <c r="EI157" s="13"/>
      <c r="EJ157" s="13" t="s">
        <v>2650</v>
      </c>
      <c r="EK157" s="13" t="s">
        <v>2651</v>
      </c>
      <c r="EL157" s="13" t="s">
        <v>2652</v>
      </c>
      <c r="EM157" s="9">
        <v>2222.85</v>
      </c>
      <c r="EN157" s="9">
        <v>22.43</v>
      </c>
      <c r="EQ157" s="9">
        <v>98.3</v>
      </c>
      <c r="EW157" s="9">
        <v>591.65</v>
      </c>
      <c r="FF157" s="9">
        <v>215.5</v>
      </c>
      <c r="FJ157" s="9">
        <v>14.42</v>
      </c>
      <c r="FP157" s="9">
        <v>31.23</v>
      </c>
      <c r="FV157" s="9">
        <v>360.2</v>
      </c>
      <c r="GC157" s="9">
        <v>378.88</v>
      </c>
      <c r="GT157" s="9">
        <v>18.43</v>
      </c>
      <c r="GX157" s="9">
        <v>104.2</v>
      </c>
      <c r="HB157" s="9">
        <v>387.61</v>
      </c>
      <c r="HQ157" s="62">
        <f t="shared" si="10"/>
        <v>2222.85</v>
      </c>
      <c r="HR157" s="62">
        <f t="shared" ref="HR157:HR163" si="13">HQ157/60</f>
        <v>37.047499999999999</v>
      </c>
    </row>
    <row r="158" spans="1:226" s="9" customFormat="1" ht="12.75" x14ac:dyDescent="0.2">
      <c r="A158" s="11">
        <v>217</v>
      </c>
      <c r="B158" s="9">
        <v>227</v>
      </c>
      <c r="C158" s="9" t="s">
        <v>83</v>
      </c>
      <c r="D158" s="9">
        <v>11</v>
      </c>
      <c r="E158" s="9" t="s">
        <v>79</v>
      </c>
      <c r="F158" s="9">
        <v>2086761649</v>
      </c>
      <c r="G158" s="9" t="s">
        <v>81</v>
      </c>
      <c r="H158" s="9" t="s">
        <v>84</v>
      </c>
      <c r="I158" s="13" t="s">
        <v>309</v>
      </c>
      <c r="J158" s="13"/>
      <c r="K158" s="58"/>
      <c r="L158" s="58"/>
      <c r="M158" s="13" t="s">
        <v>1294</v>
      </c>
      <c r="N158" s="13" t="s">
        <v>106</v>
      </c>
      <c r="O158" s="13"/>
      <c r="P158" s="13" t="s">
        <v>87</v>
      </c>
      <c r="Q158" s="13" t="s">
        <v>1358</v>
      </c>
      <c r="R158" s="58"/>
      <c r="S158" s="13" t="s">
        <v>84</v>
      </c>
      <c r="T158" s="13" t="s">
        <v>84</v>
      </c>
      <c r="U158" s="13" t="s">
        <v>82</v>
      </c>
      <c r="V158" s="13" t="s">
        <v>82</v>
      </c>
      <c r="W158" s="13" t="s">
        <v>82</v>
      </c>
      <c r="X158" s="13" t="s">
        <v>82</v>
      </c>
      <c r="Y158" s="13" t="s">
        <v>82</v>
      </c>
      <c r="Z158" s="13" t="s">
        <v>82</v>
      </c>
      <c r="AA158" s="13"/>
      <c r="AB158" s="13" t="s">
        <v>84</v>
      </c>
      <c r="AC158" s="13" t="s">
        <v>2653</v>
      </c>
      <c r="AD158" s="13" t="s">
        <v>82</v>
      </c>
      <c r="AE158" s="13"/>
      <c r="AF158" s="13"/>
      <c r="AG158" s="13" t="s">
        <v>82</v>
      </c>
      <c r="AH158" s="13"/>
      <c r="AI158" s="13" t="s">
        <v>84</v>
      </c>
      <c r="AJ158" s="13"/>
      <c r="AK158" s="13" t="s">
        <v>2654</v>
      </c>
      <c r="AL158" s="13" t="s">
        <v>126</v>
      </c>
      <c r="AM158" s="13" t="s">
        <v>111</v>
      </c>
      <c r="AN158" s="13"/>
      <c r="AO158" s="13" t="s">
        <v>80</v>
      </c>
      <c r="AP158" s="58"/>
      <c r="AQ158" s="13" t="s">
        <v>84</v>
      </c>
      <c r="AR158" s="13" t="s">
        <v>82</v>
      </c>
      <c r="AS158" s="13" t="s">
        <v>82</v>
      </c>
      <c r="AT158" s="13" t="s">
        <v>84</v>
      </c>
      <c r="AU158" s="13"/>
      <c r="AV158" s="58"/>
      <c r="AW158" s="13" t="s">
        <v>80</v>
      </c>
      <c r="AX158" s="13" t="s">
        <v>80</v>
      </c>
      <c r="AY158" s="13" t="s">
        <v>80</v>
      </c>
      <c r="AZ158" s="13" t="s">
        <v>80</v>
      </c>
      <c r="BA158" s="13"/>
      <c r="BB158" s="13" t="s">
        <v>84</v>
      </c>
      <c r="BC158" s="13" t="s">
        <v>80</v>
      </c>
      <c r="BD158" s="13" t="s">
        <v>100</v>
      </c>
      <c r="BE158" s="13" t="s">
        <v>100</v>
      </c>
      <c r="BF158" s="13" t="s">
        <v>113</v>
      </c>
      <c r="BG158" s="13" t="s">
        <v>84</v>
      </c>
      <c r="BH158" s="13" t="s">
        <v>84</v>
      </c>
      <c r="BI158" s="13"/>
      <c r="BJ158" s="13" t="s">
        <v>84</v>
      </c>
      <c r="BK158" s="13" t="s">
        <v>80</v>
      </c>
      <c r="BL158" s="13">
        <v>1</v>
      </c>
      <c r="BM158" s="13">
        <v>1</v>
      </c>
      <c r="BN158" s="13">
        <v>1</v>
      </c>
      <c r="BO158" s="13">
        <v>1</v>
      </c>
      <c r="BP158" s="13">
        <v>1</v>
      </c>
      <c r="BQ158" s="13">
        <v>1</v>
      </c>
      <c r="BR158" s="58"/>
      <c r="BS158" s="13" t="s">
        <v>118</v>
      </c>
      <c r="BT158" s="13"/>
      <c r="BU158" s="13"/>
      <c r="BV158" s="13"/>
      <c r="BW158" s="58"/>
      <c r="BX158" s="13" t="s">
        <v>84</v>
      </c>
      <c r="BY158" s="13"/>
      <c r="BZ158" s="13" t="s">
        <v>82</v>
      </c>
      <c r="CA158" s="13"/>
      <c r="CB158" s="13" t="s">
        <v>82</v>
      </c>
      <c r="CC158" s="13"/>
      <c r="CD158" s="13" t="s">
        <v>82</v>
      </c>
      <c r="CE158" s="13"/>
      <c r="CF158" s="13"/>
      <c r="CG158" s="13"/>
      <c r="CH158" s="58"/>
      <c r="CI158" s="13" t="s">
        <v>84</v>
      </c>
      <c r="CJ158" s="13"/>
      <c r="CK158" s="13" t="s">
        <v>84</v>
      </c>
      <c r="CL158" s="13"/>
      <c r="CM158" s="13" t="s">
        <v>82</v>
      </c>
      <c r="CN158" s="13"/>
      <c r="CO158" s="13"/>
      <c r="CP158" s="13"/>
      <c r="CQ158" s="13" t="s">
        <v>97</v>
      </c>
      <c r="CR158" s="13" t="s">
        <v>84</v>
      </c>
      <c r="CS158" s="13" t="s">
        <v>97</v>
      </c>
      <c r="CT158" s="13"/>
      <c r="CU158" s="13" t="s">
        <v>246</v>
      </c>
      <c r="CV158" s="13"/>
      <c r="CW158" s="13" t="s">
        <v>84</v>
      </c>
      <c r="CX158" s="13"/>
      <c r="CY158" s="13"/>
      <c r="CZ158" s="13"/>
      <c r="DA158" s="13" t="s">
        <v>84</v>
      </c>
      <c r="DB158" s="13"/>
      <c r="DC158" s="13" t="s">
        <v>84</v>
      </c>
      <c r="DD158" s="13" t="s">
        <v>84</v>
      </c>
      <c r="DE158" s="58"/>
      <c r="DF158" s="58"/>
      <c r="DG158" s="13">
        <v>1</v>
      </c>
      <c r="DH158" s="13">
        <v>1</v>
      </c>
      <c r="DI158" s="13">
        <v>1</v>
      </c>
      <c r="DJ158" s="13">
        <v>1</v>
      </c>
      <c r="DK158" s="13">
        <v>1</v>
      </c>
      <c r="DL158" s="13">
        <v>1</v>
      </c>
      <c r="DM158" s="13">
        <v>1</v>
      </c>
      <c r="DN158" s="13">
        <v>1</v>
      </c>
      <c r="DO158" s="13">
        <v>1</v>
      </c>
      <c r="DP158" s="13">
        <v>1</v>
      </c>
      <c r="DQ158" s="13">
        <v>1</v>
      </c>
      <c r="DR158" s="13">
        <v>1</v>
      </c>
      <c r="DS158" s="13" t="s">
        <v>118</v>
      </c>
      <c r="DT158" s="13" t="s">
        <v>106</v>
      </c>
      <c r="DU158" s="13"/>
      <c r="DV158" s="13" t="s">
        <v>84</v>
      </c>
      <c r="DW158" s="13" t="s">
        <v>100</v>
      </c>
      <c r="DX158" s="13" t="s">
        <v>81</v>
      </c>
      <c r="DY158" s="13" t="s">
        <v>2655</v>
      </c>
      <c r="DZ158" s="13" t="s">
        <v>113</v>
      </c>
      <c r="EA158" s="13"/>
      <c r="EB158" s="13" t="s">
        <v>84</v>
      </c>
      <c r="EC158" s="13"/>
      <c r="ED158" s="13"/>
      <c r="EE158" s="13"/>
      <c r="EF158" s="13" t="s">
        <v>84</v>
      </c>
      <c r="EG158" s="13" t="s">
        <v>82</v>
      </c>
      <c r="EH158" s="13" t="s">
        <v>84</v>
      </c>
      <c r="EI158" s="13"/>
      <c r="EJ158" s="13"/>
      <c r="EK158" s="13"/>
      <c r="EL158" s="13"/>
      <c r="EM158" s="9">
        <v>539.73</v>
      </c>
      <c r="EN158" s="9">
        <v>21.15</v>
      </c>
      <c r="EQ158" s="9">
        <v>44.23</v>
      </c>
      <c r="EW158" s="9">
        <v>70.66</v>
      </c>
      <c r="FF158" s="9">
        <v>32.840000000000003</v>
      </c>
      <c r="FJ158" s="9">
        <v>26</v>
      </c>
      <c r="FP158" s="9">
        <v>23.18</v>
      </c>
      <c r="FV158" s="9">
        <v>42.99</v>
      </c>
      <c r="GC158" s="9">
        <v>192.98</v>
      </c>
      <c r="GT158" s="9">
        <v>13.21</v>
      </c>
      <c r="GX158" s="9">
        <v>40.86</v>
      </c>
      <c r="HB158" s="9">
        <v>31.63</v>
      </c>
      <c r="HQ158" s="62">
        <f t="shared" si="10"/>
        <v>539.73</v>
      </c>
      <c r="HR158" s="62">
        <f t="shared" si="13"/>
        <v>8.9954999999999998</v>
      </c>
    </row>
    <row r="159" spans="1:226" s="9" customFormat="1" ht="12.75" x14ac:dyDescent="0.2">
      <c r="A159" s="11">
        <v>218</v>
      </c>
      <c r="B159" s="9">
        <v>229</v>
      </c>
      <c r="C159" s="9" t="s">
        <v>83</v>
      </c>
      <c r="D159" s="9">
        <v>11</v>
      </c>
      <c r="E159" s="9" t="s">
        <v>79</v>
      </c>
      <c r="F159" s="9">
        <v>1743372953</v>
      </c>
      <c r="G159" s="9" t="s">
        <v>81</v>
      </c>
      <c r="H159" s="9" t="s">
        <v>84</v>
      </c>
      <c r="I159" s="13" t="s">
        <v>107</v>
      </c>
      <c r="J159" s="13"/>
      <c r="K159" s="58"/>
      <c r="L159" s="58"/>
      <c r="M159" s="13" t="s">
        <v>1319</v>
      </c>
      <c r="N159" s="13" t="s">
        <v>108</v>
      </c>
      <c r="O159" s="13"/>
      <c r="P159" s="13" t="s">
        <v>87</v>
      </c>
      <c r="Q159" s="13" t="s">
        <v>1320</v>
      </c>
      <c r="R159" s="58"/>
      <c r="S159" s="13" t="s">
        <v>84</v>
      </c>
      <c r="T159" s="13" t="s">
        <v>84</v>
      </c>
      <c r="U159" s="13" t="s">
        <v>84</v>
      </c>
      <c r="V159" s="13" t="s">
        <v>84</v>
      </c>
      <c r="W159" s="13" t="s">
        <v>84</v>
      </c>
      <c r="X159" s="13" t="s">
        <v>82</v>
      </c>
      <c r="Y159" s="13" t="s">
        <v>84</v>
      </c>
      <c r="Z159" s="13" t="s">
        <v>84</v>
      </c>
      <c r="AA159" s="13"/>
      <c r="AB159" s="13" t="s">
        <v>84</v>
      </c>
      <c r="AC159" s="13" t="s">
        <v>2656</v>
      </c>
      <c r="AD159" s="13" t="s">
        <v>82</v>
      </c>
      <c r="AE159" s="13"/>
      <c r="AF159" s="13"/>
      <c r="AG159" s="13" t="s">
        <v>84</v>
      </c>
      <c r="AH159" s="13" t="s">
        <v>2657</v>
      </c>
      <c r="AI159" s="13" t="s">
        <v>84</v>
      </c>
      <c r="AJ159" s="13"/>
      <c r="AK159" s="13" t="s">
        <v>2658</v>
      </c>
      <c r="AL159" s="13" t="s">
        <v>126</v>
      </c>
      <c r="AM159" s="13" t="s">
        <v>111</v>
      </c>
      <c r="AN159" s="13"/>
      <c r="AO159" s="13" t="s">
        <v>80</v>
      </c>
      <c r="AP159" s="58"/>
      <c r="AQ159" s="13" t="s">
        <v>84</v>
      </c>
      <c r="AR159" s="13" t="s">
        <v>84</v>
      </c>
      <c r="AS159" s="13" t="s">
        <v>84</v>
      </c>
      <c r="AT159" s="13" t="s">
        <v>84</v>
      </c>
      <c r="AU159" s="13"/>
      <c r="AV159" s="58"/>
      <c r="AW159" s="13" t="s">
        <v>80</v>
      </c>
      <c r="AX159" s="13" t="s">
        <v>80</v>
      </c>
      <c r="AY159" s="13" t="s">
        <v>80</v>
      </c>
      <c r="AZ159" s="13" t="s">
        <v>80</v>
      </c>
      <c r="BA159" s="13"/>
      <c r="BB159" s="13" t="s">
        <v>84</v>
      </c>
      <c r="BC159" s="13" t="s">
        <v>80</v>
      </c>
      <c r="BD159" s="13" t="s">
        <v>100</v>
      </c>
      <c r="BE159" s="13" t="s">
        <v>112</v>
      </c>
      <c r="BF159" s="13" t="s">
        <v>340</v>
      </c>
      <c r="BG159" s="13" t="s">
        <v>84</v>
      </c>
      <c r="BH159" s="13" t="s">
        <v>84</v>
      </c>
      <c r="BI159" s="13" t="s">
        <v>2659</v>
      </c>
      <c r="BJ159" s="13" t="s">
        <v>84</v>
      </c>
      <c r="BK159" s="13" t="s">
        <v>80</v>
      </c>
      <c r="BL159" s="13">
        <v>1</v>
      </c>
      <c r="BM159" s="13">
        <v>3</v>
      </c>
      <c r="BN159" s="13">
        <v>2</v>
      </c>
      <c r="BO159" s="13">
        <v>3</v>
      </c>
      <c r="BP159" s="13">
        <v>2</v>
      </c>
      <c r="BQ159" s="13">
        <v>3</v>
      </c>
      <c r="BR159" s="58"/>
      <c r="BS159" s="13" t="s">
        <v>97</v>
      </c>
      <c r="BT159" s="13"/>
      <c r="BU159" s="13" t="s">
        <v>246</v>
      </c>
      <c r="BV159" s="13"/>
      <c r="BW159" s="58"/>
      <c r="BX159" s="13" t="s">
        <v>80</v>
      </c>
      <c r="BY159" s="13"/>
      <c r="BZ159" s="13" t="s">
        <v>80</v>
      </c>
      <c r="CA159" s="13"/>
      <c r="CB159" s="13" t="s">
        <v>80</v>
      </c>
      <c r="CC159" s="13"/>
      <c r="CD159" s="13" t="s">
        <v>80</v>
      </c>
      <c r="CE159" s="13"/>
      <c r="CF159" s="13"/>
      <c r="CG159" s="13"/>
      <c r="CH159" s="58"/>
      <c r="CI159" s="13" t="s">
        <v>82</v>
      </c>
      <c r="CJ159" s="13"/>
      <c r="CK159" s="13" t="s">
        <v>84</v>
      </c>
      <c r="CL159" s="13"/>
      <c r="CM159" s="13" t="s">
        <v>84</v>
      </c>
      <c r="CN159" s="13"/>
      <c r="CO159" s="13"/>
      <c r="CP159" s="13"/>
      <c r="CQ159" s="13" t="s">
        <v>118</v>
      </c>
      <c r="CR159" s="13" t="s">
        <v>84</v>
      </c>
      <c r="CS159" s="13" t="s">
        <v>1312</v>
      </c>
      <c r="CT159" s="13"/>
      <c r="CU159" s="13" t="s">
        <v>246</v>
      </c>
      <c r="CV159" s="13"/>
      <c r="CW159" s="13" t="s">
        <v>82</v>
      </c>
      <c r="CX159" s="13"/>
      <c r="CY159" s="13" t="s">
        <v>81</v>
      </c>
      <c r="CZ159" s="13"/>
      <c r="DA159" s="13" t="s">
        <v>82</v>
      </c>
      <c r="DB159" s="13"/>
      <c r="DC159" s="13" t="s">
        <v>82</v>
      </c>
      <c r="DD159" s="13" t="s">
        <v>82</v>
      </c>
      <c r="DE159" s="58"/>
      <c r="DF159" s="58"/>
      <c r="DG159" s="13">
        <v>4</v>
      </c>
      <c r="DH159" s="13">
        <v>1</v>
      </c>
      <c r="DI159" s="13">
        <v>3</v>
      </c>
      <c r="DJ159" s="13">
        <v>1</v>
      </c>
      <c r="DK159" s="13">
        <v>3</v>
      </c>
      <c r="DL159" s="13">
        <v>1</v>
      </c>
      <c r="DM159" s="13">
        <v>3</v>
      </c>
      <c r="DN159" s="13">
        <v>1</v>
      </c>
      <c r="DO159" s="13">
        <v>3</v>
      </c>
      <c r="DP159" s="13">
        <v>1</v>
      </c>
      <c r="DQ159" s="13">
        <v>4</v>
      </c>
      <c r="DR159" s="13">
        <v>1</v>
      </c>
      <c r="DS159" s="13" t="s">
        <v>99</v>
      </c>
      <c r="DT159" s="13" t="s">
        <v>82</v>
      </c>
      <c r="DU159" s="13" t="s">
        <v>2660</v>
      </c>
      <c r="DV159" s="13" t="s">
        <v>84</v>
      </c>
      <c r="DW159" s="13" t="s">
        <v>100</v>
      </c>
      <c r="DX159" s="13" t="s">
        <v>81</v>
      </c>
      <c r="DY159" s="13" t="s">
        <v>2661</v>
      </c>
      <c r="DZ159" s="13" t="s">
        <v>93</v>
      </c>
      <c r="EA159" s="13" t="s">
        <v>2662</v>
      </c>
      <c r="EB159" s="13" t="s">
        <v>82</v>
      </c>
      <c r="EC159" s="13"/>
      <c r="ED159" s="13" t="s">
        <v>81</v>
      </c>
      <c r="EE159" s="13" t="s">
        <v>2663</v>
      </c>
      <c r="EF159" s="13" t="s">
        <v>82</v>
      </c>
      <c r="EG159" s="13" t="s">
        <v>82</v>
      </c>
      <c r="EH159" s="13" t="s">
        <v>82</v>
      </c>
      <c r="EI159" s="13"/>
      <c r="EJ159" s="13" t="s">
        <v>2664</v>
      </c>
      <c r="EK159" s="13" t="s">
        <v>2665</v>
      </c>
      <c r="EL159" s="13" t="s">
        <v>2666</v>
      </c>
      <c r="EM159" s="9">
        <v>1503.08</v>
      </c>
      <c r="EN159" s="9">
        <v>34.29</v>
      </c>
      <c r="EQ159" s="9">
        <v>73.430000000000007</v>
      </c>
      <c r="EW159" s="9">
        <v>104.92</v>
      </c>
      <c r="FF159" s="9">
        <v>46.32</v>
      </c>
      <c r="FJ159" s="9">
        <v>31.16</v>
      </c>
      <c r="FP159" s="9">
        <v>68.12</v>
      </c>
      <c r="FV159" s="9">
        <v>142.02000000000001</v>
      </c>
      <c r="GC159" s="9">
        <v>234.74</v>
      </c>
      <c r="GT159" s="9">
        <v>111.53</v>
      </c>
      <c r="GX159" s="9">
        <v>249.24</v>
      </c>
      <c r="HB159" s="9">
        <v>407.31</v>
      </c>
      <c r="HQ159" s="62">
        <f t="shared" si="10"/>
        <v>1503.08</v>
      </c>
      <c r="HR159" s="62">
        <f t="shared" si="13"/>
        <v>25.051333333333332</v>
      </c>
    </row>
    <row r="160" spans="1:226" s="9" customFormat="1" ht="12.75" x14ac:dyDescent="0.2">
      <c r="A160" s="11">
        <v>219</v>
      </c>
      <c r="B160" s="9">
        <v>230</v>
      </c>
      <c r="C160" s="9" t="s">
        <v>83</v>
      </c>
      <c r="D160" s="9">
        <v>11</v>
      </c>
      <c r="E160" s="9" t="s">
        <v>79</v>
      </c>
      <c r="F160" s="9">
        <v>1930295475</v>
      </c>
      <c r="G160" s="9" t="s">
        <v>81</v>
      </c>
      <c r="H160" s="9" t="s">
        <v>84</v>
      </c>
      <c r="I160" s="13" t="s">
        <v>119</v>
      </c>
      <c r="J160" s="13" t="s">
        <v>2667</v>
      </c>
      <c r="K160" s="58"/>
      <c r="L160" s="58"/>
      <c r="M160" s="13" t="s">
        <v>1294</v>
      </c>
      <c r="N160" s="13" t="s">
        <v>106</v>
      </c>
      <c r="O160" s="13"/>
      <c r="P160" s="13" t="s">
        <v>195</v>
      </c>
      <c r="Q160" s="13" t="s">
        <v>1296</v>
      </c>
      <c r="R160" s="58"/>
      <c r="S160" s="13" t="s">
        <v>84</v>
      </c>
      <c r="T160" s="13" t="s">
        <v>84</v>
      </c>
      <c r="U160" s="13" t="s">
        <v>84</v>
      </c>
      <c r="V160" s="13" t="s">
        <v>82</v>
      </c>
      <c r="W160" s="13" t="s">
        <v>82</v>
      </c>
      <c r="X160" s="13" t="s">
        <v>82</v>
      </c>
      <c r="Y160" s="13" t="s">
        <v>84</v>
      </c>
      <c r="Z160" s="13" t="s">
        <v>82</v>
      </c>
      <c r="AA160" s="13"/>
      <c r="AB160" s="13" t="s">
        <v>82</v>
      </c>
      <c r="AC160" s="13"/>
      <c r="AD160" s="13" t="s">
        <v>82</v>
      </c>
      <c r="AE160" s="13"/>
      <c r="AF160" s="13"/>
      <c r="AG160" s="13" t="s">
        <v>84</v>
      </c>
      <c r="AH160" s="13"/>
      <c r="AI160" s="13" t="s">
        <v>84</v>
      </c>
      <c r="AJ160" s="13"/>
      <c r="AK160" s="13"/>
      <c r="AL160" s="13" t="s">
        <v>140</v>
      </c>
      <c r="AM160" s="13" t="s">
        <v>91</v>
      </c>
      <c r="AN160" s="13"/>
      <c r="AO160" s="13" t="s">
        <v>80</v>
      </c>
      <c r="AP160" s="58"/>
      <c r="AQ160" s="13" t="s">
        <v>80</v>
      </c>
      <c r="AR160" s="13" t="s">
        <v>80</v>
      </c>
      <c r="AS160" s="13" t="s">
        <v>80</v>
      </c>
      <c r="AT160" s="13" t="s">
        <v>80</v>
      </c>
      <c r="AU160" s="13"/>
      <c r="AV160" s="58"/>
      <c r="AW160" s="13" t="s">
        <v>84</v>
      </c>
      <c r="AX160" s="13" t="s">
        <v>84</v>
      </c>
      <c r="AY160" s="13" t="s">
        <v>84</v>
      </c>
      <c r="AZ160" s="13" t="s">
        <v>84</v>
      </c>
      <c r="BA160" s="13"/>
      <c r="BB160" s="13" t="s">
        <v>84</v>
      </c>
      <c r="BC160" s="13" t="s">
        <v>80</v>
      </c>
      <c r="BD160" s="13" t="s">
        <v>93</v>
      </c>
      <c r="BE160" s="13" t="s">
        <v>93</v>
      </c>
      <c r="BF160" s="13" t="s">
        <v>340</v>
      </c>
      <c r="BG160" s="13" t="s">
        <v>84</v>
      </c>
      <c r="BH160" s="13" t="s">
        <v>82</v>
      </c>
      <c r="BI160" s="13"/>
      <c r="BJ160" s="13" t="s">
        <v>84</v>
      </c>
      <c r="BK160" s="13" t="s">
        <v>80</v>
      </c>
      <c r="BL160" s="13">
        <v>3</v>
      </c>
      <c r="BM160" s="13">
        <v>3</v>
      </c>
      <c r="BN160" s="13">
        <v>3</v>
      </c>
      <c r="BO160" s="13">
        <v>3</v>
      </c>
      <c r="BP160" s="13">
        <v>3</v>
      </c>
      <c r="BQ160" s="13">
        <v>3</v>
      </c>
      <c r="BR160" s="58"/>
      <c r="BS160" s="13" t="s">
        <v>99</v>
      </c>
      <c r="BT160" s="13"/>
      <c r="BU160" s="13"/>
      <c r="BV160" s="13"/>
      <c r="BW160" s="58"/>
      <c r="BX160" s="13" t="s">
        <v>82</v>
      </c>
      <c r="BY160" s="13"/>
      <c r="BZ160" s="13" t="s">
        <v>84</v>
      </c>
      <c r="CA160" s="13"/>
      <c r="CB160" s="13" t="s">
        <v>82</v>
      </c>
      <c r="CC160" s="13"/>
      <c r="CD160" s="13" t="s">
        <v>82</v>
      </c>
      <c r="CE160" s="13"/>
      <c r="CF160" s="13"/>
      <c r="CG160" s="13"/>
      <c r="CH160" s="58"/>
      <c r="CI160" s="13" t="s">
        <v>82</v>
      </c>
      <c r="CJ160" s="13"/>
      <c r="CK160" s="13" t="s">
        <v>82</v>
      </c>
      <c r="CL160" s="13"/>
      <c r="CM160" s="13" t="s">
        <v>84</v>
      </c>
      <c r="CN160" s="13"/>
      <c r="CO160" s="13"/>
      <c r="CP160" s="13"/>
      <c r="CQ160" s="13" t="s">
        <v>99</v>
      </c>
      <c r="CR160" s="13" t="s">
        <v>80</v>
      </c>
      <c r="CS160" s="13" t="s">
        <v>99</v>
      </c>
      <c r="CT160" s="13"/>
      <c r="CU160" s="13"/>
      <c r="CV160" s="13"/>
      <c r="CW160" s="13" t="s">
        <v>82</v>
      </c>
      <c r="CX160" s="13"/>
      <c r="CY160" s="13" t="s">
        <v>81</v>
      </c>
      <c r="CZ160" s="13"/>
      <c r="DA160" s="13" t="s">
        <v>82</v>
      </c>
      <c r="DB160" s="13"/>
      <c r="DC160" s="13" t="s">
        <v>84</v>
      </c>
      <c r="DD160" s="13" t="s">
        <v>84</v>
      </c>
      <c r="DE160" s="58"/>
      <c r="DF160" s="58"/>
      <c r="DG160" s="13">
        <v>4</v>
      </c>
      <c r="DH160" s="13">
        <v>4</v>
      </c>
      <c r="DI160" s="13">
        <v>4</v>
      </c>
      <c r="DJ160" s="13">
        <v>4</v>
      </c>
      <c r="DK160" s="13">
        <v>4</v>
      </c>
      <c r="DL160" s="13">
        <v>4</v>
      </c>
      <c r="DM160" s="13">
        <v>4</v>
      </c>
      <c r="DN160" s="13">
        <v>4</v>
      </c>
      <c r="DO160" s="13">
        <v>4</v>
      </c>
      <c r="DP160" s="13">
        <v>4</v>
      </c>
      <c r="DQ160" s="13">
        <v>4</v>
      </c>
      <c r="DR160" s="13">
        <v>4</v>
      </c>
      <c r="DS160" s="13" t="s">
        <v>99</v>
      </c>
      <c r="DT160" s="13" t="s">
        <v>106</v>
      </c>
      <c r="DU160" s="13"/>
      <c r="DV160" s="13" t="s">
        <v>84</v>
      </c>
      <c r="DW160" s="13" t="s">
        <v>93</v>
      </c>
      <c r="DX160" s="13" t="s">
        <v>81</v>
      </c>
      <c r="DY160" s="13"/>
      <c r="DZ160" s="13" t="s">
        <v>93</v>
      </c>
      <c r="EA160" s="13"/>
      <c r="EB160" s="13" t="s">
        <v>82</v>
      </c>
      <c r="EC160" s="13"/>
      <c r="ED160" s="13" t="s">
        <v>81</v>
      </c>
      <c r="EE160" s="13"/>
      <c r="EF160" s="13" t="s">
        <v>84</v>
      </c>
      <c r="EG160" s="13" t="s">
        <v>84</v>
      </c>
      <c r="EH160" s="13" t="s">
        <v>82</v>
      </c>
      <c r="EI160" s="13"/>
      <c r="EJ160" s="13"/>
      <c r="EK160" s="13"/>
      <c r="EL160" s="13"/>
      <c r="EM160" s="9">
        <v>517.91999999999996</v>
      </c>
      <c r="EN160" s="9">
        <v>14.75</v>
      </c>
      <c r="EQ160" s="9">
        <v>68.86</v>
      </c>
      <c r="EW160" s="9">
        <v>31.44</v>
      </c>
      <c r="FF160" s="9">
        <v>21.09</v>
      </c>
      <c r="FJ160" s="9">
        <v>24.62</v>
      </c>
      <c r="FP160" s="9">
        <v>27</v>
      </c>
      <c r="FV160" s="9">
        <v>66.84</v>
      </c>
      <c r="GC160" s="9">
        <v>126.64</v>
      </c>
      <c r="GT160" s="9">
        <v>16.190000000000001</v>
      </c>
      <c r="GX160" s="9">
        <v>46.16</v>
      </c>
      <c r="HB160" s="9">
        <v>74.33</v>
      </c>
      <c r="HQ160" s="62">
        <f t="shared" si="10"/>
        <v>517.91999999999996</v>
      </c>
      <c r="HR160" s="62">
        <f t="shared" si="13"/>
        <v>8.6319999999999997</v>
      </c>
    </row>
    <row r="161" spans="1:226" s="9" customFormat="1" ht="12.75" x14ac:dyDescent="0.2">
      <c r="A161" s="11">
        <v>220</v>
      </c>
      <c r="B161" s="9">
        <v>233</v>
      </c>
      <c r="C161" s="9" t="s">
        <v>83</v>
      </c>
      <c r="D161" s="9">
        <v>11</v>
      </c>
      <c r="E161" s="9" t="s">
        <v>79</v>
      </c>
      <c r="F161" s="9">
        <v>1330602875</v>
      </c>
      <c r="G161" s="9" t="s">
        <v>81</v>
      </c>
      <c r="H161" s="9" t="s">
        <v>84</v>
      </c>
      <c r="I161" s="13" t="s">
        <v>630</v>
      </c>
      <c r="J161" s="13"/>
      <c r="K161" s="58"/>
      <c r="L161" s="58"/>
      <c r="M161" s="13" t="s">
        <v>1294</v>
      </c>
      <c r="N161" s="13" t="s">
        <v>86</v>
      </c>
      <c r="O161" s="13"/>
      <c r="P161" s="13" t="s">
        <v>87</v>
      </c>
      <c r="Q161" s="13" t="s">
        <v>1296</v>
      </c>
      <c r="R161" s="58"/>
      <c r="S161" s="13" t="s">
        <v>84</v>
      </c>
      <c r="T161" s="13" t="s">
        <v>82</v>
      </c>
      <c r="U161" s="13" t="s">
        <v>82</v>
      </c>
      <c r="V161" s="13" t="s">
        <v>82</v>
      </c>
      <c r="W161" s="13" t="s">
        <v>82</v>
      </c>
      <c r="X161" s="13" t="s">
        <v>82</v>
      </c>
      <c r="Y161" s="13" t="s">
        <v>82</v>
      </c>
      <c r="Z161" s="13" t="s">
        <v>82</v>
      </c>
      <c r="AA161" s="13"/>
      <c r="AB161" s="13" t="s">
        <v>82</v>
      </c>
      <c r="AC161" s="13"/>
      <c r="AD161" s="13" t="s">
        <v>82</v>
      </c>
      <c r="AE161" s="13"/>
      <c r="AF161" s="13"/>
      <c r="AG161" s="13" t="s">
        <v>82</v>
      </c>
      <c r="AH161" s="13" t="s">
        <v>2668</v>
      </c>
      <c r="AI161" s="13" t="s">
        <v>82</v>
      </c>
      <c r="AJ161" s="13"/>
      <c r="AK161" s="13"/>
      <c r="AL161" s="13" t="s">
        <v>126</v>
      </c>
      <c r="AM161" s="13" t="s">
        <v>91</v>
      </c>
      <c r="AN161" s="13"/>
      <c r="AO161" s="13" t="s">
        <v>80</v>
      </c>
      <c r="AP161" s="58"/>
      <c r="AQ161" s="13" t="s">
        <v>80</v>
      </c>
      <c r="AR161" s="13" t="s">
        <v>80</v>
      </c>
      <c r="AS161" s="13" t="s">
        <v>80</v>
      </c>
      <c r="AT161" s="13" t="s">
        <v>80</v>
      </c>
      <c r="AU161" s="13"/>
      <c r="AV161" s="58"/>
      <c r="AW161" s="13" t="s">
        <v>84</v>
      </c>
      <c r="AX161" s="13" t="s">
        <v>82</v>
      </c>
      <c r="AY161" s="13" t="s">
        <v>82</v>
      </c>
      <c r="AZ161" s="13" t="s">
        <v>82</v>
      </c>
      <c r="BA161" s="13"/>
      <c r="BB161" s="13" t="s">
        <v>84</v>
      </c>
      <c r="BC161" s="13" t="s">
        <v>80</v>
      </c>
      <c r="BD161" s="13" t="s">
        <v>93</v>
      </c>
      <c r="BE161" s="13" t="s">
        <v>93</v>
      </c>
      <c r="BF161" s="13" t="s">
        <v>112</v>
      </c>
      <c r="BG161" s="13" t="s">
        <v>84</v>
      </c>
      <c r="BH161" s="13" t="s">
        <v>84</v>
      </c>
      <c r="BI161" s="13" t="s">
        <v>2669</v>
      </c>
      <c r="BJ161" s="13" t="s">
        <v>84</v>
      </c>
      <c r="BK161" s="13" t="s">
        <v>80</v>
      </c>
      <c r="BL161" s="13">
        <v>1</v>
      </c>
      <c r="BM161" s="13">
        <v>1</v>
      </c>
      <c r="BN161" s="13">
        <v>1</v>
      </c>
      <c r="BO161" s="13">
        <v>1</v>
      </c>
      <c r="BP161" s="13">
        <v>2</v>
      </c>
      <c r="BQ161" s="13">
        <v>2</v>
      </c>
      <c r="BR161" s="58"/>
      <c r="BS161" s="13" t="s">
        <v>99</v>
      </c>
      <c r="BT161" s="13"/>
      <c r="BU161" s="13"/>
      <c r="BV161" s="13"/>
      <c r="BW161" s="58"/>
      <c r="BX161" s="13" t="s">
        <v>84</v>
      </c>
      <c r="BY161" s="13" t="s">
        <v>2670</v>
      </c>
      <c r="BZ161" s="13" t="s">
        <v>82</v>
      </c>
      <c r="CA161" s="13"/>
      <c r="CB161" s="13" t="s">
        <v>82</v>
      </c>
      <c r="CC161" s="13"/>
      <c r="CD161" s="13" t="s">
        <v>82</v>
      </c>
      <c r="CE161" s="13"/>
      <c r="CF161" s="13"/>
      <c r="CG161" s="13"/>
      <c r="CH161" s="58"/>
      <c r="CI161" s="13" t="s">
        <v>82</v>
      </c>
      <c r="CJ161" s="13"/>
      <c r="CK161" s="13" t="s">
        <v>84</v>
      </c>
      <c r="CL161" s="13"/>
      <c r="CM161" s="13" t="s">
        <v>82</v>
      </c>
      <c r="CN161" s="13"/>
      <c r="CO161" s="13"/>
      <c r="CP161" s="13"/>
      <c r="CQ161" s="13" t="s">
        <v>99</v>
      </c>
      <c r="CR161" s="13" t="s">
        <v>80</v>
      </c>
      <c r="CS161" s="13" t="s">
        <v>99</v>
      </c>
      <c r="CT161" s="13"/>
      <c r="CU161" s="13"/>
      <c r="CV161" s="13"/>
      <c r="CW161" s="13" t="s">
        <v>82</v>
      </c>
      <c r="CX161" s="13"/>
      <c r="CY161" s="13" t="s">
        <v>81</v>
      </c>
      <c r="CZ161" s="13"/>
      <c r="DA161" s="13" t="s">
        <v>82</v>
      </c>
      <c r="DB161" s="13"/>
      <c r="DC161" s="13" t="s">
        <v>84</v>
      </c>
      <c r="DD161" s="13" t="s">
        <v>84</v>
      </c>
      <c r="DE161" s="58"/>
      <c r="DF161" s="58"/>
      <c r="DG161" s="13">
        <v>1</v>
      </c>
      <c r="DH161" s="13">
        <v>1</v>
      </c>
      <c r="DI161" s="13">
        <v>1</v>
      </c>
      <c r="DJ161" s="13">
        <v>1</v>
      </c>
      <c r="DK161" s="13">
        <v>2</v>
      </c>
      <c r="DL161" s="13">
        <v>1</v>
      </c>
      <c r="DM161" s="13">
        <v>2</v>
      </c>
      <c r="DN161" s="13">
        <v>2</v>
      </c>
      <c r="DO161" s="13">
        <v>2</v>
      </c>
      <c r="DP161" s="13">
        <v>1</v>
      </c>
      <c r="DQ161" s="13">
        <v>3</v>
      </c>
      <c r="DR161" s="13">
        <v>3</v>
      </c>
      <c r="DS161" s="13" t="s">
        <v>99</v>
      </c>
      <c r="DT161" s="13" t="s">
        <v>84</v>
      </c>
      <c r="DU161" s="13"/>
      <c r="DV161" s="13" t="s">
        <v>84</v>
      </c>
      <c r="DW161" s="13" t="s">
        <v>93</v>
      </c>
      <c r="DX161" s="13" t="s">
        <v>81</v>
      </c>
      <c r="DY161" s="13" t="s">
        <v>2671</v>
      </c>
      <c r="DZ161" s="13" t="s">
        <v>93</v>
      </c>
      <c r="EA161" s="13" t="s">
        <v>2672</v>
      </c>
      <c r="EB161" s="13" t="s">
        <v>82</v>
      </c>
      <c r="EC161" s="13"/>
      <c r="ED161" s="13" t="s">
        <v>81</v>
      </c>
      <c r="EE161" s="13"/>
      <c r="EF161" s="13" t="s">
        <v>82</v>
      </c>
      <c r="EG161" s="13" t="s">
        <v>82</v>
      </c>
      <c r="EH161" s="13" t="s">
        <v>82</v>
      </c>
      <c r="EI161" s="13"/>
      <c r="EJ161" s="13" t="s">
        <v>2673</v>
      </c>
      <c r="EK161" s="13" t="s">
        <v>2674</v>
      </c>
      <c r="EL161" s="13" t="s">
        <v>2675</v>
      </c>
      <c r="EM161" s="9">
        <v>7082.44</v>
      </c>
      <c r="EN161" s="9">
        <v>3021.61</v>
      </c>
      <c r="EQ161" s="9">
        <v>101.3</v>
      </c>
      <c r="EW161" s="9">
        <v>320.79000000000002</v>
      </c>
      <c r="FF161" s="9">
        <v>25.23</v>
      </c>
      <c r="FJ161" s="9">
        <v>13.07</v>
      </c>
      <c r="FP161" s="9">
        <v>50.87</v>
      </c>
      <c r="FV161" s="9">
        <v>644.55999999999995</v>
      </c>
      <c r="GC161" s="9">
        <v>1030.8699999999999</v>
      </c>
      <c r="GT161" s="9">
        <v>17.97</v>
      </c>
      <c r="GX161" s="9">
        <v>968.72</v>
      </c>
      <c r="HB161" s="9">
        <v>887.45</v>
      </c>
      <c r="HQ161" s="62">
        <f t="shared" si="10"/>
        <v>7082.44</v>
      </c>
      <c r="HR161" s="62">
        <f t="shared" si="13"/>
        <v>118.04066666666667</v>
      </c>
    </row>
    <row r="162" spans="1:226" s="9" customFormat="1" ht="12.75" x14ac:dyDescent="0.2">
      <c r="A162" s="11">
        <v>221</v>
      </c>
      <c r="B162" s="9">
        <v>234</v>
      </c>
      <c r="C162" s="9" t="s">
        <v>83</v>
      </c>
      <c r="D162" s="9">
        <v>11</v>
      </c>
      <c r="E162" s="9" t="s">
        <v>79</v>
      </c>
      <c r="F162" s="9">
        <v>1850776981</v>
      </c>
      <c r="G162" s="9" t="s">
        <v>81</v>
      </c>
      <c r="H162" s="9" t="s">
        <v>84</v>
      </c>
      <c r="I162" s="13" t="s">
        <v>107</v>
      </c>
      <c r="J162" s="13"/>
      <c r="K162" s="58"/>
      <c r="L162" s="58"/>
      <c r="M162" s="13" t="s">
        <v>1309</v>
      </c>
      <c r="N162" s="13" t="s">
        <v>108</v>
      </c>
      <c r="O162" s="13"/>
      <c r="P162" s="13" t="s">
        <v>87</v>
      </c>
      <c r="Q162" s="13" t="s">
        <v>1358</v>
      </c>
      <c r="R162" s="58"/>
      <c r="S162" s="13" t="s">
        <v>84</v>
      </c>
      <c r="T162" s="13" t="s">
        <v>84</v>
      </c>
      <c r="U162" s="13" t="s">
        <v>82</v>
      </c>
      <c r="V162" s="13" t="s">
        <v>84</v>
      </c>
      <c r="W162" s="13" t="s">
        <v>82</v>
      </c>
      <c r="X162" s="13" t="s">
        <v>82</v>
      </c>
      <c r="Y162" s="13" t="s">
        <v>84</v>
      </c>
      <c r="Z162" s="13" t="s">
        <v>84</v>
      </c>
      <c r="AA162" s="13"/>
      <c r="AB162" s="13" t="s">
        <v>82</v>
      </c>
      <c r="AC162" s="13"/>
      <c r="AD162" s="13" t="s">
        <v>82</v>
      </c>
      <c r="AE162" s="13"/>
      <c r="AF162" s="13"/>
      <c r="AG162" s="13" t="s">
        <v>82</v>
      </c>
      <c r="AH162" s="13" t="s">
        <v>2676</v>
      </c>
      <c r="AI162" s="13" t="s">
        <v>84</v>
      </c>
      <c r="AJ162" s="13"/>
      <c r="AK162" s="13" t="s">
        <v>2677</v>
      </c>
      <c r="AL162" s="13" t="s">
        <v>126</v>
      </c>
      <c r="AM162" s="13" t="s">
        <v>111</v>
      </c>
      <c r="AN162" s="13"/>
      <c r="AO162" s="13" t="s">
        <v>80</v>
      </c>
      <c r="AP162" s="58"/>
      <c r="AQ162" s="13" t="s">
        <v>84</v>
      </c>
      <c r="AR162" s="13" t="s">
        <v>82</v>
      </c>
      <c r="AS162" s="13" t="s">
        <v>82</v>
      </c>
      <c r="AT162" s="13" t="s">
        <v>82</v>
      </c>
      <c r="AU162" s="13"/>
      <c r="AV162" s="58"/>
      <c r="AW162" s="13" t="s">
        <v>80</v>
      </c>
      <c r="AX162" s="13" t="s">
        <v>80</v>
      </c>
      <c r="AY162" s="13" t="s">
        <v>80</v>
      </c>
      <c r="AZ162" s="13" t="s">
        <v>80</v>
      </c>
      <c r="BA162" s="13"/>
      <c r="BB162" s="13" t="s">
        <v>84</v>
      </c>
      <c r="BC162" s="13" t="s">
        <v>80</v>
      </c>
      <c r="BD162" s="13" t="s">
        <v>100</v>
      </c>
      <c r="BE162" s="13" t="s">
        <v>113</v>
      </c>
      <c r="BF162" s="13" t="s">
        <v>100</v>
      </c>
      <c r="BG162" s="13" t="s">
        <v>82</v>
      </c>
      <c r="BH162" s="13" t="s">
        <v>84</v>
      </c>
      <c r="BI162" s="13"/>
      <c r="BJ162" s="13" t="s">
        <v>84</v>
      </c>
      <c r="BK162" s="13" t="s">
        <v>80</v>
      </c>
      <c r="BL162" s="13">
        <v>4</v>
      </c>
      <c r="BM162" s="13">
        <v>1</v>
      </c>
      <c r="BN162" s="13">
        <v>3</v>
      </c>
      <c r="BO162" s="13">
        <v>1</v>
      </c>
      <c r="BP162" s="13">
        <v>3</v>
      </c>
      <c r="BQ162" s="13">
        <v>1</v>
      </c>
      <c r="BR162" s="58"/>
      <c r="BS162" s="13" t="s">
        <v>118</v>
      </c>
      <c r="BT162" s="13"/>
      <c r="BU162" s="13"/>
      <c r="BV162" s="13"/>
      <c r="BW162" s="58"/>
      <c r="BX162" s="13" t="s">
        <v>84</v>
      </c>
      <c r="BY162" s="13"/>
      <c r="BZ162" s="13" t="s">
        <v>84</v>
      </c>
      <c r="CA162" s="13"/>
      <c r="CB162" s="13" t="s">
        <v>84</v>
      </c>
      <c r="CC162" s="13"/>
      <c r="CD162" s="13" t="s">
        <v>82</v>
      </c>
      <c r="CE162" s="13"/>
      <c r="CF162" s="13"/>
      <c r="CG162" s="13"/>
      <c r="CH162" s="58"/>
      <c r="CI162" s="13" t="s">
        <v>84</v>
      </c>
      <c r="CJ162" s="13"/>
      <c r="CK162" s="13" t="s">
        <v>82</v>
      </c>
      <c r="CL162" s="13"/>
      <c r="CM162" s="13" t="s">
        <v>82</v>
      </c>
      <c r="CN162" s="13"/>
      <c r="CO162" s="13"/>
      <c r="CP162" s="13"/>
      <c r="CQ162" s="13" t="s">
        <v>97</v>
      </c>
      <c r="CR162" s="13" t="s">
        <v>84</v>
      </c>
      <c r="CS162" s="13" t="s">
        <v>97</v>
      </c>
      <c r="CT162" s="13"/>
      <c r="CU162" s="13" t="s">
        <v>246</v>
      </c>
      <c r="CV162" s="13"/>
      <c r="CW162" s="13" t="s">
        <v>82</v>
      </c>
      <c r="CX162" s="13"/>
      <c r="CY162" s="13" t="s">
        <v>246</v>
      </c>
      <c r="CZ162" s="13"/>
      <c r="DA162" s="13" t="s">
        <v>84</v>
      </c>
      <c r="DB162" s="13"/>
      <c r="DC162" s="13" t="s">
        <v>84</v>
      </c>
      <c r="DD162" s="13" t="s">
        <v>82</v>
      </c>
      <c r="DE162" s="58"/>
      <c r="DF162" s="58"/>
      <c r="DG162" s="13">
        <v>2</v>
      </c>
      <c r="DH162" s="13">
        <v>1</v>
      </c>
      <c r="DI162" s="13">
        <v>2</v>
      </c>
      <c r="DJ162" s="13">
        <v>2</v>
      </c>
      <c r="DK162" s="13">
        <v>1</v>
      </c>
      <c r="DL162" s="13">
        <v>2</v>
      </c>
      <c r="DM162" s="13">
        <v>2</v>
      </c>
      <c r="DN162" s="13">
        <v>2</v>
      </c>
      <c r="DO162" s="13">
        <v>3</v>
      </c>
      <c r="DP162" s="13">
        <v>2</v>
      </c>
      <c r="DQ162" s="13">
        <v>2</v>
      </c>
      <c r="DR162" s="13">
        <v>2</v>
      </c>
      <c r="DS162" s="13" t="s">
        <v>97</v>
      </c>
      <c r="DT162" s="13" t="s">
        <v>84</v>
      </c>
      <c r="DU162" s="13"/>
      <c r="DV162" s="13" t="s">
        <v>84</v>
      </c>
      <c r="DW162" s="13" t="s">
        <v>100</v>
      </c>
      <c r="DX162" s="13" t="s">
        <v>81</v>
      </c>
      <c r="DY162" s="13"/>
      <c r="DZ162" s="13" t="s">
        <v>100</v>
      </c>
      <c r="EA162" s="13" t="s">
        <v>2678</v>
      </c>
      <c r="EB162" s="13" t="s">
        <v>82</v>
      </c>
      <c r="EC162" s="13"/>
      <c r="ED162" s="13" t="s">
        <v>246</v>
      </c>
      <c r="EE162" s="13"/>
      <c r="EF162" s="13" t="s">
        <v>82</v>
      </c>
      <c r="EG162" s="13" t="s">
        <v>82</v>
      </c>
      <c r="EH162" s="13" t="s">
        <v>82</v>
      </c>
      <c r="EI162" s="13"/>
      <c r="EJ162" s="13" t="s">
        <v>2679</v>
      </c>
      <c r="EK162" s="13" t="s">
        <v>2680</v>
      </c>
      <c r="EL162" s="13" t="s">
        <v>2681</v>
      </c>
      <c r="EM162" s="9">
        <v>450.04</v>
      </c>
      <c r="EN162" s="9">
        <v>15.43</v>
      </c>
      <c r="EQ162" s="9">
        <v>19.02</v>
      </c>
      <c r="EW162" s="9">
        <v>65.569999999999993</v>
      </c>
      <c r="FF162" s="9">
        <v>34.83</v>
      </c>
      <c r="FJ162" s="9">
        <v>11.8</v>
      </c>
      <c r="FP162" s="9">
        <v>23.3</v>
      </c>
      <c r="FV162" s="9">
        <v>50.85</v>
      </c>
      <c r="GC162" s="9">
        <v>107.22</v>
      </c>
      <c r="GT162" s="9">
        <v>13.52</v>
      </c>
      <c r="GX162" s="9">
        <v>13.33</v>
      </c>
      <c r="HB162" s="9">
        <v>95.17</v>
      </c>
      <c r="HQ162" s="62">
        <f t="shared" ref="HQ162:HQ193" si="14">EM162</f>
        <v>450.04</v>
      </c>
      <c r="HR162" s="62">
        <f t="shared" si="13"/>
        <v>7.5006666666666666</v>
      </c>
    </row>
    <row r="163" spans="1:226" s="9" customFormat="1" ht="12.75" x14ac:dyDescent="0.2">
      <c r="A163" s="11">
        <v>222</v>
      </c>
      <c r="B163" s="9">
        <v>235</v>
      </c>
      <c r="C163" s="9" t="s">
        <v>83</v>
      </c>
      <c r="D163" s="9">
        <v>11</v>
      </c>
      <c r="E163" s="9" t="s">
        <v>79</v>
      </c>
      <c r="F163" s="9">
        <v>1119684704</v>
      </c>
      <c r="G163" s="9" t="s">
        <v>81</v>
      </c>
      <c r="H163" s="9" t="s">
        <v>84</v>
      </c>
      <c r="I163" s="13" t="s">
        <v>107</v>
      </c>
      <c r="J163" s="13"/>
      <c r="K163" s="58"/>
      <c r="L163" s="58"/>
      <c r="M163" s="13" t="s">
        <v>1319</v>
      </c>
      <c r="N163" s="13" t="s">
        <v>618</v>
      </c>
      <c r="O163" s="13"/>
      <c r="P163" s="13" t="s">
        <v>87</v>
      </c>
      <c r="Q163" s="13" t="s">
        <v>1358</v>
      </c>
      <c r="R163" s="58"/>
      <c r="S163" s="13" t="s">
        <v>84</v>
      </c>
      <c r="T163" s="13" t="s">
        <v>84</v>
      </c>
      <c r="U163" s="13" t="s">
        <v>84</v>
      </c>
      <c r="V163" s="13" t="s">
        <v>82</v>
      </c>
      <c r="W163" s="13" t="s">
        <v>84</v>
      </c>
      <c r="X163" s="13" t="s">
        <v>82</v>
      </c>
      <c r="Y163" s="13" t="s">
        <v>82</v>
      </c>
      <c r="Z163" s="13" t="s">
        <v>82</v>
      </c>
      <c r="AA163" s="13"/>
      <c r="AB163" s="13" t="s">
        <v>82</v>
      </c>
      <c r="AC163" s="13"/>
      <c r="AD163" s="13" t="s">
        <v>82</v>
      </c>
      <c r="AE163" s="13"/>
      <c r="AF163" s="13"/>
      <c r="AG163" s="13" t="s">
        <v>84</v>
      </c>
      <c r="AH163" s="13" t="s">
        <v>2682</v>
      </c>
      <c r="AI163" s="13" t="s">
        <v>84</v>
      </c>
      <c r="AJ163" s="13"/>
      <c r="AK163" s="13" t="s">
        <v>2683</v>
      </c>
      <c r="AL163" s="13" t="s">
        <v>126</v>
      </c>
      <c r="AM163" s="13" t="s">
        <v>91</v>
      </c>
      <c r="AN163" s="13"/>
      <c r="AO163" s="13" t="s">
        <v>80</v>
      </c>
      <c r="AP163" s="58"/>
      <c r="AQ163" s="13" t="s">
        <v>80</v>
      </c>
      <c r="AR163" s="13" t="s">
        <v>80</v>
      </c>
      <c r="AS163" s="13" t="s">
        <v>80</v>
      </c>
      <c r="AT163" s="13" t="s">
        <v>80</v>
      </c>
      <c r="AU163" s="13"/>
      <c r="AV163" s="58"/>
      <c r="AW163" s="13" t="s">
        <v>84</v>
      </c>
      <c r="AX163" s="13" t="s">
        <v>82</v>
      </c>
      <c r="AY163" s="13" t="s">
        <v>82</v>
      </c>
      <c r="AZ163" s="13" t="s">
        <v>84</v>
      </c>
      <c r="BA163" s="13"/>
      <c r="BB163" s="13" t="s">
        <v>84</v>
      </c>
      <c r="BC163" s="13" t="s">
        <v>80</v>
      </c>
      <c r="BD163" s="13" t="s">
        <v>100</v>
      </c>
      <c r="BE163" s="13" t="s">
        <v>100</v>
      </c>
      <c r="BF163" s="13" t="s">
        <v>112</v>
      </c>
      <c r="BG163" s="13" t="s">
        <v>82</v>
      </c>
      <c r="BH163" s="13" t="s">
        <v>84</v>
      </c>
      <c r="BI163" s="13"/>
      <c r="BJ163" s="13" t="s">
        <v>84</v>
      </c>
      <c r="BK163" s="13" t="s">
        <v>80</v>
      </c>
      <c r="BL163" s="13">
        <v>3</v>
      </c>
      <c r="BM163" s="13">
        <v>2</v>
      </c>
      <c r="BN163" s="13">
        <v>3</v>
      </c>
      <c r="BO163" s="13">
        <v>1</v>
      </c>
      <c r="BP163" s="13">
        <v>3</v>
      </c>
      <c r="BQ163" s="13">
        <v>2</v>
      </c>
      <c r="BR163" s="58"/>
      <c r="BS163" s="13" t="s">
        <v>97</v>
      </c>
      <c r="BT163" s="13"/>
      <c r="BU163" s="13" t="s">
        <v>246</v>
      </c>
      <c r="BV163" s="13"/>
      <c r="BW163" s="58"/>
      <c r="BX163" s="13" t="s">
        <v>80</v>
      </c>
      <c r="BY163" s="13"/>
      <c r="BZ163" s="13" t="s">
        <v>80</v>
      </c>
      <c r="CA163" s="13"/>
      <c r="CB163" s="13" t="s">
        <v>80</v>
      </c>
      <c r="CC163" s="13"/>
      <c r="CD163" s="13" t="s">
        <v>80</v>
      </c>
      <c r="CE163" s="13"/>
      <c r="CF163" s="13"/>
      <c r="CG163" s="13"/>
      <c r="CH163" s="58"/>
      <c r="CI163" s="13" t="s">
        <v>84</v>
      </c>
      <c r="CJ163" s="13" t="s">
        <v>2684</v>
      </c>
      <c r="CK163" s="13" t="s">
        <v>84</v>
      </c>
      <c r="CL163" s="13" t="s">
        <v>2685</v>
      </c>
      <c r="CM163" s="13" t="s">
        <v>82</v>
      </c>
      <c r="CN163" s="13"/>
      <c r="CO163" s="13"/>
      <c r="CP163" s="13"/>
      <c r="CQ163" s="13" t="s">
        <v>97</v>
      </c>
      <c r="CR163" s="13" t="s">
        <v>84</v>
      </c>
      <c r="CS163" s="13" t="s">
        <v>97</v>
      </c>
      <c r="CT163" s="13" t="s">
        <v>2686</v>
      </c>
      <c r="CU163" s="13" t="s">
        <v>81</v>
      </c>
      <c r="CV163" s="13"/>
      <c r="CW163" s="13" t="s">
        <v>82</v>
      </c>
      <c r="CX163" s="13"/>
      <c r="CY163" s="13" t="s">
        <v>81</v>
      </c>
      <c r="CZ163" s="13"/>
      <c r="DA163" s="13" t="s">
        <v>82</v>
      </c>
      <c r="DB163" s="13"/>
      <c r="DC163" s="13" t="s">
        <v>82</v>
      </c>
      <c r="DD163" s="13" t="s">
        <v>82</v>
      </c>
      <c r="DE163" s="58"/>
      <c r="DF163" s="58"/>
      <c r="DG163" s="13">
        <v>5</v>
      </c>
      <c r="DH163" s="13">
        <v>2</v>
      </c>
      <c r="DI163" s="13">
        <v>5</v>
      </c>
      <c r="DJ163" s="13">
        <v>1</v>
      </c>
      <c r="DK163" s="13">
        <v>3</v>
      </c>
      <c r="DL163" s="13">
        <v>3</v>
      </c>
      <c r="DM163" s="13">
        <v>4</v>
      </c>
      <c r="DN163" s="13">
        <v>3</v>
      </c>
      <c r="DO163" s="13">
        <v>4</v>
      </c>
      <c r="DP163" s="13">
        <v>2</v>
      </c>
      <c r="DQ163" s="13">
        <v>4</v>
      </c>
      <c r="DR163" s="13">
        <v>3</v>
      </c>
      <c r="DS163" s="13" t="s">
        <v>99</v>
      </c>
      <c r="DT163" s="13" t="s">
        <v>82</v>
      </c>
      <c r="DU163" s="13" t="s">
        <v>2687</v>
      </c>
      <c r="DV163" s="13" t="s">
        <v>84</v>
      </c>
      <c r="DW163" s="13" t="s">
        <v>112</v>
      </c>
      <c r="DX163" s="13" t="s">
        <v>81</v>
      </c>
      <c r="DY163" s="13" t="s">
        <v>2688</v>
      </c>
      <c r="DZ163" s="13" t="s">
        <v>113</v>
      </c>
      <c r="EA163" s="13" t="s">
        <v>2689</v>
      </c>
      <c r="EB163" s="13" t="s">
        <v>82</v>
      </c>
      <c r="EC163" s="13"/>
      <c r="ED163" s="13" t="s">
        <v>81</v>
      </c>
      <c r="EE163" s="13"/>
      <c r="EF163" s="13" t="s">
        <v>82</v>
      </c>
      <c r="EG163" s="13" t="s">
        <v>82</v>
      </c>
      <c r="EH163" s="13" t="s">
        <v>82</v>
      </c>
      <c r="EI163" s="13"/>
      <c r="EJ163" s="13"/>
      <c r="EK163" s="13" t="s">
        <v>2690</v>
      </c>
      <c r="EL163" s="13" t="s">
        <v>2691</v>
      </c>
      <c r="EM163" s="9">
        <v>674.85</v>
      </c>
      <c r="EN163" s="9">
        <v>9.11</v>
      </c>
      <c r="EQ163" s="9">
        <v>42.19</v>
      </c>
      <c r="EW163" s="9">
        <v>56.99</v>
      </c>
      <c r="FF163" s="9">
        <v>45.59</v>
      </c>
      <c r="FJ163" s="9">
        <v>16.260000000000002</v>
      </c>
      <c r="FP163" s="9">
        <v>29.66</v>
      </c>
      <c r="FV163" s="9">
        <v>80.650000000000006</v>
      </c>
      <c r="GC163" s="9">
        <v>237.49</v>
      </c>
      <c r="GT163" s="9">
        <v>23.24</v>
      </c>
      <c r="GX163" s="9">
        <v>51.59</v>
      </c>
      <c r="HB163" s="9">
        <v>82.08</v>
      </c>
      <c r="HQ163" s="62">
        <f t="shared" si="14"/>
        <v>674.85</v>
      </c>
      <c r="HR163" s="62">
        <f t="shared" si="13"/>
        <v>11.2475</v>
      </c>
    </row>
    <row r="164" spans="1:226" s="32" customFormat="1" ht="12.75" x14ac:dyDescent="0.2">
      <c r="A164" s="33">
        <v>223</v>
      </c>
      <c r="B164" s="32">
        <v>236</v>
      </c>
      <c r="D164" s="32">
        <v>8</v>
      </c>
      <c r="E164" s="32" t="s">
        <v>79</v>
      </c>
      <c r="F164" s="32">
        <v>1098900226</v>
      </c>
      <c r="G164" s="32" t="s">
        <v>81</v>
      </c>
      <c r="H164" s="32" t="s">
        <v>84</v>
      </c>
      <c r="I164" s="32" t="s">
        <v>137</v>
      </c>
      <c r="K164" s="58"/>
      <c r="L164" s="58"/>
      <c r="M164" s="32" t="s">
        <v>1319</v>
      </c>
      <c r="N164" s="32" t="s">
        <v>86</v>
      </c>
      <c r="P164" s="32" t="s">
        <v>253</v>
      </c>
      <c r="Q164" s="32" t="s">
        <v>1296</v>
      </c>
      <c r="R164" s="58"/>
      <c r="S164" s="32" t="s">
        <v>84</v>
      </c>
      <c r="T164" s="32" t="s">
        <v>84</v>
      </c>
      <c r="U164" s="32" t="s">
        <v>84</v>
      </c>
      <c r="V164" s="32" t="s">
        <v>82</v>
      </c>
      <c r="W164" s="32" t="s">
        <v>82</v>
      </c>
      <c r="X164" s="32" t="s">
        <v>82</v>
      </c>
      <c r="Y164" s="32" t="s">
        <v>84</v>
      </c>
      <c r="Z164" s="32" t="s">
        <v>84</v>
      </c>
      <c r="AB164" s="32" t="s">
        <v>82</v>
      </c>
      <c r="AD164" s="32" t="s">
        <v>82</v>
      </c>
      <c r="AG164" s="32" t="s">
        <v>82</v>
      </c>
      <c r="AI164" s="32" t="s">
        <v>84</v>
      </c>
      <c r="AK164" s="32" t="s">
        <v>2692</v>
      </c>
      <c r="AL164" s="32" t="s">
        <v>140</v>
      </c>
      <c r="AM164" s="32" t="s">
        <v>91</v>
      </c>
      <c r="AO164" s="32" t="s">
        <v>80</v>
      </c>
      <c r="AP164" s="58"/>
      <c r="AQ164" s="32" t="s">
        <v>80</v>
      </c>
      <c r="AR164" s="32" t="s">
        <v>80</v>
      </c>
      <c r="AS164" s="32" t="s">
        <v>80</v>
      </c>
      <c r="AT164" s="32" t="s">
        <v>80</v>
      </c>
      <c r="AV164" s="58"/>
      <c r="AW164" s="32" t="s">
        <v>84</v>
      </c>
      <c r="AX164" s="32" t="s">
        <v>84</v>
      </c>
      <c r="AY164" s="32" t="s">
        <v>84</v>
      </c>
      <c r="AZ164" s="32" t="s">
        <v>84</v>
      </c>
      <c r="BB164" s="32" t="s">
        <v>84</v>
      </c>
      <c r="BC164" s="32" t="s">
        <v>80</v>
      </c>
      <c r="BD164" s="32" t="s">
        <v>113</v>
      </c>
      <c r="BE164" s="32" t="s">
        <v>113</v>
      </c>
      <c r="BF164" s="32" t="s">
        <v>100</v>
      </c>
      <c r="BG164" s="32" t="s">
        <v>84</v>
      </c>
      <c r="BH164" s="32" t="s">
        <v>84</v>
      </c>
      <c r="BJ164" s="32" t="s">
        <v>84</v>
      </c>
      <c r="BK164" s="32" t="s">
        <v>80</v>
      </c>
      <c r="BL164" s="32">
        <v>3</v>
      </c>
      <c r="BM164" s="32">
        <v>3</v>
      </c>
      <c r="BN164" s="32">
        <v>1</v>
      </c>
      <c r="BO164" s="32">
        <v>1</v>
      </c>
      <c r="BP164" s="32">
        <v>3</v>
      </c>
      <c r="BQ164" s="32">
        <v>2</v>
      </c>
      <c r="BR164" s="58"/>
      <c r="BS164" s="32" t="s">
        <v>118</v>
      </c>
      <c r="BW164" s="58"/>
      <c r="BX164" s="32" t="s">
        <v>84</v>
      </c>
      <c r="BZ164" s="32" t="s">
        <v>84</v>
      </c>
      <c r="CB164" s="32" t="s">
        <v>82</v>
      </c>
      <c r="CD164" s="32" t="s">
        <v>84</v>
      </c>
      <c r="CH164" s="58"/>
      <c r="CI164" s="32" t="s">
        <v>84</v>
      </c>
      <c r="CK164" s="32" t="s">
        <v>84</v>
      </c>
      <c r="CM164" s="32" t="s">
        <v>84</v>
      </c>
      <c r="CQ164" s="32" t="s">
        <v>118</v>
      </c>
      <c r="CR164" s="32" t="s">
        <v>84</v>
      </c>
      <c r="CS164" s="32" t="s">
        <v>702</v>
      </c>
      <c r="CT164" s="32" t="s">
        <v>2693</v>
      </c>
      <c r="CW164" s="32" t="s">
        <v>84</v>
      </c>
      <c r="DA164" s="32" t="s">
        <v>84</v>
      </c>
      <c r="DB164" s="32" t="s">
        <v>2694</v>
      </c>
      <c r="DC164" s="32" t="s">
        <v>84</v>
      </c>
      <c r="DD164" s="32" t="s">
        <v>84</v>
      </c>
      <c r="DE164" s="58"/>
      <c r="DF164" s="58"/>
      <c r="DG164" s="32">
        <v>1</v>
      </c>
      <c r="DH164" s="32">
        <v>1</v>
      </c>
      <c r="DI164" s="32">
        <v>2</v>
      </c>
      <c r="DJ164" s="32">
        <v>1</v>
      </c>
      <c r="DK164" s="32">
        <v>3</v>
      </c>
      <c r="DL164" s="32">
        <v>2</v>
      </c>
      <c r="DM164" s="32">
        <v>2</v>
      </c>
      <c r="DN164" s="32">
        <v>1</v>
      </c>
      <c r="DO164" s="32">
        <v>2</v>
      </c>
      <c r="DP164" s="32">
        <v>1</v>
      </c>
      <c r="DQ164" s="32">
        <v>2</v>
      </c>
      <c r="DR164" s="32">
        <v>1</v>
      </c>
      <c r="DV164" s="32" t="s">
        <v>80</v>
      </c>
      <c r="EB164" s="32" t="s">
        <v>80</v>
      </c>
      <c r="EF164" s="32" t="s">
        <v>80</v>
      </c>
      <c r="EG164" s="32" t="s">
        <v>80</v>
      </c>
      <c r="EH164" s="32" t="s">
        <v>80</v>
      </c>
      <c r="EM164" s="32">
        <v>707.58</v>
      </c>
      <c r="EN164" s="32">
        <v>127.4</v>
      </c>
      <c r="EQ164" s="32">
        <v>54.3</v>
      </c>
      <c r="EW164" s="32">
        <v>39.83</v>
      </c>
      <c r="FF164" s="32">
        <v>77.72</v>
      </c>
      <c r="FJ164" s="32">
        <v>23.63</v>
      </c>
      <c r="FP164" s="32">
        <v>21.97</v>
      </c>
      <c r="FV164" s="32">
        <v>111.26</v>
      </c>
      <c r="GC164" s="32">
        <v>251.47</v>
      </c>
      <c r="HQ164" s="63">
        <f t="shared" si="14"/>
        <v>707.58</v>
      </c>
      <c r="HR164" s="63"/>
    </row>
    <row r="165" spans="1:226" s="9" customFormat="1" ht="12.75" x14ac:dyDescent="0.2">
      <c r="A165" s="11">
        <v>224</v>
      </c>
      <c r="B165" s="9">
        <v>237</v>
      </c>
      <c r="C165" s="9" t="s">
        <v>83</v>
      </c>
      <c r="D165" s="9">
        <v>11</v>
      </c>
      <c r="E165" s="9" t="s">
        <v>79</v>
      </c>
      <c r="F165" s="9">
        <v>464323229</v>
      </c>
      <c r="G165" s="9" t="s">
        <v>81</v>
      </c>
      <c r="H165" s="9" t="s">
        <v>84</v>
      </c>
      <c r="I165" s="13" t="s">
        <v>119</v>
      </c>
      <c r="J165" s="13" t="s">
        <v>2695</v>
      </c>
      <c r="K165" s="58"/>
      <c r="L165" s="58"/>
      <c r="M165" s="13" t="s">
        <v>1319</v>
      </c>
      <c r="N165" s="13" t="s">
        <v>86</v>
      </c>
      <c r="O165" s="13" t="s">
        <v>2696</v>
      </c>
      <c r="P165" s="13" t="s">
        <v>87</v>
      </c>
      <c r="Q165" s="13" t="s">
        <v>1296</v>
      </c>
      <c r="R165" s="58"/>
      <c r="S165" s="13" t="s">
        <v>84</v>
      </c>
      <c r="T165" s="13" t="s">
        <v>84</v>
      </c>
      <c r="U165" s="13" t="s">
        <v>84</v>
      </c>
      <c r="V165" s="13" t="s">
        <v>82</v>
      </c>
      <c r="W165" s="13" t="s">
        <v>82</v>
      </c>
      <c r="X165" s="13" t="s">
        <v>82</v>
      </c>
      <c r="Y165" s="13" t="s">
        <v>82</v>
      </c>
      <c r="Z165" s="13" t="s">
        <v>82</v>
      </c>
      <c r="AA165" s="13"/>
      <c r="AB165" s="13" t="s">
        <v>82</v>
      </c>
      <c r="AC165" s="13"/>
      <c r="AD165" s="13" t="s">
        <v>82</v>
      </c>
      <c r="AE165" s="13"/>
      <c r="AF165" s="13"/>
      <c r="AG165" s="13" t="s">
        <v>82</v>
      </c>
      <c r="AH165" s="13"/>
      <c r="AI165" s="13" t="s">
        <v>84</v>
      </c>
      <c r="AJ165" s="13" t="s">
        <v>2697</v>
      </c>
      <c r="AK165" s="13" t="s">
        <v>2698</v>
      </c>
      <c r="AL165" s="13" t="s">
        <v>126</v>
      </c>
      <c r="AM165" s="13" t="s">
        <v>91</v>
      </c>
      <c r="AN165" s="13"/>
      <c r="AO165" s="13" t="s">
        <v>80</v>
      </c>
      <c r="AP165" s="58"/>
      <c r="AQ165" s="13" t="s">
        <v>80</v>
      </c>
      <c r="AR165" s="13" t="s">
        <v>80</v>
      </c>
      <c r="AS165" s="13" t="s">
        <v>80</v>
      </c>
      <c r="AT165" s="13" t="s">
        <v>80</v>
      </c>
      <c r="AU165" s="13"/>
      <c r="AV165" s="58"/>
      <c r="AW165" s="13" t="s">
        <v>84</v>
      </c>
      <c r="AX165" s="13" t="s">
        <v>84</v>
      </c>
      <c r="AY165" s="13" t="s">
        <v>82</v>
      </c>
      <c r="AZ165" s="13" t="s">
        <v>84</v>
      </c>
      <c r="BA165" s="13"/>
      <c r="BB165" s="13" t="s">
        <v>84</v>
      </c>
      <c r="BC165" s="13" t="s">
        <v>80</v>
      </c>
      <c r="BD165" s="13" t="s">
        <v>93</v>
      </c>
      <c r="BE165" s="13" t="s">
        <v>93</v>
      </c>
      <c r="BF165" s="13" t="s">
        <v>93</v>
      </c>
      <c r="BG165" s="13" t="s">
        <v>84</v>
      </c>
      <c r="BH165" s="13" t="s">
        <v>84</v>
      </c>
      <c r="BI165" s="13" t="s">
        <v>2699</v>
      </c>
      <c r="BJ165" s="13" t="s">
        <v>84</v>
      </c>
      <c r="BK165" s="13" t="s">
        <v>80</v>
      </c>
      <c r="BL165" s="13">
        <v>3</v>
      </c>
      <c r="BM165" s="13">
        <v>3</v>
      </c>
      <c r="BN165" s="13">
        <v>1</v>
      </c>
      <c r="BO165" s="13">
        <v>1</v>
      </c>
      <c r="BP165" s="13">
        <v>3</v>
      </c>
      <c r="BQ165" s="13">
        <v>3</v>
      </c>
      <c r="BR165" s="58"/>
      <c r="BS165" s="13" t="s">
        <v>97</v>
      </c>
      <c r="BT165" s="13"/>
      <c r="BU165" s="13" t="s">
        <v>246</v>
      </c>
      <c r="BV165" s="13"/>
      <c r="BW165" s="58"/>
      <c r="BX165" s="13" t="s">
        <v>80</v>
      </c>
      <c r="BY165" s="13"/>
      <c r="BZ165" s="13" t="s">
        <v>80</v>
      </c>
      <c r="CA165" s="13"/>
      <c r="CB165" s="13" t="s">
        <v>80</v>
      </c>
      <c r="CC165" s="13"/>
      <c r="CD165" s="13" t="s">
        <v>80</v>
      </c>
      <c r="CE165" s="13"/>
      <c r="CF165" s="13"/>
      <c r="CG165" s="13"/>
      <c r="CH165" s="58"/>
      <c r="CI165" s="13" t="s">
        <v>84</v>
      </c>
      <c r="CJ165" s="13" t="s">
        <v>2700</v>
      </c>
      <c r="CK165" s="13" t="s">
        <v>82</v>
      </c>
      <c r="CL165" s="13"/>
      <c r="CM165" s="13" t="s">
        <v>82</v>
      </c>
      <c r="CN165" s="13"/>
      <c r="CO165" s="13"/>
      <c r="CP165" s="13"/>
      <c r="CQ165" s="13" t="s">
        <v>97</v>
      </c>
      <c r="CR165" s="13" t="s">
        <v>82</v>
      </c>
      <c r="CS165" s="13"/>
      <c r="CT165" s="13"/>
      <c r="CU165" s="13"/>
      <c r="CV165" s="13"/>
      <c r="CW165" s="13" t="s">
        <v>82</v>
      </c>
      <c r="CX165" s="13"/>
      <c r="CY165" s="13" t="s">
        <v>246</v>
      </c>
      <c r="CZ165" s="13"/>
      <c r="DA165" s="13" t="s">
        <v>82</v>
      </c>
      <c r="DB165" s="13"/>
      <c r="DC165" s="13" t="s">
        <v>82</v>
      </c>
      <c r="DD165" s="13" t="s">
        <v>82</v>
      </c>
      <c r="DE165" s="58"/>
      <c r="DF165" s="58"/>
      <c r="DG165" s="13">
        <v>3</v>
      </c>
      <c r="DH165" s="13">
        <v>3</v>
      </c>
      <c r="DI165" s="13">
        <v>3</v>
      </c>
      <c r="DJ165" s="13">
        <v>3</v>
      </c>
      <c r="DK165" s="13">
        <v>3</v>
      </c>
      <c r="DL165" s="13">
        <v>3</v>
      </c>
      <c r="DM165" s="13">
        <v>3</v>
      </c>
      <c r="DN165" s="13">
        <v>3</v>
      </c>
      <c r="DO165" s="13">
        <v>3</v>
      </c>
      <c r="DP165" s="13">
        <v>3</v>
      </c>
      <c r="DQ165" s="13">
        <v>3</v>
      </c>
      <c r="DR165" s="13">
        <v>3</v>
      </c>
      <c r="DS165" s="13" t="s">
        <v>97</v>
      </c>
      <c r="DT165" s="13" t="s">
        <v>106</v>
      </c>
      <c r="DU165" s="13"/>
      <c r="DV165" s="13" t="s">
        <v>84</v>
      </c>
      <c r="DW165" s="13" t="s">
        <v>100</v>
      </c>
      <c r="DX165" s="13" t="s">
        <v>81</v>
      </c>
      <c r="DY165" s="13" t="s">
        <v>2701</v>
      </c>
      <c r="DZ165" s="13" t="s">
        <v>113</v>
      </c>
      <c r="EA165" s="13" t="s">
        <v>2702</v>
      </c>
      <c r="EB165" s="13" t="s">
        <v>82</v>
      </c>
      <c r="EC165" s="13"/>
      <c r="ED165" s="13" t="s">
        <v>246</v>
      </c>
      <c r="EE165" s="13"/>
      <c r="EF165" s="13" t="s">
        <v>82</v>
      </c>
      <c r="EG165" s="13" t="s">
        <v>82</v>
      </c>
      <c r="EH165" s="13" t="s">
        <v>82</v>
      </c>
      <c r="EI165" s="13"/>
      <c r="EJ165" s="13" t="s">
        <v>2703</v>
      </c>
      <c r="EK165" s="13" t="s">
        <v>2704</v>
      </c>
      <c r="EL165" s="13" t="s">
        <v>2705</v>
      </c>
      <c r="EM165" s="9">
        <v>1658.75</v>
      </c>
      <c r="EN165" s="9">
        <v>12.11</v>
      </c>
      <c r="EQ165" s="9">
        <v>103.19</v>
      </c>
      <c r="EW165" s="9">
        <v>63.02</v>
      </c>
      <c r="FF165" s="9">
        <v>110.62</v>
      </c>
      <c r="FJ165" s="9">
        <v>15.94</v>
      </c>
      <c r="FP165" s="9">
        <v>35.909999999999997</v>
      </c>
      <c r="FV165" s="9">
        <v>185.75</v>
      </c>
      <c r="GC165" s="9">
        <v>171.73</v>
      </c>
      <c r="GT165" s="9">
        <v>19.690000000000001</v>
      </c>
      <c r="GX165" s="9">
        <v>115.39</v>
      </c>
      <c r="HB165" s="9">
        <v>825.4</v>
      </c>
      <c r="HQ165" s="62">
        <f t="shared" si="14"/>
        <v>1658.75</v>
      </c>
      <c r="HR165" s="62">
        <f t="shared" ref="HR165:HR180" si="15">HQ165/60</f>
        <v>27.645833333333332</v>
      </c>
    </row>
    <row r="166" spans="1:226" s="9" customFormat="1" ht="12.75" x14ac:dyDescent="0.2">
      <c r="A166" s="11">
        <v>225</v>
      </c>
      <c r="B166" s="9">
        <v>238</v>
      </c>
      <c r="C166" s="9" t="s">
        <v>83</v>
      </c>
      <c r="D166" s="9">
        <v>11</v>
      </c>
      <c r="E166" s="9" t="s">
        <v>79</v>
      </c>
      <c r="F166" s="9">
        <v>1186649044</v>
      </c>
      <c r="G166" s="9" t="s">
        <v>81</v>
      </c>
      <c r="H166" s="9" t="s">
        <v>84</v>
      </c>
      <c r="I166" s="13" t="s">
        <v>161</v>
      </c>
      <c r="J166" s="13"/>
      <c r="K166" s="58"/>
      <c r="L166" s="58"/>
      <c r="M166" s="13" t="s">
        <v>1294</v>
      </c>
      <c r="N166" s="13" t="s">
        <v>618</v>
      </c>
      <c r="O166" s="13"/>
      <c r="P166" s="13" t="s">
        <v>87</v>
      </c>
      <c r="Q166" s="13" t="s">
        <v>1296</v>
      </c>
      <c r="R166" s="58"/>
      <c r="S166" s="13" t="s">
        <v>84</v>
      </c>
      <c r="T166" s="13" t="s">
        <v>84</v>
      </c>
      <c r="U166" s="13" t="s">
        <v>84</v>
      </c>
      <c r="V166" s="13" t="s">
        <v>84</v>
      </c>
      <c r="W166" s="13" t="s">
        <v>84</v>
      </c>
      <c r="X166" s="13" t="s">
        <v>82</v>
      </c>
      <c r="Y166" s="13" t="s">
        <v>82</v>
      </c>
      <c r="Z166" s="13" t="s">
        <v>82</v>
      </c>
      <c r="AA166" s="13"/>
      <c r="AB166" s="13" t="s">
        <v>82</v>
      </c>
      <c r="AC166" s="13"/>
      <c r="AD166" s="13" t="s">
        <v>82</v>
      </c>
      <c r="AE166" s="13"/>
      <c r="AF166" s="13"/>
      <c r="AG166" s="13" t="s">
        <v>84</v>
      </c>
      <c r="AH166" s="13"/>
      <c r="AI166" s="13" t="s">
        <v>145</v>
      </c>
      <c r="AJ166" s="13"/>
      <c r="AK166" s="13"/>
      <c r="AL166" s="13" t="s">
        <v>140</v>
      </c>
      <c r="AM166" s="13" t="s">
        <v>91</v>
      </c>
      <c r="AN166" s="13"/>
      <c r="AO166" s="13" t="s">
        <v>80</v>
      </c>
      <c r="AP166" s="58"/>
      <c r="AQ166" s="13" t="s">
        <v>80</v>
      </c>
      <c r="AR166" s="13" t="s">
        <v>80</v>
      </c>
      <c r="AS166" s="13" t="s">
        <v>80</v>
      </c>
      <c r="AT166" s="13" t="s">
        <v>80</v>
      </c>
      <c r="AU166" s="13"/>
      <c r="AV166" s="58"/>
      <c r="AW166" s="13" t="s">
        <v>84</v>
      </c>
      <c r="AX166" s="13" t="s">
        <v>84</v>
      </c>
      <c r="AY166" s="13" t="s">
        <v>84</v>
      </c>
      <c r="AZ166" s="13" t="s">
        <v>84</v>
      </c>
      <c r="BA166" s="13"/>
      <c r="BB166" s="13" t="s">
        <v>84</v>
      </c>
      <c r="BC166" s="13" t="s">
        <v>80</v>
      </c>
      <c r="BD166" s="13" t="s">
        <v>100</v>
      </c>
      <c r="BE166" s="13" t="s">
        <v>100</v>
      </c>
      <c r="BF166" s="13" t="s">
        <v>112</v>
      </c>
      <c r="BG166" s="13" t="s">
        <v>84</v>
      </c>
      <c r="BH166" s="13" t="s">
        <v>84</v>
      </c>
      <c r="BI166" s="13" t="s">
        <v>2706</v>
      </c>
      <c r="BJ166" s="13" t="s">
        <v>84</v>
      </c>
      <c r="BK166" s="13" t="s">
        <v>80</v>
      </c>
      <c r="BL166" s="13">
        <v>3</v>
      </c>
      <c r="BM166" s="13">
        <v>2</v>
      </c>
      <c r="BN166" s="13">
        <v>1</v>
      </c>
      <c r="BO166" s="13">
        <v>1</v>
      </c>
      <c r="BP166" s="13">
        <v>3</v>
      </c>
      <c r="BQ166" s="13">
        <v>2</v>
      </c>
      <c r="BR166" s="58"/>
      <c r="BS166" s="13" t="s">
        <v>119</v>
      </c>
      <c r="BT166" s="13" t="s">
        <v>2707</v>
      </c>
      <c r="BU166" s="13" t="s">
        <v>81</v>
      </c>
      <c r="BV166" s="13" t="s">
        <v>2708</v>
      </c>
      <c r="BW166" s="58"/>
      <c r="BX166" s="13" t="s">
        <v>84</v>
      </c>
      <c r="BY166" s="13" t="s">
        <v>2709</v>
      </c>
      <c r="BZ166" s="13" t="s">
        <v>84</v>
      </c>
      <c r="CA166" s="13" t="s">
        <v>2710</v>
      </c>
      <c r="CB166" s="13" t="s">
        <v>82</v>
      </c>
      <c r="CC166" s="13"/>
      <c r="CD166" s="13" t="s">
        <v>82</v>
      </c>
      <c r="CE166" s="13"/>
      <c r="CF166" s="13"/>
      <c r="CG166" s="13"/>
      <c r="CH166" s="58"/>
      <c r="CI166" s="13" t="s">
        <v>84</v>
      </c>
      <c r="CJ166" s="13" t="s">
        <v>2711</v>
      </c>
      <c r="CK166" s="13" t="s">
        <v>82</v>
      </c>
      <c r="CL166" s="13"/>
      <c r="CM166" s="13" t="s">
        <v>82</v>
      </c>
      <c r="CN166" s="13"/>
      <c r="CO166" s="13"/>
      <c r="CP166" s="13"/>
      <c r="CQ166" s="13" t="s">
        <v>99</v>
      </c>
      <c r="CR166" s="13" t="s">
        <v>80</v>
      </c>
      <c r="CS166" s="13" t="s">
        <v>1312</v>
      </c>
      <c r="CT166" s="13" t="s">
        <v>2712</v>
      </c>
      <c r="CU166" s="13" t="s">
        <v>81</v>
      </c>
      <c r="CV166" s="13" t="s">
        <v>2713</v>
      </c>
      <c r="CW166" s="13" t="s">
        <v>84</v>
      </c>
      <c r="CX166" s="13" t="s">
        <v>2714</v>
      </c>
      <c r="CY166" s="13"/>
      <c r="CZ166" s="13"/>
      <c r="DA166" s="13" t="s">
        <v>82</v>
      </c>
      <c r="DB166" s="13"/>
      <c r="DC166" s="13" t="s">
        <v>84</v>
      </c>
      <c r="DD166" s="13" t="s">
        <v>84</v>
      </c>
      <c r="DE166" s="58"/>
      <c r="DF166" s="58"/>
      <c r="DG166" s="13">
        <v>2</v>
      </c>
      <c r="DH166" s="13">
        <v>1</v>
      </c>
      <c r="DI166" s="13">
        <v>1</v>
      </c>
      <c r="DJ166" s="13">
        <v>3</v>
      </c>
      <c r="DK166" s="13">
        <v>3</v>
      </c>
      <c r="DL166" s="13">
        <v>3</v>
      </c>
      <c r="DM166" s="13">
        <v>1</v>
      </c>
      <c r="DN166" s="13">
        <v>3</v>
      </c>
      <c r="DO166" s="13">
        <v>2</v>
      </c>
      <c r="DP166" s="13">
        <v>2</v>
      </c>
      <c r="DQ166" s="13">
        <v>3</v>
      </c>
      <c r="DR166" s="13">
        <v>2</v>
      </c>
      <c r="DS166" s="13" t="s">
        <v>99</v>
      </c>
      <c r="DT166" s="13" t="s">
        <v>84</v>
      </c>
      <c r="DU166" s="13"/>
      <c r="DV166" s="13" t="s">
        <v>84</v>
      </c>
      <c r="DW166" s="13" t="s">
        <v>113</v>
      </c>
      <c r="DX166" s="13" t="s">
        <v>81</v>
      </c>
      <c r="DY166" s="13" t="s">
        <v>2715</v>
      </c>
      <c r="DZ166" s="13" t="s">
        <v>113</v>
      </c>
      <c r="EA166" s="13"/>
      <c r="EB166" s="13" t="s">
        <v>84</v>
      </c>
      <c r="EC166" s="13"/>
      <c r="ED166" s="13"/>
      <c r="EE166" s="13"/>
      <c r="EF166" s="13" t="s">
        <v>82</v>
      </c>
      <c r="EG166" s="13" t="s">
        <v>82</v>
      </c>
      <c r="EH166" s="13" t="s">
        <v>84</v>
      </c>
      <c r="EI166" s="13"/>
      <c r="EJ166" s="13"/>
      <c r="EK166" s="13" t="s">
        <v>2716</v>
      </c>
      <c r="EL166" s="13" t="s">
        <v>2717</v>
      </c>
      <c r="EM166" s="9">
        <v>829.03</v>
      </c>
      <c r="EN166" s="9">
        <v>27.43</v>
      </c>
      <c r="EQ166" s="9">
        <v>37.78</v>
      </c>
      <c r="EW166" s="9">
        <v>56.29</v>
      </c>
      <c r="FF166" s="9">
        <v>27.64</v>
      </c>
      <c r="FJ166" s="9">
        <v>19.170000000000002</v>
      </c>
      <c r="FP166" s="9">
        <v>29.96</v>
      </c>
      <c r="FV166" s="9">
        <v>78.150000000000006</v>
      </c>
      <c r="GC166" s="9">
        <v>364.92</v>
      </c>
      <c r="GT166" s="9">
        <v>11.25</v>
      </c>
      <c r="GX166" s="9">
        <v>68.900000000000006</v>
      </c>
      <c r="HB166" s="9">
        <v>107.54</v>
      </c>
      <c r="HQ166" s="62">
        <f t="shared" si="14"/>
        <v>829.03</v>
      </c>
      <c r="HR166" s="62">
        <f t="shared" si="15"/>
        <v>13.817166666666667</v>
      </c>
    </row>
    <row r="167" spans="1:226" s="9" customFormat="1" ht="12.75" x14ac:dyDescent="0.2">
      <c r="A167" s="11">
        <v>226</v>
      </c>
      <c r="B167" s="9">
        <v>240</v>
      </c>
      <c r="C167" s="9" t="s">
        <v>83</v>
      </c>
      <c r="D167" s="9">
        <v>11</v>
      </c>
      <c r="E167" s="9" t="s">
        <v>79</v>
      </c>
      <c r="F167" s="9">
        <v>1345798621</v>
      </c>
      <c r="G167" s="9" t="s">
        <v>81</v>
      </c>
      <c r="H167" s="9" t="s">
        <v>84</v>
      </c>
      <c r="I167" s="13" t="s">
        <v>119</v>
      </c>
      <c r="J167" s="13" t="s">
        <v>2718</v>
      </c>
      <c r="K167" s="58"/>
      <c r="L167" s="58"/>
      <c r="M167" s="13" t="s">
        <v>1294</v>
      </c>
      <c r="N167" s="13" t="s">
        <v>86</v>
      </c>
      <c r="O167" s="13"/>
      <c r="P167" s="13" t="s">
        <v>253</v>
      </c>
      <c r="Q167" s="13" t="s">
        <v>1296</v>
      </c>
      <c r="R167" s="58"/>
      <c r="S167" s="13" t="s">
        <v>84</v>
      </c>
      <c r="T167" s="13" t="s">
        <v>84</v>
      </c>
      <c r="U167" s="13" t="s">
        <v>84</v>
      </c>
      <c r="V167" s="13" t="s">
        <v>84</v>
      </c>
      <c r="W167" s="13" t="s">
        <v>82</v>
      </c>
      <c r="X167" s="13" t="s">
        <v>82</v>
      </c>
      <c r="Y167" s="13" t="s">
        <v>84</v>
      </c>
      <c r="Z167" s="13" t="s">
        <v>82</v>
      </c>
      <c r="AA167" s="13"/>
      <c r="AB167" s="13" t="s">
        <v>82</v>
      </c>
      <c r="AC167" s="13"/>
      <c r="AD167" s="13" t="s">
        <v>82</v>
      </c>
      <c r="AE167" s="13"/>
      <c r="AF167" s="13"/>
      <c r="AG167" s="13" t="s">
        <v>84</v>
      </c>
      <c r="AH167" s="13" t="s">
        <v>2719</v>
      </c>
      <c r="AI167" s="13" t="s">
        <v>82</v>
      </c>
      <c r="AJ167" s="13" t="s">
        <v>2720</v>
      </c>
      <c r="AK167" s="13"/>
      <c r="AL167" s="13" t="s">
        <v>140</v>
      </c>
      <c r="AM167" s="13" t="s">
        <v>91</v>
      </c>
      <c r="AN167" s="13"/>
      <c r="AO167" s="13" t="s">
        <v>80</v>
      </c>
      <c r="AP167" s="58"/>
      <c r="AQ167" s="13" t="s">
        <v>80</v>
      </c>
      <c r="AR167" s="13" t="s">
        <v>80</v>
      </c>
      <c r="AS167" s="13" t="s">
        <v>80</v>
      </c>
      <c r="AT167" s="13" t="s">
        <v>80</v>
      </c>
      <c r="AU167" s="13"/>
      <c r="AV167" s="58"/>
      <c r="AW167" s="13" t="s">
        <v>84</v>
      </c>
      <c r="AX167" s="13" t="s">
        <v>84</v>
      </c>
      <c r="AY167" s="13" t="s">
        <v>84</v>
      </c>
      <c r="AZ167" s="13" t="s">
        <v>84</v>
      </c>
      <c r="BA167" s="13"/>
      <c r="BB167" s="13" t="s">
        <v>84</v>
      </c>
      <c r="BC167" s="13" t="s">
        <v>80</v>
      </c>
      <c r="BD167" s="13" t="s">
        <v>113</v>
      </c>
      <c r="BE167" s="13" t="s">
        <v>100</v>
      </c>
      <c r="BF167" s="13" t="s">
        <v>93</v>
      </c>
      <c r="BG167" s="13" t="s">
        <v>84</v>
      </c>
      <c r="BH167" s="13" t="s">
        <v>84</v>
      </c>
      <c r="BI167" s="13" t="s">
        <v>2721</v>
      </c>
      <c r="BJ167" s="13" t="s">
        <v>84</v>
      </c>
      <c r="BK167" s="13" t="s">
        <v>80</v>
      </c>
      <c r="BL167" s="13">
        <v>1</v>
      </c>
      <c r="BM167" s="13">
        <v>1</v>
      </c>
      <c r="BN167" s="13">
        <v>2</v>
      </c>
      <c r="BO167" s="13">
        <v>1</v>
      </c>
      <c r="BP167" s="13">
        <v>3</v>
      </c>
      <c r="BQ167" s="13">
        <v>3</v>
      </c>
      <c r="BR167" s="58"/>
      <c r="BS167" s="13" t="s">
        <v>118</v>
      </c>
      <c r="BT167" s="13"/>
      <c r="BU167" s="13"/>
      <c r="BV167" s="13"/>
      <c r="BW167" s="58"/>
      <c r="BX167" s="13" t="s">
        <v>84</v>
      </c>
      <c r="BY167" s="13"/>
      <c r="BZ167" s="13" t="s">
        <v>82</v>
      </c>
      <c r="CA167" s="13"/>
      <c r="CB167" s="13" t="s">
        <v>82</v>
      </c>
      <c r="CC167" s="13"/>
      <c r="CD167" s="13" t="s">
        <v>82</v>
      </c>
      <c r="CE167" s="13"/>
      <c r="CF167" s="13"/>
      <c r="CG167" s="13"/>
      <c r="CH167" s="58"/>
      <c r="CI167" s="13" t="s">
        <v>84</v>
      </c>
      <c r="CJ167" s="13"/>
      <c r="CK167" s="13" t="s">
        <v>82</v>
      </c>
      <c r="CL167" s="13"/>
      <c r="CM167" s="13" t="s">
        <v>82</v>
      </c>
      <c r="CN167" s="13"/>
      <c r="CO167" s="13"/>
      <c r="CP167" s="13"/>
      <c r="CQ167" s="13" t="s">
        <v>118</v>
      </c>
      <c r="CR167" s="13" t="s">
        <v>84</v>
      </c>
      <c r="CS167" s="13" t="s">
        <v>1312</v>
      </c>
      <c r="CT167" s="13"/>
      <c r="CU167" s="13" t="s">
        <v>81</v>
      </c>
      <c r="CV167" s="13"/>
      <c r="CW167" s="13" t="s">
        <v>82</v>
      </c>
      <c r="CX167" s="13"/>
      <c r="CY167" s="13" t="s">
        <v>81</v>
      </c>
      <c r="CZ167" s="13" t="s">
        <v>2722</v>
      </c>
      <c r="DA167" s="13" t="s">
        <v>84</v>
      </c>
      <c r="DB167" s="13" t="s">
        <v>2723</v>
      </c>
      <c r="DC167" s="13" t="s">
        <v>84</v>
      </c>
      <c r="DD167" s="13" t="s">
        <v>84</v>
      </c>
      <c r="DE167" s="58"/>
      <c r="DF167" s="58"/>
      <c r="DG167" s="13">
        <v>2</v>
      </c>
      <c r="DH167" s="13">
        <v>1</v>
      </c>
      <c r="DI167" s="13">
        <v>1</v>
      </c>
      <c r="DJ167" s="13">
        <v>1</v>
      </c>
      <c r="DK167" s="13">
        <v>3</v>
      </c>
      <c r="DL167" s="13">
        <v>2</v>
      </c>
      <c r="DM167" s="13">
        <v>1</v>
      </c>
      <c r="DN167" s="13">
        <v>1</v>
      </c>
      <c r="DO167" s="13">
        <v>3</v>
      </c>
      <c r="DP167" s="13">
        <v>1</v>
      </c>
      <c r="DQ167" s="13">
        <v>4</v>
      </c>
      <c r="DR167" s="13">
        <v>1</v>
      </c>
      <c r="DS167" s="13" t="s">
        <v>99</v>
      </c>
      <c r="DT167" s="13" t="s">
        <v>84</v>
      </c>
      <c r="DU167" s="13"/>
      <c r="DV167" s="13" t="s">
        <v>84</v>
      </c>
      <c r="DW167" s="13" t="s">
        <v>113</v>
      </c>
      <c r="DX167" s="13" t="s">
        <v>81</v>
      </c>
      <c r="DY167" s="13" t="s">
        <v>2724</v>
      </c>
      <c r="DZ167" s="13" t="s">
        <v>113</v>
      </c>
      <c r="EA167" s="13" t="s">
        <v>2725</v>
      </c>
      <c r="EB167" s="13" t="s">
        <v>82</v>
      </c>
      <c r="EC167" s="13"/>
      <c r="ED167" s="13" t="s">
        <v>246</v>
      </c>
      <c r="EE167" s="13" t="s">
        <v>2726</v>
      </c>
      <c r="EF167" s="13" t="s">
        <v>84</v>
      </c>
      <c r="EG167" s="13" t="s">
        <v>84</v>
      </c>
      <c r="EH167" s="13" t="s">
        <v>82</v>
      </c>
      <c r="EI167" s="13"/>
      <c r="EJ167" s="13" t="s">
        <v>2727</v>
      </c>
      <c r="EK167" s="13" t="s">
        <v>2728</v>
      </c>
      <c r="EL167" s="13" t="s">
        <v>2728</v>
      </c>
      <c r="EM167" s="9">
        <v>5951.99</v>
      </c>
      <c r="EN167" s="9">
        <v>3.52</v>
      </c>
      <c r="EQ167" s="9">
        <v>60.4</v>
      </c>
      <c r="EW167" s="9">
        <v>59.91</v>
      </c>
      <c r="FF167" s="9">
        <v>26.17</v>
      </c>
      <c r="FJ167" s="9">
        <v>10.32</v>
      </c>
      <c r="FP167" s="9">
        <v>22.45</v>
      </c>
      <c r="FV167" s="9">
        <v>60.79</v>
      </c>
      <c r="GC167" s="9">
        <v>5568.38</v>
      </c>
      <c r="GT167" s="9">
        <v>11.3</v>
      </c>
      <c r="GX167" s="9">
        <v>30.1</v>
      </c>
      <c r="HB167" s="9">
        <v>98.65</v>
      </c>
      <c r="HQ167" s="62">
        <f t="shared" si="14"/>
        <v>5951.99</v>
      </c>
      <c r="HR167" s="62">
        <f t="shared" si="15"/>
        <v>99.199833333333331</v>
      </c>
    </row>
    <row r="168" spans="1:226" s="9" customFormat="1" ht="12.75" x14ac:dyDescent="0.2">
      <c r="A168" s="11">
        <v>227</v>
      </c>
      <c r="B168" s="9">
        <v>241</v>
      </c>
      <c r="C168" s="9" t="s">
        <v>83</v>
      </c>
      <c r="D168" s="9">
        <v>11</v>
      </c>
      <c r="E168" s="9" t="s">
        <v>79</v>
      </c>
      <c r="F168" s="9">
        <v>1550016707</v>
      </c>
      <c r="G168" s="9" t="s">
        <v>81</v>
      </c>
      <c r="H168" s="9" t="s">
        <v>84</v>
      </c>
      <c r="I168" s="13" t="s">
        <v>377</v>
      </c>
      <c r="J168" s="13"/>
      <c r="K168" s="58"/>
      <c r="L168" s="58"/>
      <c r="M168" s="13" t="s">
        <v>1319</v>
      </c>
      <c r="N168" s="13" t="s">
        <v>618</v>
      </c>
      <c r="O168" s="13"/>
      <c r="P168" s="13" t="s">
        <v>87</v>
      </c>
      <c r="Q168" s="13" t="s">
        <v>1296</v>
      </c>
      <c r="R168" s="58"/>
      <c r="S168" s="13" t="s">
        <v>84</v>
      </c>
      <c r="T168" s="13" t="s">
        <v>84</v>
      </c>
      <c r="U168" s="13" t="s">
        <v>84</v>
      </c>
      <c r="V168" s="13" t="s">
        <v>84</v>
      </c>
      <c r="W168" s="13" t="s">
        <v>82</v>
      </c>
      <c r="X168" s="13" t="s">
        <v>82</v>
      </c>
      <c r="Y168" s="13" t="s">
        <v>84</v>
      </c>
      <c r="Z168" s="13" t="s">
        <v>84</v>
      </c>
      <c r="AA168" s="13"/>
      <c r="AB168" s="13" t="s">
        <v>82</v>
      </c>
      <c r="AC168" s="13"/>
      <c r="AD168" s="13" t="s">
        <v>82</v>
      </c>
      <c r="AE168" s="13"/>
      <c r="AF168" s="13"/>
      <c r="AG168" s="13" t="s">
        <v>82</v>
      </c>
      <c r="AH168" s="13"/>
      <c r="AI168" s="13" t="s">
        <v>84</v>
      </c>
      <c r="AJ168" s="13"/>
      <c r="AK168" s="13" t="s">
        <v>2729</v>
      </c>
      <c r="AL168" s="13" t="s">
        <v>126</v>
      </c>
      <c r="AM168" s="13" t="s">
        <v>91</v>
      </c>
      <c r="AN168" s="13"/>
      <c r="AO168" s="13" t="s">
        <v>80</v>
      </c>
      <c r="AP168" s="58"/>
      <c r="AQ168" s="13" t="s">
        <v>80</v>
      </c>
      <c r="AR168" s="13" t="s">
        <v>80</v>
      </c>
      <c r="AS168" s="13" t="s">
        <v>80</v>
      </c>
      <c r="AT168" s="13" t="s">
        <v>80</v>
      </c>
      <c r="AU168" s="13"/>
      <c r="AV168" s="58"/>
      <c r="AW168" s="13" t="s">
        <v>84</v>
      </c>
      <c r="AX168" s="13" t="s">
        <v>84</v>
      </c>
      <c r="AY168" s="13" t="s">
        <v>84</v>
      </c>
      <c r="AZ168" s="13" t="s">
        <v>84</v>
      </c>
      <c r="BA168" s="13"/>
      <c r="BB168" s="13" t="s">
        <v>84</v>
      </c>
      <c r="BC168" s="13" t="s">
        <v>80</v>
      </c>
      <c r="BD168" s="13" t="s">
        <v>93</v>
      </c>
      <c r="BE168" s="13" t="s">
        <v>93</v>
      </c>
      <c r="BF168" s="13" t="s">
        <v>100</v>
      </c>
      <c r="BG168" s="13" t="s">
        <v>84</v>
      </c>
      <c r="BH168" s="13" t="s">
        <v>84</v>
      </c>
      <c r="BI168" s="13" t="s">
        <v>2730</v>
      </c>
      <c r="BJ168" s="13" t="s">
        <v>84</v>
      </c>
      <c r="BK168" s="13" t="s">
        <v>80</v>
      </c>
      <c r="BL168" s="13">
        <v>5</v>
      </c>
      <c r="BM168" s="13">
        <v>5</v>
      </c>
      <c r="BN168" s="13">
        <v>3</v>
      </c>
      <c r="BO168" s="13">
        <v>3</v>
      </c>
      <c r="BP168" s="13">
        <v>5</v>
      </c>
      <c r="BQ168" s="13">
        <v>5</v>
      </c>
      <c r="BR168" s="58"/>
      <c r="BS168" s="13" t="s">
        <v>118</v>
      </c>
      <c r="BT168" s="13"/>
      <c r="BU168" s="13"/>
      <c r="BV168" s="13"/>
      <c r="BW168" s="58"/>
      <c r="BX168" s="13" t="s">
        <v>84</v>
      </c>
      <c r="BY168" s="13"/>
      <c r="BZ168" s="13" t="s">
        <v>84</v>
      </c>
      <c r="CA168" s="13"/>
      <c r="CB168" s="13" t="s">
        <v>82</v>
      </c>
      <c r="CC168" s="13"/>
      <c r="CD168" s="13" t="s">
        <v>82</v>
      </c>
      <c r="CE168" s="13"/>
      <c r="CF168" s="13"/>
      <c r="CG168" s="13"/>
      <c r="CH168" s="58"/>
      <c r="CI168" s="13" t="s">
        <v>84</v>
      </c>
      <c r="CJ168" s="13"/>
      <c r="CK168" s="13" t="s">
        <v>84</v>
      </c>
      <c r="CL168" s="13"/>
      <c r="CM168" s="13" t="s">
        <v>84</v>
      </c>
      <c r="CN168" s="13"/>
      <c r="CO168" s="13"/>
      <c r="CP168" s="13"/>
      <c r="CQ168" s="13" t="s">
        <v>99</v>
      </c>
      <c r="CR168" s="13" t="s">
        <v>80</v>
      </c>
      <c r="CS168" s="13"/>
      <c r="CT168" s="13" t="s">
        <v>2731</v>
      </c>
      <c r="CU168" s="13"/>
      <c r="CV168" s="13"/>
      <c r="CW168" s="13" t="s">
        <v>82</v>
      </c>
      <c r="CX168" s="13"/>
      <c r="CY168" s="13" t="s">
        <v>246</v>
      </c>
      <c r="CZ168" s="13" t="s">
        <v>2732</v>
      </c>
      <c r="DA168" s="13" t="s">
        <v>82</v>
      </c>
      <c r="DB168" s="13"/>
      <c r="DC168" s="13" t="s">
        <v>84</v>
      </c>
      <c r="DD168" s="13" t="s">
        <v>84</v>
      </c>
      <c r="DE168" s="58"/>
      <c r="DF168" s="58"/>
      <c r="DG168" s="13">
        <v>3</v>
      </c>
      <c r="DH168" s="13">
        <v>3</v>
      </c>
      <c r="DI168" s="13">
        <v>2</v>
      </c>
      <c r="DJ168" s="13">
        <v>2</v>
      </c>
      <c r="DK168" s="13">
        <v>3</v>
      </c>
      <c r="DL168" s="13">
        <v>2</v>
      </c>
      <c r="DM168" s="13">
        <v>3</v>
      </c>
      <c r="DN168" s="13">
        <v>3</v>
      </c>
      <c r="DO168" s="13">
        <v>3</v>
      </c>
      <c r="DP168" s="13">
        <v>2</v>
      </c>
      <c r="DQ168" s="13">
        <v>3</v>
      </c>
      <c r="DR168" s="13">
        <v>2</v>
      </c>
      <c r="DS168" s="13" t="s">
        <v>118</v>
      </c>
      <c r="DT168" s="13" t="s">
        <v>106</v>
      </c>
      <c r="DU168" s="13"/>
      <c r="DV168" s="13" t="s">
        <v>84</v>
      </c>
      <c r="DW168" s="13" t="s">
        <v>100</v>
      </c>
      <c r="DX168" s="13" t="s">
        <v>81</v>
      </c>
      <c r="DY168" s="13" t="s">
        <v>2733</v>
      </c>
      <c r="DZ168" s="13" t="s">
        <v>113</v>
      </c>
      <c r="EA168" s="13" t="s">
        <v>2734</v>
      </c>
      <c r="EB168" s="13" t="s">
        <v>84</v>
      </c>
      <c r="EC168" s="13"/>
      <c r="ED168" s="13"/>
      <c r="EE168" s="13"/>
      <c r="EF168" s="13" t="s">
        <v>82</v>
      </c>
      <c r="EG168" s="13" t="s">
        <v>82</v>
      </c>
      <c r="EH168" s="13" t="s">
        <v>82</v>
      </c>
      <c r="EI168" s="13"/>
      <c r="EJ168" s="13" t="s">
        <v>2735</v>
      </c>
      <c r="EK168" s="13" t="s">
        <v>2736</v>
      </c>
      <c r="EL168" s="13" t="s">
        <v>2737</v>
      </c>
      <c r="EM168" s="9">
        <v>1234.42</v>
      </c>
      <c r="EN168" s="9">
        <v>21.82</v>
      </c>
      <c r="EQ168" s="9">
        <v>40.049999999999997</v>
      </c>
      <c r="EW168" s="9">
        <v>70.59</v>
      </c>
      <c r="FF168" s="9">
        <v>28.96</v>
      </c>
      <c r="FJ168" s="9">
        <v>10.79</v>
      </c>
      <c r="FP168" s="9">
        <v>28.16</v>
      </c>
      <c r="FV168" s="9">
        <v>119.75</v>
      </c>
      <c r="GC168" s="9">
        <v>156.91999999999999</v>
      </c>
      <c r="GT168" s="9">
        <v>18.23</v>
      </c>
      <c r="GX168" s="9">
        <v>37.71</v>
      </c>
      <c r="HB168" s="9">
        <v>701.44</v>
      </c>
      <c r="HQ168" s="62">
        <f t="shared" si="14"/>
        <v>1234.42</v>
      </c>
      <c r="HR168" s="62">
        <f t="shared" si="15"/>
        <v>20.573666666666668</v>
      </c>
    </row>
    <row r="169" spans="1:226" s="9" customFormat="1" ht="12.75" x14ac:dyDescent="0.2">
      <c r="A169" s="11">
        <v>228</v>
      </c>
      <c r="B169" s="9">
        <v>245</v>
      </c>
      <c r="C169" s="9" t="s">
        <v>83</v>
      </c>
      <c r="D169" s="9">
        <v>11</v>
      </c>
      <c r="E169" s="9" t="s">
        <v>79</v>
      </c>
      <c r="F169" s="9">
        <v>765804750</v>
      </c>
      <c r="G169" s="9" t="s">
        <v>81</v>
      </c>
      <c r="H169" s="9" t="s">
        <v>84</v>
      </c>
      <c r="I169" s="13" t="s">
        <v>324</v>
      </c>
      <c r="J169" s="13"/>
      <c r="K169" s="58"/>
      <c r="L169" s="58"/>
      <c r="M169" s="13" t="s">
        <v>1319</v>
      </c>
      <c r="N169" s="13" t="s">
        <v>618</v>
      </c>
      <c r="O169" s="13"/>
      <c r="P169" s="13" t="s">
        <v>253</v>
      </c>
      <c r="Q169" s="13" t="s">
        <v>1358</v>
      </c>
      <c r="R169" s="58"/>
      <c r="S169" s="13" t="s">
        <v>84</v>
      </c>
      <c r="T169" s="13" t="s">
        <v>84</v>
      </c>
      <c r="U169" s="13" t="s">
        <v>84</v>
      </c>
      <c r="V169" s="13" t="s">
        <v>84</v>
      </c>
      <c r="W169" s="13" t="s">
        <v>84</v>
      </c>
      <c r="X169" s="13" t="s">
        <v>82</v>
      </c>
      <c r="Y169" s="13" t="s">
        <v>82</v>
      </c>
      <c r="Z169" s="13" t="s">
        <v>82</v>
      </c>
      <c r="AA169" s="13"/>
      <c r="AB169" s="13" t="s">
        <v>84</v>
      </c>
      <c r="AC169" s="13"/>
      <c r="AD169" s="13" t="s">
        <v>82</v>
      </c>
      <c r="AE169" s="13"/>
      <c r="AF169" s="13"/>
      <c r="AG169" s="13" t="s">
        <v>82</v>
      </c>
      <c r="AH169" s="13"/>
      <c r="AI169" s="13" t="s">
        <v>84</v>
      </c>
      <c r="AJ169" s="13"/>
      <c r="AK169" s="13"/>
      <c r="AL169" s="13" t="s">
        <v>126</v>
      </c>
      <c r="AM169" s="13" t="s">
        <v>111</v>
      </c>
      <c r="AN169" s="13"/>
      <c r="AO169" s="13" t="s">
        <v>80</v>
      </c>
      <c r="AP169" s="58"/>
      <c r="AQ169" s="13" t="s">
        <v>84</v>
      </c>
      <c r="AR169" s="13" t="s">
        <v>84</v>
      </c>
      <c r="AS169" s="13" t="s">
        <v>82</v>
      </c>
      <c r="AT169" s="13" t="s">
        <v>84</v>
      </c>
      <c r="AU169" s="13"/>
      <c r="AV169" s="58"/>
      <c r="AW169" s="13" t="s">
        <v>80</v>
      </c>
      <c r="AX169" s="13" t="s">
        <v>80</v>
      </c>
      <c r="AY169" s="13" t="s">
        <v>80</v>
      </c>
      <c r="AZ169" s="13" t="s">
        <v>80</v>
      </c>
      <c r="BA169" s="13"/>
      <c r="BB169" s="13" t="s">
        <v>84</v>
      </c>
      <c r="BC169" s="13" t="s">
        <v>80</v>
      </c>
      <c r="BD169" s="13" t="s">
        <v>100</v>
      </c>
      <c r="BE169" s="13" t="s">
        <v>93</v>
      </c>
      <c r="BF169" s="13" t="s">
        <v>112</v>
      </c>
      <c r="BG169" s="13" t="s">
        <v>84</v>
      </c>
      <c r="BH169" s="13" t="s">
        <v>84</v>
      </c>
      <c r="BI169" s="13"/>
      <c r="BJ169" s="13" t="s">
        <v>84</v>
      </c>
      <c r="BK169" s="13" t="s">
        <v>80</v>
      </c>
      <c r="BL169" s="13">
        <v>3</v>
      </c>
      <c r="BM169" s="13">
        <v>3</v>
      </c>
      <c r="BN169" s="13">
        <v>2</v>
      </c>
      <c r="BO169" s="13">
        <v>2</v>
      </c>
      <c r="BP169" s="13">
        <v>3</v>
      </c>
      <c r="BQ169" s="13">
        <v>3</v>
      </c>
      <c r="BR169" s="58"/>
      <c r="BS169" s="13" t="s">
        <v>118</v>
      </c>
      <c r="BT169" s="13"/>
      <c r="BU169" s="13"/>
      <c r="BV169" s="13"/>
      <c r="BW169" s="58"/>
      <c r="BX169" s="13" t="s">
        <v>84</v>
      </c>
      <c r="BY169" s="13"/>
      <c r="BZ169" s="13" t="s">
        <v>84</v>
      </c>
      <c r="CA169" s="13"/>
      <c r="CB169" s="13" t="s">
        <v>82</v>
      </c>
      <c r="CC169" s="13"/>
      <c r="CD169" s="13" t="s">
        <v>82</v>
      </c>
      <c r="CE169" s="13"/>
      <c r="CF169" s="13"/>
      <c r="CG169" s="13"/>
      <c r="CH169" s="58"/>
      <c r="CI169" s="13" t="s">
        <v>84</v>
      </c>
      <c r="CJ169" s="13"/>
      <c r="CK169" s="13" t="s">
        <v>84</v>
      </c>
      <c r="CL169" s="13"/>
      <c r="CM169" s="13" t="s">
        <v>84</v>
      </c>
      <c r="CN169" s="13"/>
      <c r="CO169" s="13"/>
      <c r="CP169" s="13"/>
      <c r="CQ169" s="13" t="s">
        <v>118</v>
      </c>
      <c r="CR169" s="13" t="s">
        <v>84</v>
      </c>
      <c r="CS169" s="13" t="s">
        <v>97</v>
      </c>
      <c r="CT169" s="13"/>
      <c r="CU169" s="13" t="s">
        <v>246</v>
      </c>
      <c r="CV169" s="13"/>
      <c r="CW169" s="13" t="s">
        <v>84</v>
      </c>
      <c r="CX169" s="13"/>
      <c r="CY169" s="13"/>
      <c r="CZ169" s="13"/>
      <c r="DA169" s="13" t="s">
        <v>84</v>
      </c>
      <c r="DB169" s="13"/>
      <c r="DC169" s="13" t="s">
        <v>84</v>
      </c>
      <c r="DD169" s="13" t="s">
        <v>84</v>
      </c>
      <c r="DE169" s="58"/>
      <c r="DF169" s="58"/>
      <c r="DG169" s="13">
        <v>1</v>
      </c>
      <c r="DH169" s="13">
        <v>3</v>
      </c>
      <c r="DI169" s="13">
        <v>3</v>
      </c>
      <c r="DJ169" s="13">
        <v>4</v>
      </c>
      <c r="DK169" s="13">
        <v>4</v>
      </c>
      <c r="DL169" s="13">
        <v>5</v>
      </c>
      <c r="DM169" s="13">
        <v>1</v>
      </c>
      <c r="DN169" s="13">
        <v>3</v>
      </c>
      <c r="DO169" s="13">
        <v>1</v>
      </c>
      <c r="DP169" s="13">
        <v>3</v>
      </c>
      <c r="DQ169" s="13">
        <v>1</v>
      </c>
      <c r="DR169" s="13">
        <v>3</v>
      </c>
      <c r="DS169" s="13" t="s">
        <v>118</v>
      </c>
      <c r="DT169" s="13" t="s">
        <v>84</v>
      </c>
      <c r="DU169" s="13"/>
      <c r="DV169" s="13" t="s">
        <v>84</v>
      </c>
      <c r="DW169" s="13" t="s">
        <v>113</v>
      </c>
      <c r="DX169" s="13" t="s">
        <v>81</v>
      </c>
      <c r="DY169" s="13"/>
      <c r="DZ169" s="13" t="s">
        <v>93</v>
      </c>
      <c r="EA169" s="13"/>
      <c r="EB169" s="13" t="s">
        <v>84</v>
      </c>
      <c r="EC169" s="13"/>
      <c r="ED169" s="13"/>
      <c r="EE169" s="13"/>
      <c r="EF169" s="13" t="s">
        <v>82</v>
      </c>
      <c r="EG169" s="13" t="s">
        <v>84</v>
      </c>
      <c r="EH169" s="13" t="s">
        <v>84</v>
      </c>
      <c r="EI169" s="13"/>
      <c r="EJ169" s="13"/>
      <c r="EK169" s="13"/>
      <c r="EL169" s="13"/>
      <c r="EM169" s="9">
        <v>590.66999999999996</v>
      </c>
      <c r="EN169" s="9">
        <v>19.73</v>
      </c>
      <c r="EQ169" s="9">
        <v>74.34</v>
      </c>
      <c r="EW169" s="9">
        <v>38.78</v>
      </c>
      <c r="FF169" s="9">
        <v>24.03</v>
      </c>
      <c r="FJ169" s="9">
        <v>18.829999999999998</v>
      </c>
      <c r="FP169" s="9">
        <v>55.02</v>
      </c>
      <c r="FV169" s="9">
        <v>75.709999999999994</v>
      </c>
      <c r="GC169" s="9">
        <v>189.05</v>
      </c>
      <c r="GT169" s="9">
        <v>14.78</v>
      </c>
      <c r="GX169" s="9">
        <v>24.78</v>
      </c>
      <c r="HB169" s="9">
        <v>55.62</v>
      </c>
      <c r="HQ169" s="62">
        <f t="shared" si="14"/>
        <v>590.66999999999996</v>
      </c>
      <c r="HR169" s="62">
        <f t="shared" si="15"/>
        <v>9.8445</v>
      </c>
    </row>
    <row r="170" spans="1:226" s="9" customFormat="1" ht="12.75" x14ac:dyDescent="0.2">
      <c r="A170" s="11">
        <v>229</v>
      </c>
      <c r="B170" s="9">
        <v>246</v>
      </c>
      <c r="C170" s="9" t="s">
        <v>83</v>
      </c>
      <c r="D170" s="9">
        <v>11</v>
      </c>
      <c r="E170" s="9" t="s">
        <v>79</v>
      </c>
      <c r="F170" s="9">
        <v>766515285</v>
      </c>
      <c r="G170" s="9" t="s">
        <v>81</v>
      </c>
      <c r="H170" s="9" t="s">
        <v>84</v>
      </c>
      <c r="I170" s="13" t="s">
        <v>107</v>
      </c>
      <c r="J170" s="13"/>
      <c r="K170" s="58"/>
      <c r="L170" s="58"/>
      <c r="M170" s="13" t="s">
        <v>1319</v>
      </c>
      <c r="N170" s="13" t="s">
        <v>108</v>
      </c>
      <c r="O170" s="13"/>
      <c r="P170" s="13" t="s">
        <v>87</v>
      </c>
      <c r="Q170" s="13" t="s">
        <v>1766</v>
      </c>
      <c r="R170" s="58"/>
      <c r="S170" s="13" t="s">
        <v>84</v>
      </c>
      <c r="T170" s="13" t="s">
        <v>84</v>
      </c>
      <c r="U170" s="13" t="s">
        <v>82</v>
      </c>
      <c r="V170" s="13" t="s">
        <v>82</v>
      </c>
      <c r="W170" s="13" t="s">
        <v>82</v>
      </c>
      <c r="X170" s="13" t="s">
        <v>82</v>
      </c>
      <c r="Y170" s="13" t="s">
        <v>84</v>
      </c>
      <c r="Z170" s="13" t="s">
        <v>82</v>
      </c>
      <c r="AA170" s="13"/>
      <c r="AB170" s="13" t="s">
        <v>82</v>
      </c>
      <c r="AC170" s="13"/>
      <c r="AD170" s="13" t="s">
        <v>82</v>
      </c>
      <c r="AE170" s="13"/>
      <c r="AF170" s="13"/>
      <c r="AG170" s="13" t="s">
        <v>82</v>
      </c>
      <c r="AH170" s="13"/>
      <c r="AI170" s="13" t="s">
        <v>84</v>
      </c>
      <c r="AJ170" s="13"/>
      <c r="AK170" s="13" t="s">
        <v>2738</v>
      </c>
      <c r="AL170" s="13" t="s">
        <v>126</v>
      </c>
      <c r="AM170" s="13" t="s">
        <v>91</v>
      </c>
      <c r="AN170" s="13"/>
      <c r="AO170" s="13" t="s">
        <v>80</v>
      </c>
      <c r="AP170" s="58"/>
      <c r="AQ170" s="13" t="s">
        <v>80</v>
      </c>
      <c r="AR170" s="13" t="s">
        <v>80</v>
      </c>
      <c r="AS170" s="13" t="s">
        <v>80</v>
      </c>
      <c r="AT170" s="13" t="s">
        <v>80</v>
      </c>
      <c r="AU170" s="13"/>
      <c r="AV170" s="58"/>
      <c r="AW170" s="13" t="s">
        <v>84</v>
      </c>
      <c r="AX170" s="13" t="s">
        <v>82</v>
      </c>
      <c r="AY170" s="13" t="s">
        <v>82</v>
      </c>
      <c r="AZ170" s="13" t="s">
        <v>84</v>
      </c>
      <c r="BA170" s="13"/>
      <c r="BB170" s="13" t="s">
        <v>84</v>
      </c>
      <c r="BC170" s="13" t="s">
        <v>80</v>
      </c>
      <c r="BD170" s="13" t="s">
        <v>113</v>
      </c>
      <c r="BE170" s="13" t="s">
        <v>112</v>
      </c>
      <c r="BF170" s="13" t="s">
        <v>93</v>
      </c>
      <c r="BG170" s="13" t="s">
        <v>84</v>
      </c>
      <c r="BH170" s="13" t="s">
        <v>84</v>
      </c>
      <c r="BI170" s="13"/>
      <c r="BJ170" s="13" t="s">
        <v>84</v>
      </c>
      <c r="BK170" s="13" t="s">
        <v>80</v>
      </c>
      <c r="BL170" s="13">
        <v>3</v>
      </c>
      <c r="BM170" s="13">
        <v>1</v>
      </c>
      <c r="BN170" s="13">
        <v>1</v>
      </c>
      <c r="BO170" s="13">
        <v>1</v>
      </c>
      <c r="BP170" s="13">
        <v>5</v>
      </c>
      <c r="BQ170" s="13">
        <v>1</v>
      </c>
      <c r="BR170" s="58"/>
      <c r="BS170" s="13" t="s">
        <v>97</v>
      </c>
      <c r="BT170" s="13"/>
      <c r="BU170" s="13" t="s">
        <v>246</v>
      </c>
      <c r="BV170" s="13"/>
      <c r="BW170" s="58"/>
      <c r="BX170" s="13" t="s">
        <v>80</v>
      </c>
      <c r="BY170" s="13"/>
      <c r="BZ170" s="13" t="s">
        <v>80</v>
      </c>
      <c r="CA170" s="13"/>
      <c r="CB170" s="13" t="s">
        <v>80</v>
      </c>
      <c r="CC170" s="13"/>
      <c r="CD170" s="13" t="s">
        <v>80</v>
      </c>
      <c r="CE170" s="13"/>
      <c r="CF170" s="13"/>
      <c r="CG170" s="13"/>
      <c r="CH170" s="58"/>
      <c r="CI170" s="13" t="s">
        <v>84</v>
      </c>
      <c r="CJ170" s="13" t="s">
        <v>2739</v>
      </c>
      <c r="CK170" s="13" t="s">
        <v>84</v>
      </c>
      <c r="CL170" s="13" t="s">
        <v>2740</v>
      </c>
      <c r="CM170" s="13" t="s">
        <v>82</v>
      </c>
      <c r="CN170" s="13"/>
      <c r="CO170" s="13"/>
      <c r="CP170" s="13"/>
      <c r="CQ170" s="13" t="s">
        <v>118</v>
      </c>
      <c r="CR170" s="13" t="s">
        <v>82</v>
      </c>
      <c r="CS170" s="13" t="s">
        <v>97</v>
      </c>
      <c r="CT170" s="13"/>
      <c r="CU170" s="13" t="s">
        <v>246</v>
      </c>
      <c r="CV170" s="13"/>
      <c r="CW170" s="13" t="s">
        <v>82</v>
      </c>
      <c r="CX170" s="13"/>
      <c r="CY170" s="13" t="s">
        <v>81</v>
      </c>
      <c r="CZ170" s="13"/>
      <c r="DA170" s="13" t="s">
        <v>82</v>
      </c>
      <c r="DB170" s="13"/>
      <c r="DC170" s="13" t="s">
        <v>84</v>
      </c>
      <c r="DD170" s="13" t="s">
        <v>82</v>
      </c>
      <c r="DE170" s="58"/>
      <c r="DF170" s="58"/>
      <c r="DG170" s="13">
        <v>5</v>
      </c>
      <c r="DH170" s="13">
        <v>1</v>
      </c>
      <c r="DI170" s="13">
        <v>5</v>
      </c>
      <c r="DJ170" s="13">
        <v>1</v>
      </c>
      <c r="DK170" s="13">
        <v>5</v>
      </c>
      <c r="DL170" s="13">
        <v>1</v>
      </c>
      <c r="DM170" s="13">
        <v>1</v>
      </c>
      <c r="DN170" s="13">
        <v>1</v>
      </c>
      <c r="DO170" s="13">
        <v>5</v>
      </c>
      <c r="DP170" s="13">
        <v>1</v>
      </c>
      <c r="DQ170" s="13">
        <v>5</v>
      </c>
      <c r="DR170" s="13">
        <v>1</v>
      </c>
      <c r="DS170" s="13" t="s">
        <v>97</v>
      </c>
      <c r="DT170" s="13" t="s">
        <v>106</v>
      </c>
      <c r="DU170" s="13"/>
      <c r="DV170" s="13" t="s">
        <v>84</v>
      </c>
      <c r="DW170" s="13" t="s">
        <v>100</v>
      </c>
      <c r="DX170" s="13" t="s">
        <v>81</v>
      </c>
      <c r="DY170" s="13" t="s">
        <v>2741</v>
      </c>
      <c r="DZ170" s="13" t="s">
        <v>113</v>
      </c>
      <c r="EA170" s="13" t="s">
        <v>2742</v>
      </c>
      <c r="EB170" s="13" t="s">
        <v>84</v>
      </c>
      <c r="EC170" s="13"/>
      <c r="ED170" s="13"/>
      <c r="EE170" s="13"/>
      <c r="EF170" s="13" t="s">
        <v>82</v>
      </c>
      <c r="EG170" s="13" t="s">
        <v>82</v>
      </c>
      <c r="EH170" s="13" t="s">
        <v>82</v>
      </c>
      <c r="EI170" s="13"/>
      <c r="EJ170" s="13"/>
      <c r="EK170" s="13" t="s">
        <v>2743</v>
      </c>
      <c r="EL170" s="13" t="s">
        <v>2707</v>
      </c>
      <c r="EM170" s="9">
        <v>706.77</v>
      </c>
      <c r="EN170" s="9">
        <v>16.55</v>
      </c>
      <c r="EQ170" s="9">
        <v>68.19</v>
      </c>
      <c r="EW170" s="9">
        <v>31.98</v>
      </c>
      <c r="FF170" s="9">
        <v>45.22</v>
      </c>
      <c r="FJ170" s="9">
        <v>14.18</v>
      </c>
      <c r="FP170" s="9">
        <v>34.83</v>
      </c>
      <c r="FV170" s="9">
        <v>75.930000000000007</v>
      </c>
      <c r="GC170" s="9">
        <v>172.13</v>
      </c>
      <c r="GT170" s="9">
        <v>16.25</v>
      </c>
      <c r="GX170" s="9">
        <v>47.01</v>
      </c>
      <c r="HB170" s="9">
        <v>184.5</v>
      </c>
      <c r="HQ170" s="62">
        <f t="shared" si="14"/>
        <v>706.77</v>
      </c>
      <c r="HR170" s="62">
        <f t="shared" si="15"/>
        <v>11.779500000000001</v>
      </c>
    </row>
    <row r="171" spans="1:226" s="9" customFormat="1" ht="12.75" x14ac:dyDescent="0.2">
      <c r="A171" s="11">
        <v>230</v>
      </c>
      <c r="B171" s="9">
        <v>247</v>
      </c>
      <c r="C171" s="9" t="s">
        <v>83</v>
      </c>
      <c r="D171" s="9">
        <v>11</v>
      </c>
      <c r="E171" s="9" t="s">
        <v>79</v>
      </c>
      <c r="F171" s="9">
        <v>1981071138</v>
      </c>
      <c r="G171" s="9" t="s">
        <v>81</v>
      </c>
      <c r="H171" s="9" t="s">
        <v>84</v>
      </c>
      <c r="I171" s="13" t="s">
        <v>107</v>
      </c>
      <c r="J171" s="13"/>
      <c r="K171" s="58"/>
      <c r="L171" s="58"/>
      <c r="M171" s="13" t="s">
        <v>1319</v>
      </c>
      <c r="N171" s="13" t="s">
        <v>108</v>
      </c>
      <c r="O171" s="13"/>
      <c r="P171" s="13" t="s">
        <v>87</v>
      </c>
      <c r="Q171" s="13" t="s">
        <v>1296</v>
      </c>
      <c r="R171" s="58"/>
      <c r="S171" s="13" t="s">
        <v>84</v>
      </c>
      <c r="T171" s="13" t="s">
        <v>84</v>
      </c>
      <c r="U171" s="13" t="s">
        <v>82</v>
      </c>
      <c r="V171" s="13" t="s">
        <v>84</v>
      </c>
      <c r="W171" s="13" t="s">
        <v>82</v>
      </c>
      <c r="X171" s="13" t="s">
        <v>82</v>
      </c>
      <c r="Y171" s="13" t="s">
        <v>84</v>
      </c>
      <c r="Z171" s="13" t="s">
        <v>84</v>
      </c>
      <c r="AA171" s="13"/>
      <c r="AB171" s="13" t="s">
        <v>82</v>
      </c>
      <c r="AC171" s="13"/>
      <c r="AD171" s="13" t="s">
        <v>82</v>
      </c>
      <c r="AE171" s="13"/>
      <c r="AF171" s="13"/>
      <c r="AG171" s="13" t="s">
        <v>82</v>
      </c>
      <c r="AH171" s="13"/>
      <c r="AI171" s="13" t="s">
        <v>84</v>
      </c>
      <c r="AJ171" s="13"/>
      <c r="AK171" s="13"/>
      <c r="AL171" s="13" t="s">
        <v>126</v>
      </c>
      <c r="AM171" s="13" t="s">
        <v>91</v>
      </c>
      <c r="AN171" s="13"/>
      <c r="AO171" s="13" t="s">
        <v>80</v>
      </c>
      <c r="AP171" s="58"/>
      <c r="AQ171" s="13" t="s">
        <v>80</v>
      </c>
      <c r="AR171" s="13" t="s">
        <v>80</v>
      </c>
      <c r="AS171" s="13" t="s">
        <v>80</v>
      </c>
      <c r="AT171" s="13" t="s">
        <v>80</v>
      </c>
      <c r="AU171" s="13"/>
      <c r="AV171" s="58"/>
      <c r="AW171" s="13" t="s">
        <v>84</v>
      </c>
      <c r="AX171" s="13" t="s">
        <v>82</v>
      </c>
      <c r="AY171" s="13" t="s">
        <v>82</v>
      </c>
      <c r="AZ171" s="13" t="s">
        <v>84</v>
      </c>
      <c r="BA171" s="13"/>
      <c r="BB171" s="13" t="s">
        <v>84</v>
      </c>
      <c r="BC171" s="13" t="s">
        <v>80</v>
      </c>
      <c r="BD171" s="13" t="s">
        <v>93</v>
      </c>
      <c r="BE171" s="13" t="s">
        <v>93</v>
      </c>
      <c r="BF171" s="13" t="s">
        <v>112</v>
      </c>
      <c r="BG171" s="13" t="s">
        <v>84</v>
      </c>
      <c r="BH171" s="13" t="s">
        <v>84</v>
      </c>
      <c r="BI171" s="13"/>
      <c r="BJ171" s="13" t="s">
        <v>84</v>
      </c>
      <c r="BK171" s="13" t="s">
        <v>80</v>
      </c>
      <c r="BL171" s="13">
        <v>3</v>
      </c>
      <c r="BM171" s="13">
        <v>2</v>
      </c>
      <c r="BN171" s="13">
        <v>1</v>
      </c>
      <c r="BO171" s="13">
        <v>1</v>
      </c>
      <c r="BP171" s="13">
        <v>3</v>
      </c>
      <c r="BQ171" s="13">
        <v>3</v>
      </c>
      <c r="BR171" s="58"/>
      <c r="BS171" s="13" t="s">
        <v>118</v>
      </c>
      <c r="BT171" s="13"/>
      <c r="BU171" s="13"/>
      <c r="BV171" s="13"/>
      <c r="BW171" s="58"/>
      <c r="BX171" s="13" t="s">
        <v>84</v>
      </c>
      <c r="BY171" s="13"/>
      <c r="BZ171" s="13" t="s">
        <v>84</v>
      </c>
      <c r="CA171" s="13"/>
      <c r="CB171" s="13" t="s">
        <v>82</v>
      </c>
      <c r="CC171" s="13"/>
      <c r="CD171" s="13" t="s">
        <v>82</v>
      </c>
      <c r="CE171" s="13"/>
      <c r="CF171" s="13"/>
      <c r="CG171" s="13"/>
      <c r="CH171" s="58"/>
      <c r="CI171" s="13" t="s">
        <v>84</v>
      </c>
      <c r="CJ171" s="13"/>
      <c r="CK171" s="13" t="s">
        <v>82</v>
      </c>
      <c r="CL171" s="13"/>
      <c r="CM171" s="13" t="s">
        <v>82</v>
      </c>
      <c r="CN171" s="13"/>
      <c r="CO171" s="13"/>
      <c r="CP171" s="13"/>
      <c r="CQ171" s="13" t="s">
        <v>118</v>
      </c>
      <c r="CR171" s="13" t="s">
        <v>84</v>
      </c>
      <c r="CS171" s="13" t="s">
        <v>1312</v>
      </c>
      <c r="CT171" s="13"/>
      <c r="CU171" s="13" t="s">
        <v>81</v>
      </c>
      <c r="CV171" s="13"/>
      <c r="CW171" s="13" t="s">
        <v>82</v>
      </c>
      <c r="CX171" s="13"/>
      <c r="CY171" s="13" t="s">
        <v>81</v>
      </c>
      <c r="CZ171" s="13"/>
      <c r="DA171" s="13" t="s">
        <v>84</v>
      </c>
      <c r="DB171" s="13" t="s">
        <v>2744</v>
      </c>
      <c r="DC171" s="13" t="s">
        <v>84</v>
      </c>
      <c r="DD171" s="13" t="s">
        <v>82</v>
      </c>
      <c r="DE171" s="58"/>
      <c r="DF171" s="58"/>
      <c r="DG171" s="13">
        <v>1</v>
      </c>
      <c r="DH171" s="13">
        <v>3</v>
      </c>
      <c r="DI171" s="13">
        <v>1</v>
      </c>
      <c r="DJ171" s="13">
        <v>3</v>
      </c>
      <c r="DK171" s="13">
        <v>1</v>
      </c>
      <c r="DL171" s="13">
        <v>1</v>
      </c>
      <c r="DM171" s="13">
        <v>1</v>
      </c>
      <c r="DN171" s="13">
        <v>1</v>
      </c>
      <c r="DO171" s="13">
        <v>1</v>
      </c>
      <c r="DP171" s="13">
        <v>1</v>
      </c>
      <c r="DQ171" s="13">
        <v>1</v>
      </c>
      <c r="DR171" s="13">
        <v>1</v>
      </c>
      <c r="DS171" s="13" t="s">
        <v>99</v>
      </c>
      <c r="DT171" s="13" t="s">
        <v>84</v>
      </c>
      <c r="DU171" s="13"/>
      <c r="DV171" s="13" t="s">
        <v>84</v>
      </c>
      <c r="DW171" s="13" t="s">
        <v>113</v>
      </c>
      <c r="DX171" s="13" t="s">
        <v>81</v>
      </c>
      <c r="DY171" s="13"/>
      <c r="DZ171" s="13" t="s">
        <v>93</v>
      </c>
      <c r="EA171" s="13"/>
      <c r="EB171" s="13" t="s">
        <v>84</v>
      </c>
      <c r="EC171" s="13"/>
      <c r="ED171" s="13"/>
      <c r="EE171" s="13"/>
      <c r="EF171" s="13" t="s">
        <v>82</v>
      </c>
      <c r="EG171" s="13" t="s">
        <v>82</v>
      </c>
      <c r="EH171" s="13" t="s">
        <v>84</v>
      </c>
      <c r="EI171" s="13" t="s">
        <v>2745</v>
      </c>
      <c r="EJ171" s="13"/>
      <c r="EK171" s="13"/>
      <c r="EL171" s="13"/>
      <c r="EM171" s="9">
        <v>7107.04</v>
      </c>
      <c r="EN171" s="9">
        <v>44.61</v>
      </c>
      <c r="EQ171" s="9">
        <v>75.08</v>
      </c>
      <c r="EW171" s="9">
        <v>79.87</v>
      </c>
      <c r="FF171" s="9">
        <v>60.48</v>
      </c>
      <c r="FJ171" s="9">
        <v>49.39</v>
      </c>
      <c r="FP171" s="9">
        <v>58.18</v>
      </c>
      <c r="FV171" s="9">
        <v>298.22000000000003</v>
      </c>
      <c r="GC171" s="9">
        <v>366.52</v>
      </c>
      <c r="GT171" s="9">
        <v>28.36</v>
      </c>
      <c r="GX171" s="9">
        <v>55.74</v>
      </c>
      <c r="HB171" s="9">
        <v>5990.59</v>
      </c>
      <c r="HQ171" s="62">
        <f t="shared" si="14"/>
        <v>7107.04</v>
      </c>
      <c r="HR171" s="62">
        <f t="shared" si="15"/>
        <v>118.45066666666666</v>
      </c>
    </row>
    <row r="172" spans="1:226" s="9" customFormat="1" ht="12.75" x14ac:dyDescent="0.2">
      <c r="A172" s="11">
        <v>231</v>
      </c>
      <c r="B172" s="9">
        <v>248</v>
      </c>
      <c r="C172" s="9" t="s">
        <v>83</v>
      </c>
      <c r="D172" s="9">
        <v>11</v>
      </c>
      <c r="E172" s="9" t="s">
        <v>79</v>
      </c>
      <c r="F172" s="9">
        <v>562756884</v>
      </c>
      <c r="G172" s="9" t="s">
        <v>81</v>
      </c>
      <c r="H172" s="9" t="s">
        <v>84</v>
      </c>
      <c r="I172" s="13" t="s">
        <v>105</v>
      </c>
      <c r="J172" s="13"/>
      <c r="K172" s="58"/>
      <c r="L172" s="58"/>
      <c r="M172" s="13" t="s">
        <v>1319</v>
      </c>
      <c r="N172" s="13" t="s">
        <v>618</v>
      </c>
      <c r="O172" s="13"/>
      <c r="P172" s="13" t="s">
        <v>87</v>
      </c>
      <c r="Q172" s="13" t="s">
        <v>1375</v>
      </c>
      <c r="R172" s="58"/>
      <c r="S172" s="13" t="s">
        <v>84</v>
      </c>
      <c r="T172" s="13" t="s">
        <v>84</v>
      </c>
      <c r="U172" s="13" t="s">
        <v>82</v>
      </c>
      <c r="V172" s="13" t="s">
        <v>82</v>
      </c>
      <c r="W172" s="13" t="s">
        <v>82</v>
      </c>
      <c r="X172" s="13" t="s">
        <v>82</v>
      </c>
      <c r="Y172" s="13" t="s">
        <v>84</v>
      </c>
      <c r="Z172" s="13" t="s">
        <v>84</v>
      </c>
      <c r="AA172" s="13" t="s">
        <v>2746</v>
      </c>
      <c r="AB172" s="13" t="s">
        <v>84</v>
      </c>
      <c r="AC172" s="13" t="s">
        <v>2747</v>
      </c>
      <c r="AD172" s="13" t="s">
        <v>82</v>
      </c>
      <c r="AE172" s="13"/>
      <c r="AF172" s="13"/>
      <c r="AG172" s="13" t="s">
        <v>84</v>
      </c>
      <c r="AH172" s="13" t="s">
        <v>2748</v>
      </c>
      <c r="AI172" s="13" t="s">
        <v>84</v>
      </c>
      <c r="AJ172" s="13" t="s">
        <v>2749</v>
      </c>
      <c r="AK172" s="13" t="s">
        <v>2750</v>
      </c>
      <c r="AL172" s="13" t="s">
        <v>126</v>
      </c>
      <c r="AM172" s="13" t="s">
        <v>91</v>
      </c>
      <c r="AN172" s="13"/>
      <c r="AO172" s="13" t="s">
        <v>80</v>
      </c>
      <c r="AP172" s="58"/>
      <c r="AQ172" s="13" t="s">
        <v>80</v>
      </c>
      <c r="AR172" s="13" t="s">
        <v>80</v>
      </c>
      <c r="AS172" s="13" t="s">
        <v>80</v>
      </c>
      <c r="AT172" s="13" t="s">
        <v>80</v>
      </c>
      <c r="AU172" s="13"/>
      <c r="AV172" s="58"/>
      <c r="AW172" s="13" t="s">
        <v>84</v>
      </c>
      <c r="AX172" s="13" t="s">
        <v>82</v>
      </c>
      <c r="AY172" s="13" t="s">
        <v>82</v>
      </c>
      <c r="AZ172" s="13" t="s">
        <v>84</v>
      </c>
      <c r="BA172" s="13"/>
      <c r="BB172" s="13" t="s">
        <v>84</v>
      </c>
      <c r="BC172" s="13" t="s">
        <v>80</v>
      </c>
      <c r="BD172" s="13" t="s">
        <v>113</v>
      </c>
      <c r="BE172" s="13" t="s">
        <v>113</v>
      </c>
      <c r="BF172" s="13" t="s">
        <v>112</v>
      </c>
      <c r="BG172" s="13" t="s">
        <v>84</v>
      </c>
      <c r="BH172" s="13" t="s">
        <v>84</v>
      </c>
      <c r="BI172" s="13" t="s">
        <v>2751</v>
      </c>
      <c r="BJ172" s="13" t="s">
        <v>84</v>
      </c>
      <c r="BK172" s="13" t="s">
        <v>80</v>
      </c>
      <c r="BL172" s="13">
        <v>1</v>
      </c>
      <c r="BM172" s="13">
        <v>1</v>
      </c>
      <c r="BN172" s="13">
        <v>2</v>
      </c>
      <c r="BO172" s="13">
        <v>1</v>
      </c>
      <c r="BP172" s="13">
        <v>3</v>
      </c>
      <c r="BQ172" s="13">
        <v>1</v>
      </c>
      <c r="BR172" s="58"/>
      <c r="BS172" s="13" t="s">
        <v>99</v>
      </c>
      <c r="BT172" s="13"/>
      <c r="BU172" s="13"/>
      <c r="BV172" s="13"/>
      <c r="BW172" s="58"/>
      <c r="BX172" s="13" t="s">
        <v>84</v>
      </c>
      <c r="BY172" s="13" t="s">
        <v>2752</v>
      </c>
      <c r="BZ172" s="13" t="s">
        <v>84</v>
      </c>
      <c r="CA172" s="13" t="s">
        <v>2753</v>
      </c>
      <c r="CB172" s="13" t="s">
        <v>84</v>
      </c>
      <c r="CC172" s="13" t="s">
        <v>2754</v>
      </c>
      <c r="CD172" s="13" t="s">
        <v>82</v>
      </c>
      <c r="CE172" s="13"/>
      <c r="CF172" s="13"/>
      <c r="CG172" s="13"/>
      <c r="CH172" s="58"/>
      <c r="CI172" s="13" t="s">
        <v>84</v>
      </c>
      <c r="CJ172" s="13" t="s">
        <v>2755</v>
      </c>
      <c r="CK172" s="13" t="s">
        <v>82</v>
      </c>
      <c r="CL172" s="13"/>
      <c r="CM172" s="13" t="s">
        <v>82</v>
      </c>
      <c r="CN172" s="13"/>
      <c r="CO172" s="13"/>
      <c r="CP172" s="13"/>
      <c r="CQ172" s="13" t="s">
        <v>97</v>
      </c>
      <c r="CR172" s="13" t="s">
        <v>84</v>
      </c>
      <c r="CS172" s="13" t="s">
        <v>97</v>
      </c>
      <c r="CT172" s="13" t="s">
        <v>2756</v>
      </c>
      <c r="CU172" s="13" t="s">
        <v>81</v>
      </c>
      <c r="CV172" s="13" t="s">
        <v>2757</v>
      </c>
      <c r="CW172" s="13" t="s">
        <v>84</v>
      </c>
      <c r="CX172" s="13" t="s">
        <v>2758</v>
      </c>
      <c r="CY172" s="13"/>
      <c r="CZ172" s="13"/>
      <c r="DA172" s="13" t="s">
        <v>84</v>
      </c>
      <c r="DB172" s="13" t="s">
        <v>2759</v>
      </c>
      <c r="DC172" s="13" t="s">
        <v>84</v>
      </c>
      <c r="DD172" s="13" t="s">
        <v>84</v>
      </c>
      <c r="DE172" s="58"/>
      <c r="DF172" s="58"/>
      <c r="DG172" s="13">
        <v>2</v>
      </c>
      <c r="DH172" s="13">
        <v>1</v>
      </c>
      <c r="DI172" s="13">
        <v>1</v>
      </c>
      <c r="DJ172" s="13">
        <v>2</v>
      </c>
      <c r="DK172" s="13">
        <v>1</v>
      </c>
      <c r="DL172" s="13">
        <v>2</v>
      </c>
      <c r="DM172" s="13">
        <v>1</v>
      </c>
      <c r="DN172" s="13">
        <v>2</v>
      </c>
      <c r="DO172" s="13">
        <v>2</v>
      </c>
      <c r="DP172" s="13">
        <v>1</v>
      </c>
      <c r="DQ172" s="13">
        <v>2</v>
      </c>
      <c r="DR172" s="13">
        <v>1</v>
      </c>
      <c r="DS172" s="13" t="s">
        <v>118</v>
      </c>
      <c r="DT172" s="13" t="s">
        <v>84</v>
      </c>
      <c r="DU172" s="13"/>
      <c r="DV172" s="13" t="s">
        <v>84</v>
      </c>
      <c r="DW172" s="13" t="s">
        <v>100</v>
      </c>
      <c r="DX172" s="13" t="s">
        <v>81</v>
      </c>
      <c r="DY172" s="13" t="s">
        <v>2760</v>
      </c>
      <c r="DZ172" s="13" t="s">
        <v>113</v>
      </c>
      <c r="EA172" s="13" t="s">
        <v>2761</v>
      </c>
      <c r="EB172" s="13" t="s">
        <v>84</v>
      </c>
      <c r="EC172" s="13" t="s">
        <v>2762</v>
      </c>
      <c r="ED172" s="13"/>
      <c r="EE172" s="13"/>
      <c r="EF172" s="13" t="s">
        <v>82</v>
      </c>
      <c r="EG172" s="13" t="s">
        <v>84</v>
      </c>
      <c r="EH172" s="13" t="s">
        <v>84</v>
      </c>
      <c r="EI172" s="13" t="s">
        <v>2763</v>
      </c>
      <c r="EJ172" s="13" t="s">
        <v>2764</v>
      </c>
      <c r="EK172" s="13" t="s">
        <v>2765</v>
      </c>
      <c r="EL172" s="13" t="s">
        <v>2766</v>
      </c>
      <c r="EM172" s="9">
        <v>2813.17</v>
      </c>
      <c r="EN172" s="9">
        <v>42.84</v>
      </c>
      <c r="EQ172" s="9">
        <v>237.81</v>
      </c>
      <c r="EW172" s="9">
        <v>317.19</v>
      </c>
      <c r="FF172" s="9">
        <v>273.01</v>
      </c>
      <c r="FJ172" s="9">
        <v>35.68</v>
      </c>
      <c r="FP172" s="9">
        <v>61.1</v>
      </c>
      <c r="FV172" s="9">
        <v>249.97</v>
      </c>
      <c r="GC172" s="9">
        <v>857.56</v>
      </c>
      <c r="GT172" s="9">
        <v>25.46</v>
      </c>
      <c r="GX172" s="9">
        <v>148.03</v>
      </c>
      <c r="HB172" s="9">
        <v>564.52</v>
      </c>
      <c r="HQ172" s="62">
        <f t="shared" si="14"/>
        <v>2813.17</v>
      </c>
      <c r="HR172" s="62">
        <f t="shared" si="15"/>
        <v>46.886166666666668</v>
      </c>
    </row>
    <row r="173" spans="1:226" s="9" customFormat="1" ht="12.75" x14ac:dyDescent="0.2">
      <c r="A173" s="11">
        <v>232</v>
      </c>
      <c r="B173" s="9">
        <v>249</v>
      </c>
      <c r="C173" s="9" t="s">
        <v>83</v>
      </c>
      <c r="D173" s="9">
        <v>11</v>
      </c>
      <c r="E173" s="9" t="s">
        <v>79</v>
      </c>
      <c r="F173" s="9">
        <v>153039700</v>
      </c>
      <c r="G173" s="9" t="s">
        <v>81</v>
      </c>
      <c r="H173" s="9" t="s">
        <v>84</v>
      </c>
      <c r="I173" s="13" t="s">
        <v>119</v>
      </c>
      <c r="J173" s="13" t="s">
        <v>2767</v>
      </c>
      <c r="K173" s="58"/>
      <c r="L173" s="58"/>
      <c r="M173" s="13" t="s">
        <v>1294</v>
      </c>
      <c r="N173" s="13" t="s">
        <v>108</v>
      </c>
      <c r="O173" s="13"/>
      <c r="P173" s="13" t="s">
        <v>87</v>
      </c>
      <c r="Q173" s="13" t="s">
        <v>1296</v>
      </c>
      <c r="R173" s="58"/>
      <c r="S173" s="13" t="s">
        <v>82</v>
      </c>
      <c r="T173" s="13" t="s">
        <v>84</v>
      </c>
      <c r="U173" s="13" t="s">
        <v>84</v>
      </c>
      <c r="V173" s="13" t="s">
        <v>82</v>
      </c>
      <c r="W173" s="13" t="s">
        <v>82</v>
      </c>
      <c r="X173" s="13" t="s">
        <v>84</v>
      </c>
      <c r="Y173" s="13" t="s">
        <v>82</v>
      </c>
      <c r="Z173" s="13" t="s">
        <v>82</v>
      </c>
      <c r="AA173" s="13"/>
      <c r="AB173" s="13" t="s">
        <v>82</v>
      </c>
      <c r="AC173" s="13"/>
      <c r="AD173" s="13" t="s">
        <v>84</v>
      </c>
      <c r="AE173" s="13" t="s">
        <v>2768</v>
      </c>
      <c r="AF173" s="13" t="s">
        <v>2769</v>
      </c>
      <c r="AG173" s="13" t="s">
        <v>80</v>
      </c>
      <c r="AH173" s="13"/>
      <c r="AI173" s="13" t="s">
        <v>82</v>
      </c>
      <c r="AJ173" s="13"/>
      <c r="AK173" s="13"/>
      <c r="AL173" s="13" t="s">
        <v>296</v>
      </c>
      <c r="AM173" s="13" t="s">
        <v>111</v>
      </c>
      <c r="AN173" s="13"/>
      <c r="AO173" s="13" t="s">
        <v>80</v>
      </c>
      <c r="AP173" s="58"/>
      <c r="AQ173" s="13" t="s">
        <v>84</v>
      </c>
      <c r="AR173" s="13" t="s">
        <v>82</v>
      </c>
      <c r="AS173" s="13" t="s">
        <v>84</v>
      </c>
      <c r="AT173" s="13" t="s">
        <v>84</v>
      </c>
      <c r="AU173" s="13"/>
      <c r="AV173" s="58"/>
      <c r="AW173" s="13" t="s">
        <v>80</v>
      </c>
      <c r="AX173" s="13" t="s">
        <v>80</v>
      </c>
      <c r="AY173" s="13" t="s">
        <v>80</v>
      </c>
      <c r="AZ173" s="13" t="s">
        <v>80</v>
      </c>
      <c r="BA173" s="13"/>
      <c r="BB173" s="13" t="s">
        <v>84</v>
      </c>
      <c r="BC173" s="13" t="s">
        <v>80</v>
      </c>
      <c r="BD173" s="13" t="s">
        <v>113</v>
      </c>
      <c r="BE173" s="13" t="s">
        <v>113</v>
      </c>
      <c r="BF173" s="13" t="s">
        <v>100</v>
      </c>
      <c r="BG173" s="13" t="s">
        <v>84</v>
      </c>
      <c r="BH173" s="13" t="s">
        <v>84</v>
      </c>
      <c r="BI173" s="13"/>
      <c r="BJ173" s="13" t="s">
        <v>84</v>
      </c>
      <c r="BK173" s="13" t="s">
        <v>80</v>
      </c>
      <c r="BL173" s="13">
        <v>5</v>
      </c>
      <c r="BM173" s="13">
        <v>4</v>
      </c>
      <c r="BN173" s="13">
        <v>4</v>
      </c>
      <c r="BO173" s="13">
        <v>5</v>
      </c>
      <c r="BP173" s="13">
        <v>5</v>
      </c>
      <c r="BQ173" s="13">
        <v>5</v>
      </c>
      <c r="BR173" s="58"/>
      <c r="BS173" s="13" t="s">
        <v>118</v>
      </c>
      <c r="BT173" s="13"/>
      <c r="BU173" s="13"/>
      <c r="BV173" s="13"/>
      <c r="BW173" s="58"/>
      <c r="BX173" s="13" t="s">
        <v>82</v>
      </c>
      <c r="BY173" s="13"/>
      <c r="BZ173" s="13" t="s">
        <v>84</v>
      </c>
      <c r="CA173" s="13"/>
      <c r="CB173" s="13" t="s">
        <v>82</v>
      </c>
      <c r="CC173" s="13"/>
      <c r="CD173" s="13" t="s">
        <v>84</v>
      </c>
      <c r="CE173" s="13"/>
      <c r="CF173" s="13"/>
      <c r="CG173" s="13"/>
      <c r="CH173" s="58"/>
      <c r="CI173" s="13" t="s">
        <v>84</v>
      </c>
      <c r="CJ173" s="13"/>
      <c r="CK173" s="13" t="s">
        <v>82</v>
      </c>
      <c r="CL173" s="13"/>
      <c r="CM173" s="13" t="s">
        <v>82</v>
      </c>
      <c r="CN173" s="13"/>
      <c r="CO173" s="13"/>
      <c r="CP173" s="13"/>
      <c r="CQ173" s="13" t="s">
        <v>99</v>
      </c>
      <c r="CR173" s="13" t="s">
        <v>80</v>
      </c>
      <c r="CS173" s="13" t="s">
        <v>1312</v>
      </c>
      <c r="CT173" s="13"/>
      <c r="CU173" s="13" t="s">
        <v>81</v>
      </c>
      <c r="CV173" s="13"/>
      <c r="CW173" s="13" t="s">
        <v>84</v>
      </c>
      <c r="CX173" s="13"/>
      <c r="CY173" s="13"/>
      <c r="CZ173" s="13"/>
      <c r="DA173" s="13" t="s">
        <v>84</v>
      </c>
      <c r="DB173" s="13"/>
      <c r="DC173" s="13" t="s">
        <v>84</v>
      </c>
      <c r="DD173" s="13" t="s">
        <v>84</v>
      </c>
      <c r="DE173" s="58"/>
      <c r="DF173" s="58"/>
      <c r="DG173" s="13">
        <v>4</v>
      </c>
      <c r="DH173" s="13">
        <v>4</v>
      </c>
      <c r="DI173" s="13">
        <v>5</v>
      </c>
      <c r="DJ173" s="13">
        <v>3</v>
      </c>
      <c r="DK173" s="13">
        <v>5</v>
      </c>
      <c r="DL173" s="13">
        <v>4</v>
      </c>
      <c r="DM173" s="13">
        <v>5</v>
      </c>
      <c r="DN173" s="13">
        <v>4</v>
      </c>
      <c r="DO173" s="13">
        <v>5</v>
      </c>
      <c r="DP173" s="13">
        <v>4</v>
      </c>
      <c r="DQ173" s="13">
        <v>5</v>
      </c>
      <c r="DR173" s="13">
        <v>4</v>
      </c>
      <c r="DS173" s="13" t="s">
        <v>99</v>
      </c>
      <c r="DT173" s="13" t="s">
        <v>84</v>
      </c>
      <c r="DU173" s="13"/>
      <c r="DV173" s="13" t="s">
        <v>84</v>
      </c>
      <c r="DW173" s="13" t="s">
        <v>113</v>
      </c>
      <c r="DX173" s="13" t="s">
        <v>81</v>
      </c>
      <c r="DY173" s="13"/>
      <c r="DZ173" s="13" t="s">
        <v>113</v>
      </c>
      <c r="EA173" s="13"/>
      <c r="EB173" s="13" t="s">
        <v>84</v>
      </c>
      <c r="EC173" s="13"/>
      <c r="ED173" s="13"/>
      <c r="EE173" s="13"/>
      <c r="EF173" s="13" t="s">
        <v>84</v>
      </c>
      <c r="EG173" s="13" t="s">
        <v>84</v>
      </c>
      <c r="EH173" s="13" t="s">
        <v>84</v>
      </c>
      <c r="EI173" s="13"/>
      <c r="EJ173" s="13"/>
      <c r="EK173" s="13"/>
      <c r="EL173" s="13"/>
      <c r="EM173" s="9">
        <v>268.11</v>
      </c>
      <c r="EN173" s="9">
        <v>9.91</v>
      </c>
      <c r="EQ173" s="9">
        <v>31.29</v>
      </c>
      <c r="EW173" s="9">
        <v>31.25</v>
      </c>
      <c r="FF173" s="9">
        <v>9.5</v>
      </c>
      <c r="FJ173" s="9">
        <v>16.18</v>
      </c>
      <c r="FP173" s="9">
        <v>23.46</v>
      </c>
      <c r="FV173" s="9">
        <v>22.03</v>
      </c>
      <c r="GC173" s="9">
        <v>71.069999999999993</v>
      </c>
      <c r="GT173" s="9">
        <v>11.51</v>
      </c>
      <c r="GX173" s="9">
        <v>19.8</v>
      </c>
      <c r="HB173" s="9">
        <v>22.11</v>
      </c>
      <c r="HQ173" s="62">
        <f t="shared" si="14"/>
        <v>268.11</v>
      </c>
      <c r="HR173" s="62">
        <f t="shared" si="15"/>
        <v>4.4685000000000006</v>
      </c>
    </row>
    <row r="174" spans="1:226" s="9" customFormat="1" ht="12.75" x14ac:dyDescent="0.2">
      <c r="A174" s="11">
        <v>233</v>
      </c>
      <c r="B174" s="9">
        <v>251</v>
      </c>
      <c r="C174" s="9" t="s">
        <v>83</v>
      </c>
      <c r="D174" s="9">
        <v>11</v>
      </c>
      <c r="E174" s="9" t="s">
        <v>79</v>
      </c>
      <c r="F174" s="9">
        <v>915377607</v>
      </c>
      <c r="G174" s="9" t="s">
        <v>81</v>
      </c>
      <c r="H174" s="9" t="s">
        <v>84</v>
      </c>
      <c r="I174" s="13" t="s">
        <v>630</v>
      </c>
      <c r="J174" s="13"/>
      <c r="K174" s="58"/>
      <c r="L174" s="58"/>
      <c r="M174" s="13" t="s">
        <v>1319</v>
      </c>
      <c r="N174" s="13" t="s">
        <v>618</v>
      </c>
      <c r="O174" s="13"/>
      <c r="P174" s="13" t="s">
        <v>253</v>
      </c>
      <c r="Q174" s="13" t="s">
        <v>1358</v>
      </c>
      <c r="R174" s="58"/>
      <c r="S174" s="13" t="s">
        <v>84</v>
      </c>
      <c r="T174" s="13" t="s">
        <v>84</v>
      </c>
      <c r="U174" s="13" t="s">
        <v>84</v>
      </c>
      <c r="V174" s="13" t="s">
        <v>82</v>
      </c>
      <c r="W174" s="13" t="s">
        <v>82</v>
      </c>
      <c r="X174" s="13" t="s">
        <v>82</v>
      </c>
      <c r="Y174" s="13" t="s">
        <v>84</v>
      </c>
      <c r="Z174" s="13" t="s">
        <v>84</v>
      </c>
      <c r="AA174" s="13"/>
      <c r="AB174" s="13" t="s">
        <v>82</v>
      </c>
      <c r="AC174" s="13"/>
      <c r="AD174" s="13" t="s">
        <v>82</v>
      </c>
      <c r="AE174" s="13"/>
      <c r="AF174" s="13"/>
      <c r="AG174" s="13" t="s">
        <v>84</v>
      </c>
      <c r="AH174" s="13" t="s">
        <v>2770</v>
      </c>
      <c r="AI174" s="13" t="s">
        <v>84</v>
      </c>
      <c r="AJ174" s="13"/>
      <c r="AK174" s="13" t="s">
        <v>2771</v>
      </c>
      <c r="AL174" s="13" t="s">
        <v>140</v>
      </c>
      <c r="AM174" s="13" t="s">
        <v>111</v>
      </c>
      <c r="AN174" s="13"/>
      <c r="AO174" s="13" t="s">
        <v>80</v>
      </c>
      <c r="AP174" s="58"/>
      <c r="AQ174" s="13" t="s">
        <v>84</v>
      </c>
      <c r="AR174" s="13" t="s">
        <v>82</v>
      </c>
      <c r="AS174" s="13" t="s">
        <v>82</v>
      </c>
      <c r="AT174" s="13" t="s">
        <v>84</v>
      </c>
      <c r="AU174" s="13"/>
      <c r="AV174" s="58"/>
      <c r="AW174" s="13" t="s">
        <v>80</v>
      </c>
      <c r="AX174" s="13" t="s">
        <v>80</v>
      </c>
      <c r="AY174" s="13" t="s">
        <v>80</v>
      </c>
      <c r="AZ174" s="13" t="s">
        <v>80</v>
      </c>
      <c r="BA174" s="13"/>
      <c r="BB174" s="13" t="s">
        <v>84</v>
      </c>
      <c r="BC174" s="13" t="s">
        <v>80</v>
      </c>
      <c r="BD174" s="13" t="s">
        <v>113</v>
      </c>
      <c r="BE174" s="13" t="s">
        <v>113</v>
      </c>
      <c r="BF174" s="13" t="s">
        <v>100</v>
      </c>
      <c r="BG174" s="13" t="s">
        <v>82</v>
      </c>
      <c r="BH174" s="13" t="s">
        <v>82</v>
      </c>
      <c r="BI174" s="13"/>
      <c r="BJ174" s="13" t="s">
        <v>84</v>
      </c>
      <c r="BK174" s="13" t="s">
        <v>80</v>
      </c>
      <c r="BL174" s="13">
        <v>1</v>
      </c>
      <c r="BM174" s="13">
        <v>3</v>
      </c>
      <c r="BN174" s="13">
        <v>2</v>
      </c>
      <c r="BO174" s="13">
        <v>2</v>
      </c>
      <c r="BP174" s="13">
        <v>4</v>
      </c>
      <c r="BQ174" s="13">
        <v>4</v>
      </c>
      <c r="BR174" s="58"/>
      <c r="BS174" s="13" t="s">
        <v>99</v>
      </c>
      <c r="BT174" s="13"/>
      <c r="BU174" s="13"/>
      <c r="BV174" s="13"/>
      <c r="BW174" s="58"/>
      <c r="BX174" s="13" t="s">
        <v>82</v>
      </c>
      <c r="BY174" s="13"/>
      <c r="BZ174" s="13" t="s">
        <v>84</v>
      </c>
      <c r="CA174" s="13" t="s">
        <v>2772</v>
      </c>
      <c r="CB174" s="13" t="s">
        <v>82</v>
      </c>
      <c r="CC174" s="13"/>
      <c r="CD174" s="13" t="s">
        <v>82</v>
      </c>
      <c r="CE174" s="13"/>
      <c r="CF174" s="13"/>
      <c r="CG174" s="13"/>
      <c r="CH174" s="58"/>
      <c r="CI174" s="13" t="s">
        <v>84</v>
      </c>
      <c r="CJ174" s="13" t="s">
        <v>2773</v>
      </c>
      <c r="CK174" s="13" t="s">
        <v>82</v>
      </c>
      <c r="CL174" s="13"/>
      <c r="CM174" s="13" t="s">
        <v>82</v>
      </c>
      <c r="CN174" s="13"/>
      <c r="CO174" s="13"/>
      <c r="CP174" s="13"/>
      <c r="CQ174" s="13" t="s">
        <v>118</v>
      </c>
      <c r="CR174" s="13" t="s">
        <v>84</v>
      </c>
      <c r="CS174" s="13" t="s">
        <v>1312</v>
      </c>
      <c r="CT174" s="13"/>
      <c r="CU174" s="13" t="s">
        <v>81</v>
      </c>
      <c r="CV174" s="13"/>
      <c r="CW174" s="13" t="s">
        <v>84</v>
      </c>
      <c r="CX174" s="13" t="s">
        <v>2774</v>
      </c>
      <c r="CY174" s="13"/>
      <c r="CZ174" s="13"/>
      <c r="DA174" s="13" t="s">
        <v>82</v>
      </c>
      <c r="DB174" s="13"/>
      <c r="DC174" s="13" t="s">
        <v>84</v>
      </c>
      <c r="DD174" s="13" t="s">
        <v>82</v>
      </c>
      <c r="DE174" s="58"/>
      <c r="DF174" s="58"/>
      <c r="DG174" s="13">
        <v>1</v>
      </c>
      <c r="DH174" s="13">
        <v>4</v>
      </c>
      <c r="DI174" s="13">
        <v>3</v>
      </c>
      <c r="DJ174" s="13">
        <v>2</v>
      </c>
      <c r="DK174" s="13">
        <v>1</v>
      </c>
      <c r="DL174" s="13">
        <v>4</v>
      </c>
      <c r="DM174" s="13">
        <v>1</v>
      </c>
      <c r="DN174" s="13">
        <v>4</v>
      </c>
      <c r="DO174" s="13">
        <v>4</v>
      </c>
      <c r="DP174" s="13">
        <v>2</v>
      </c>
      <c r="DQ174" s="13">
        <v>1</v>
      </c>
      <c r="DR174" s="13">
        <v>4</v>
      </c>
      <c r="DS174" s="13" t="s">
        <v>118</v>
      </c>
      <c r="DT174" s="13" t="s">
        <v>84</v>
      </c>
      <c r="DU174" s="13"/>
      <c r="DV174" s="13" t="s">
        <v>84</v>
      </c>
      <c r="DW174" s="13" t="s">
        <v>113</v>
      </c>
      <c r="DX174" s="13" t="s">
        <v>81</v>
      </c>
      <c r="DY174" s="13"/>
      <c r="DZ174" s="13" t="s">
        <v>113</v>
      </c>
      <c r="EA174" s="13"/>
      <c r="EB174" s="13" t="s">
        <v>84</v>
      </c>
      <c r="EC174" s="13"/>
      <c r="ED174" s="13"/>
      <c r="EE174" s="13"/>
      <c r="EF174" s="13" t="s">
        <v>84</v>
      </c>
      <c r="EG174" s="13" t="s">
        <v>82</v>
      </c>
      <c r="EH174" s="13" t="s">
        <v>82</v>
      </c>
      <c r="EI174" s="13"/>
      <c r="EJ174" s="13"/>
      <c r="EK174" s="13" t="s">
        <v>2775</v>
      </c>
      <c r="EL174" s="13" t="s">
        <v>2776</v>
      </c>
      <c r="EM174" s="9">
        <v>795.26</v>
      </c>
      <c r="EN174" s="9">
        <v>11.58</v>
      </c>
      <c r="EQ174" s="9">
        <v>42.54</v>
      </c>
      <c r="EW174" s="9">
        <v>191.59</v>
      </c>
      <c r="FF174" s="9">
        <v>63.32</v>
      </c>
      <c r="FJ174" s="9">
        <v>20.53</v>
      </c>
      <c r="FP174" s="9">
        <v>28.69</v>
      </c>
      <c r="FV174" s="9">
        <v>57.8</v>
      </c>
      <c r="GC174" s="9">
        <v>231.51</v>
      </c>
      <c r="GT174" s="9">
        <v>12.95</v>
      </c>
      <c r="GX174" s="9">
        <v>19.78</v>
      </c>
      <c r="HB174" s="9">
        <v>114.97</v>
      </c>
      <c r="HQ174" s="62">
        <f t="shared" si="14"/>
        <v>795.26</v>
      </c>
      <c r="HR174" s="62">
        <f t="shared" si="15"/>
        <v>13.254333333333333</v>
      </c>
    </row>
    <row r="175" spans="1:226" s="9" customFormat="1" ht="12.75" x14ac:dyDescent="0.2">
      <c r="A175" s="11">
        <v>234</v>
      </c>
      <c r="B175" s="9">
        <v>255</v>
      </c>
      <c r="C175" s="9" t="s">
        <v>83</v>
      </c>
      <c r="D175" s="9">
        <v>11</v>
      </c>
      <c r="E175" s="9" t="s">
        <v>79</v>
      </c>
      <c r="F175" s="9">
        <v>61769220</v>
      </c>
      <c r="G175" s="9" t="s">
        <v>81</v>
      </c>
      <c r="H175" s="9" t="s">
        <v>84</v>
      </c>
      <c r="I175" s="13" t="s">
        <v>119</v>
      </c>
      <c r="J175" s="13" t="s">
        <v>2777</v>
      </c>
      <c r="K175" s="58"/>
      <c r="L175" s="58"/>
      <c r="M175" s="13" t="s">
        <v>1319</v>
      </c>
      <c r="N175" s="13" t="s">
        <v>618</v>
      </c>
      <c r="O175" s="13"/>
      <c r="P175" s="13" t="s">
        <v>253</v>
      </c>
      <c r="Q175" s="13" t="s">
        <v>1296</v>
      </c>
      <c r="R175" s="58"/>
      <c r="S175" s="13" t="s">
        <v>84</v>
      </c>
      <c r="T175" s="13" t="s">
        <v>84</v>
      </c>
      <c r="U175" s="13" t="s">
        <v>82</v>
      </c>
      <c r="V175" s="13" t="s">
        <v>82</v>
      </c>
      <c r="W175" s="13" t="s">
        <v>82</v>
      </c>
      <c r="X175" s="13" t="s">
        <v>82</v>
      </c>
      <c r="Y175" s="13" t="s">
        <v>82</v>
      </c>
      <c r="Z175" s="13" t="s">
        <v>82</v>
      </c>
      <c r="AA175" s="13"/>
      <c r="AB175" s="13" t="s">
        <v>82</v>
      </c>
      <c r="AC175" s="13"/>
      <c r="AD175" s="13" t="s">
        <v>82</v>
      </c>
      <c r="AE175" s="13"/>
      <c r="AF175" s="13"/>
      <c r="AG175" s="13" t="s">
        <v>82</v>
      </c>
      <c r="AH175" s="13"/>
      <c r="AI175" s="13" t="s">
        <v>84</v>
      </c>
      <c r="AJ175" s="13"/>
      <c r="AK175" s="13"/>
      <c r="AL175" s="13" t="s">
        <v>126</v>
      </c>
      <c r="AM175" s="13" t="s">
        <v>91</v>
      </c>
      <c r="AN175" s="13"/>
      <c r="AO175" s="13" t="s">
        <v>80</v>
      </c>
      <c r="AP175" s="58"/>
      <c r="AQ175" s="13" t="s">
        <v>80</v>
      </c>
      <c r="AR175" s="13" t="s">
        <v>80</v>
      </c>
      <c r="AS175" s="13" t="s">
        <v>80</v>
      </c>
      <c r="AT175" s="13" t="s">
        <v>80</v>
      </c>
      <c r="AU175" s="13"/>
      <c r="AV175" s="58"/>
      <c r="AW175" s="13" t="s">
        <v>84</v>
      </c>
      <c r="AX175" s="13" t="s">
        <v>82</v>
      </c>
      <c r="AY175" s="13" t="s">
        <v>84</v>
      </c>
      <c r="AZ175" s="13" t="s">
        <v>82</v>
      </c>
      <c r="BA175" s="13"/>
      <c r="BB175" s="13" t="s">
        <v>84</v>
      </c>
      <c r="BC175" s="13" t="s">
        <v>80</v>
      </c>
      <c r="BD175" s="13" t="s">
        <v>93</v>
      </c>
      <c r="BE175" s="13" t="s">
        <v>93</v>
      </c>
      <c r="BF175" s="13" t="s">
        <v>112</v>
      </c>
      <c r="BG175" s="13" t="s">
        <v>84</v>
      </c>
      <c r="BH175" s="13" t="s">
        <v>84</v>
      </c>
      <c r="BI175" s="13"/>
      <c r="BJ175" s="13" t="s">
        <v>84</v>
      </c>
      <c r="BK175" s="13" t="s">
        <v>80</v>
      </c>
      <c r="BL175" s="13">
        <v>2</v>
      </c>
      <c r="BM175" s="13">
        <v>1</v>
      </c>
      <c r="BN175" s="13">
        <v>1</v>
      </c>
      <c r="BO175" s="13">
        <v>1</v>
      </c>
      <c r="BP175" s="13">
        <v>2</v>
      </c>
      <c r="BQ175" s="13">
        <v>1</v>
      </c>
      <c r="BR175" s="58"/>
      <c r="BS175" s="13" t="s">
        <v>99</v>
      </c>
      <c r="BT175" s="13"/>
      <c r="BU175" s="13"/>
      <c r="BV175" s="13"/>
      <c r="BW175" s="58"/>
      <c r="BX175" s="13" t="s">
        <v>84</v>
      </c>
      <c r="BY175" s="13" t="s">
        <v>2778</v>
      </c>
      <c r="BZ175" s="13" t="s">
        <v>82</v>
      </c>
      <c r="CA175" s="13"/>
      <c r="CB175" s="13" t="s">
        <v>84</v>
      </c>
      <c r="CC175" s="13"/>
      <c r="CD175" s="13" t="s">
        <v>82</v>
      </c>
      <c r="CE175" s="13"/>
      <c r="CF175" s="13"/>
      <c r="CG175" s="13"/>
      <c r="CH175" s="58"/>
      <c r="CI175" s="13" t="s">
        <v>84</v>
      </c>
      <c r="CJ175" s="13"/>
      <c r="CK175" s="13" t="s">
        <v>82</v>
      </c>
      <c r="CL175" s="13"/>
      <c r="CM175" s="13" t="s">
        <v>82</v>
      </c>
      <c r="CN175" s="13"/>
      <c r="CO175" s="13"/>
      <c r="CP175" s="13"/>
      <c r="CQ175" s="13" t="s">
        <v>118</v>
      </c>
      <c r="CR175" s="13" t="s">
        <v>84</v>
      </c>
      <c r="CS175" s="13" t="s">
        <v>1312</v>
      </c>
      <c r="CT175" s="13"/>
      <c r="CU175" s="13" t="s">
        <v>81</v>
      </c>
      <c r="CV175" s="13"/>
      <c r="CW175" s="13" t="s">
        <v>84</v>
      </c>
      <c r="CX175" s="13"/>
      <c r="CY175" s="13"/>
      <c r="CZ175" s="13"/>
      <c r="DA175" s="13" t="s">
        <v>84</v>
      </c>
      <c r="DB175" s="13"/>
      <c r="DC175" s="13" t="s">
        <v>84</v>
      </c>
      <c r="DD175" s="13" t="s">
        <v>84</v>
      </c>
      <c r="DE175" s="58"/>
      <c r="DF175" s="58"/>
      <c r="DG175" s="13">
        <v>2</v>
      </c>
      <c r="DH175" s="13">
        <v>1</v>
      </c>
      <c r="DI175" s="13">
        <v>1</v>
      </c>
      <c r="DJ175" s="13">
        <v>1</v>
      </c>
      <c r="DK175" s="13">
        <v>2</v>
      </c>
      <c r="DL175" s="13">
        <v>2</v>
      </c>
      <c r="DM175" s="13">
        <v>1</v>
      </c>
      <c r="DN175" s="13">
        <v>1</v>
      </c>
      <c r="DO175" s="13">
        <v>1</v>
      </c>
      <c r="DP175" s="13">
        <v>1</v>
      </c>
      <c r="DQ175" s="13">
        <v>1</v>
      </c>
      <c r="DR175" s="13">
        <v>1</v>
      </c>
      <c r="DS175" s="13" t="s">
        <v>118</v>
      </c>
      <c r="DT175" s="13" t="s">
        <v>84</v>
      </c>
      <c r="DU175" s="13"/>
      <c r="DV175" s="13" t="s">
        <v>84</v>
      </c>
      <c r="DW175" s="13" t="s">
        <v>93</v>
      </c>
      <c r="DX175" s="13" t="s">
        <v>81</v>
      </c>
      <c r="DY175" s="13"/>
      <c r="DZ175" s="13" t="s">
        <v>113</v>
      </c>
      <c r="EA175" s="13"/>
      <c r="EB175" s="13" t="s">
        <v>84</v>
      </c>
      <c r="EC175" s="13"/>
      <c r="ED175" s="13"/>
      <c r="EE175" s="13"/>
      <c r="EF175" s="13" t="s">
        <v>82</v>
      </c>
      <c r="EG175" s="13" t="s">
        <v>82</v>
      </c>
      <c r="EH175" s="13" t="s">
        <v>84</v>
      </c>
      <c r="EI175" s="13"/>
      <c r="EJ175" s="13"/>
      <c r="EK175" s="13"/>
      <c r="EL175" s="13"/>
      <c r="EM175" s="9">
        <v>888.76</v>
      </c>
      <c r="EN175" s="9">
        <v>31.99</v>
      </c>
      <c r="EQ175" s="9">
        <v>95.5</v>
      </c>
      <c r="EW175" s="9">
        <v>62.85</v>
      </c>
      <c r="FF175" s="9">
        <v>55.35</v>
      </c>
      <c r="FJ175" s="9">
        <v>26.1</v>
      </c>
      <c r="FP175" s="9">
        <v>62.7</v>
      </c>
      <c r="FV175" s="9">
        <v>94.08</v>
      </c>
      <c r="GC175" s="9">
        <v>266.18</v>
      </c>
      <c r="GT175" s="9">
        <v>25.72</v>
      </c>
      <c r="GX175" s="9">
        <v>57.01</v>
      </c>
      <c r="HB175" s="9">
        <v>111.28</v>
      </c>
      <c r="HQ175" s="62">
        <f t="shared" si="14"/>
        <v>888.76</v>
      </c>
      <c r="HR175" s="62">
        <f t="shared" si="15"/>
        <v>14.812666666666667</v>
      </c>
    </row>
    <row r="176" spans="1:226" s="9" customFormat="1" ht="12.75" x14ac:dyDescent="0.2">
      <c r="A176" s="11">
        <v>235</v>
      </c>
      <c r="B176" s="9">
        <v>256</v>
      </c>
      <c r="C176" s="9" t="s">
        <v>83</v>
      </c>
      <c r="D176" s="9">
        <v>11</v>
      </c>
      <c r="E176" s="9" t="s">
        <v>79</v>
      </c>
      <c r="F176" s="9">
        <v>939706896</v>
      </c>
      <c r="G176" s="9" t="s">
        <v>81</v>
      </c>
      <c r="H176" s="9" t="s">
        <v>84</v>
      </c>
      <c r="I176" s="13" t="s">
        <v>161</v>
      </c>
      <c r="J176" s="13"/>
      <c r="K176" s="58"/>
      <c r="L176" s="58"/>
      <c r="M176" s="13" t="s">
        <v>1294</v>
      </c>
      <c r="N176" s="13" t="s">
        <v>108</v>
      </c>
      <c r="O176" s="13"/>
      <c r="P176" s="13" t="s">
        <v>253</v>
      </c>
      <c r="Q176" s="13" t="s">
        <v>1358</v>
      </c>
      <c r="R176" s="58"/>
      <c r="S176" s="13" t="s">
        <v>84</v>
      </c>
      <c r="T176" s="13" t="s">
        <v>84</v>
      </c>
      <c r="U176" s="13" t="s">
        <v>82</v>
      </c>
      <c r="V176" s="13" t="s">
        <v>84</v>
      </c>
      <c r="W176" s="13" t="s">
        <v>82</v>
      </c>
      <c r="X176" s="13" t="s">
        <v>82</v>
      </c>
      <c r="Y176" s="13" t="s">
        <v>82</v>
      </c>
      <c r="Z176" s="13" t="s">
        <v>82</v>
      </c>
      <c r="AA176" s="13"/>
      <c r="AB176" s="13" t="s">
        <v>84</v>
      </c>
      <c r="AC176" s="13" t="s">
        <v>2779</v>
      </c>
      <c r="AD176" s="13" t="s">
        <v>82</v>
      </c>
      <c r="AE176" s="13"/>
      <c r="AF176" s="13"/>
      <c r="AG176" s="13" t="s">
        <v>84</v>
      </c>
      <c r="AH176" s="13" t="s">
        <v>2780</v>
      </c>
      <c r="AI176" s="13" t="s">
        <v>84</v>
      </c>
      <c r="AJ176" s="13" t="s">
        <v>2781</v>
      </c>
      <c r="AK176" s="13" t="s">
        <v>2782</v>
      </c>
      <c r="AL176" s="13" t="s">
        <v>126</v>
      </c>
      <c r="AM176" s="13" t="s">
        <v>91</v>
      </c>
      <c r="AN176" s="13"/>
      <c r="AO176" s="13" t="s">
        <v>80</v>
      </c>
      <c r="AP176" s="58"/>
      <c r="AQ176" s="13" t="s">
        <v>80</v>
      </c>
      <c r="AR176" s="13" t="s">
        <v>80</v>
      </c>
      <c r="AS176" s="13" t="s">
        <v>80</v>
      </c>
      <c r="AT176" s="13" t="s">
        <v>80</v>
      </c>
      <c r="AU176" s="13"/>
      <c r="AV176" s="58"/>
      <c r="AW176" s="13" t="s">
        <v>84</v>
      </c>
      <c r="AX176" s="13" t="s">
        <v>82</v>
      </c>
      <c r="AY176" s="13" t="s">
        <v>84</v>
      </c>
      <c r="AZ176" s="13" t="s">
        <v>84</v>
      </c>
      <c r="BA176" s="13"/>
      <c r="BB176" s="13" t="s">
        <v>84</v>
      </c>
      <c r="BC176" s="13" t="s">
        <v>80</v>
      </c>
      <c r="BD176" s="13" t="s">
        <v>113</v>
      </c>
      <c r="BE176" s="13" t="s">
        <v>113</v>
      </c>
      <c r="BF176" s="13" t="s">
        <v>100</v>
      </c>
      <c r="BG176" s="13" t="s">
        <v>84</v>
      </c>
      <c r="BH176" s="13" t="s">
        <v>84</v>
      </c>
      <c r="BI176" s="13" t="s">
        <v>2783</v>
      </c>
      <c r="BJ176" s="13" t="s">
        <v>84</v>
      </c>
      <c r="BK176" s="13" t="s">
        <v>80</v>
      </c>
      <c r="BL176" s="13">
        <v>3</v>
      </c>
      <c r="BM176" s="76">
        <v>5</v>
      </c>
      <c r="BN176" s="76">
        <v>2</v>
      </c>
      <c r="BO176" s="76">
        <v>5</v>
      </c>
      <c r="BP176" s="13">
        <v>4</v>
      </c>
      <c r="BQ176" s="13">
        <v>3</v>
      </c>
      <c r="BR176" s="58"/>
      <c r="BS176" s="13" t="s">
        <v>99</v>
      </c>
      <c r="BT176" s="13"/>
      <c r="BU176" s="13"/>
      <c r="BV176" s="13"/>
      <c r="BW176" s="58"/>
      <c r="BX176" s="13" t="s">
        <v>82</v>
      </c>
      <c r="BY176" s="13"/>
      <c r="BZ176" s="13" t="s">
        <v>84</v>
      </c>
      <c r="CA176" s="13" t="s">
        <v>2784</v>
      </c>
      <c r="CB176" s="13" t="s">
        <v>82</v>
      </c>
      <c r="CC176" s="13"/>
      <c r="CD176" s="13" t="s">
        <v>84</v>
      </c>
      <c r="CE176" s="13" t="s">
        <v>2785</v>
      </c>
      <c r="CF176" s="13"/>
      <c r="CG176" s="13"/>
      <c r="CH176" s="58"/>
      <c r="CI176" s="13" t="s">
        <v>84</v>
      </c>
      <c r="CJ176" s="13" t="s">
        <v>2786</v>
      </c>
      <c r="CK176" s="13" t="s">
        <v>82</v>
      </c>
      <c r="CL176" s="13"/>
      <c r="CM176" s="13" t="s">
        <v>82</v>
      </c>
      <c r="CN176" s="13"/>
      <c r="CO176" s="13"/>
      <c r="CP176" s="13"/>
      <c r="CQ176" s="13" t="s">
        <v>99</v>
      </c>
      <c r="CR176" s="13" t="s">
        <v>80</v>
      </c>
      <c r="CS176" s="13" t="s">
        <v>1312</v>
      </c>
      <c r="CT176" s="13" t="s">
        <v>2787</v>
      </c>
      <c r="CU176" s="13" t="s">
        <v>246</v>
      </c>
      <c r="CV176" s="13" t="s">
        <v>2788</v>
      </c>
      <c r="CW176" s="13" t="s">
        <v>84</v>
      </c>
      <c r="CX176" s="13" t="s">
        <v>2789</v>
      </c>
      <c r="CY176" s="13"/>
      <c r="CZ176" s="13"/>
      <c r="DA176" s="13" t="s">
        <v>84</v>
      </c>
      <c r="DB176" s="13" t="s">
        <v>2790</v>
      </c>
      <c r="DC176" s="13" t="s">
        <v>84</v>
      </c>
      <c r="DD176" s="13" t="s">
        <v>84</v>
      </c>
      <c r="DE176" s="58"/>
      <c r="DF176" s="58"/>
      <c r="DG176" s="13">
        <v>2</v>
      </c>
      <c r="DH176" s="13">
        <v>1</v>
      </c>
      <c r="DI176" s="13">
        <v>2</v>
      </c>
      <c r="DJ176" s="13">
        <v>1</v>
      </c>
      <c r="DK176" s="13">
        <v>2</v>
      </c>
      <c r="DL176" s="13">
        <v>1</v>
      </c>
      <c r="DM176" s="13">
        <v>1</v>
      </c>
      <c r="DN176" s="13">
        <v>1</v>
      </c>
      <c r="DO176" s="13">
        <v>3</v>
      </c>
      <c r="DP176" s="13">
        <v>1</v>
      </c>
      <c r="DQ176" s="13">
        <v>2</v>
      </c>
      <c r="DR176" s="13">
        <v>1</v>
      </c>
      <c r="DS176" s="13" t="s">
        <v>99</v>
      </c>
      <c r="DT176" s="13" t="s">
        <v>84</v>
      </c>
      <c r="DU176" s="13"/>
      <c r="DV176" s="13" t="s">
        <v>84</v>
      </c>
      <c r="DW176" s="13" t="s">
        <v>113</v>
      </c>
      <c r="DX176" s="13" t="s">
        <v>81</v>
      </c>
      <c r="DY176" s="13" t="s">
        <v>2791</v>
      </c>
      <c r="DZ176" s="13" t="s">
        <v>93</v>
      </c>
      <c r="EA176" s="13" t="s">
        <v>2792</v>
      </c>
      <c r="EB176" s="13" t="s">
        <v>82</v>
      </c>
      <c r="EC176" s="13"/>
      <c r="ED176" s="13" t="s">
        <v>81</v>
      </c>
      <c r="EE176" s="13" t="s">
        <v>2793</v>
      </c>
      <c r="EF176" s="13" t="s">
        <v>82</v>
      </c>
      <c r="EG176" s="13" t="s">
        <v>84</v>
      </c>
      <c r="EH176" s="13" t="s">
        <v>84</v>
      </c>
      <c r="EI176" s="13" t="s">
        <v>2794</v>
      </c>
      <c r="EJ176" s="13" t="s">
        <v>2211</v>
      </c>
      <c r="EK176" s="13" t="s">
        <v>2795</v>
      </c>
      <c r="EL176" s="13" t="s">
        <v>2796</v>
      </c>
      <c r="EM176" s="9">
        <v>1479.66</v>
      </c>
      <c r="EN176" s="9">
        <v>17.809999999999999</v>
      </c>
      <c r="EQ176" s="9">
        <v>34.979999999999997</v>
      </c>
      <c r="EW176" s="9">
        <v>79.41</v>
      </c>
      <c r="FF176" s="9">
        <v>134.29</v>
      </c>
      <c r="FJ176" s="9">
        <v>14.58</v>
      </c>
      <c r="FP176" s="9">
        <v>29.47</v>
      </c>
      <c r="FV176" s="9">
        <v>162.88999999999999</v>
      </c>
      <c r="GC176" s="9">
        <v>538.72</v>
      </c>
      <c r="GT176" s="9">
        <v>14.41</v>
      </c>
      <c r="GX176" s="9">
        <v>106.19</v>
      </c>
      <c r="HB176" s="9">
        <v>346.91</v>
      </c>
      <c r="HQ176" s="62">
        <f t="shared" si="14"/>
        <v>1479.66</v>
      </c>
      <c r="HR176" s="62">
        <f t="shared" si="15"/>
        <v>24.661000000000001</v>
      </c>
    </row>
    <row r="177" spans="1:226" s="9" customFormat="1" ht="12.75" x14ac:dyDescent="0.2">
      <c r="A177" s="11">
        <v>236</v>
      </c>
      <c r="B177" s="9">
        <v>261</v>
      </c>
      <c r="C177" s="9" t="s">
        <v>83</v>
      </c>
      <c r="D177" s="9">
        <v>11</v>
      </c>
      <c r="E177" s="9" t="s">
        <v>79</v>
      </c>
      <c r="F177" s="9">
        <v>484615912</v>
      </c>
      <c r="G177" s="9" t="s">
        <v>81</v>
      </c>
      <c r="H177" s="9" t="s">
        <v>84</v>
      </c>
      <c r="I177" s="13" t="s">
        <v>161</v>
      </c>
      <c r="J177" s="13"/>
      <c r="K177" s="58"/>
      <c r="L177" s="58"/>
      <c r="M177" s="13" t="s">
        <v>1294</v>
      </c>
      <c r="N177" s="13" t="s">
        <v>108</v>
      </c>
      <c r="O177" s="13"/>
      <c r="P177" s="13" t="s">
        <v>87</v>
      </c>
      <c r="Q177" s="13" t="s">
        <v>1296</v>
      </c>
      <c r="R177" s="58"/>
      <c r="S177" s="13" t="s">
        <v>84</v>
      </c>
      <c r="T177" s="13" t="s">
        <v>84</v>
      </c>
      <c r="U177" s="13" t="s">
        <v>84</v>
      </c>
      <c r="V177" s="13" t="s">
        <v>84</v>
      </c>
      <c r="W177" s="13" t="s">
        <v>82</v>
      </c>
      <c r="X177" s="13" t="s">
        <v>82</v>
      </c>
      <c r="Y177" s="13" t="s">
        <v>84</v>
      </c>
      <c r="Z177" s="13" t="s">
        <v>84</v>
      </c>
      <c r="AA177" s="13"/>
      <c r="AB177" s="13" t="s">
        <v>82</v>
      </c>
      <c r="AC177" s="13"/>
      <c r="AD177" s="13" t="s">
        <v>82</v>
      </c>
      <c r="AE177" s="13"/>
      <c r="AF177" s="13"/>
      <c r="AG177" s="13" t="s">
        <v>82</v>
      </c>
      <c r="AH177" s="13" t="s">
        <v>2797</v>
      </c>
      <c r="AI177" s="13" t="s">
        <v>84</v>
      </c>
      <c r="AJ177" s="13" t="s">
        <v>2798</v>
      </c>
      <c r="AK177" s="13" t="s">
        <v>2799</v>
      </c>
      <c r="AL177" s="13" t="s">
        <v>90</v>
      </c>
      <c r="AM177" s="13" t="s">
        <v>91</v>
      </c>
      <c r="AN177" s="13"/>
      <c r="AO177" s="13" t="s">
        <v>80</v>
      </c>
      <c r="AP177" s="58"/>
      <c r="AQ177" s="13" t="s">
        <v>80</v>
      </c>
      <c r="AR177" s="13" t="s">
        <v>80</v>
      </c>
      <c r="AS177" s="13" t="s">
        <v>80</v>
      </c>
      <c r="AT177" s="13" t="s">
        <v>80</v>
      </c>
      <c r="AU177" s="13"/>
      <c r="AV177" s="58"/>
      <c r="AW177" s="13" t="s">
        <v>84</v>
      </c>
      <c r="AX177" s="13" t="s">
        <v>84</v>
      </c>
      <c r="AY177" s="13" t="s">
        <v>82</v>
      </c>
      <c r="AZ177" s="13" t="s">
        <v>84</v>
      </c>
      <c r="BA177" s="13"/>
      <c r="BB177" s="13" t="s">
        <v>84</v>
      </c>
      <c r="BC177" s="13" t="s">
        <v>80</v>
      </c>
      <c r="BD177" s="13" t="s">
        <v>100</v>
      </c>
      <c r="BE177" s="13" t="s">
        <v>113</v>
      </c>
      <c r="BF177" s="13" t="s">
        <v>112</v>
      </c>
      <c r="BG177" s="13" t="s">
        <v>84</v>
      </c>
      <c r="BH177" s="13" t="s">
        <v>84</v>
      </c>
      <c r="BI177" s="13" t="s">
        <v>2800</v>
      </c>
      <c r="BJ177" s="13" t="s">
        <v>84</v>
      </c>
      <c r="BK177" s="13" t="s">
        <v>80</v>
      </c>
      <c r="BL177" s="13">
        <v>3</v>
      </c>
      <c r="BM177" s="13">
        <v>3</v>
      </c>
      <c r="BN177" s="13">
        <v>3</v>
      </c>
      <c r="BO177" s="13">
        <v>3</v>
      </c>
      <c r="BP177" s="13">
        <v>3</v>
      </c>
      <c r="BQ177" s="13">
        <v>3</v>
      </c>
      <c r="BR177" s="58"/>
      <c r="BS177" s="13" t="s">
        <v>97</v>
      </c>
      <c r="BT177" s="13"/>
      <c r="BU177" s="13" t="s">
        <v>246</v>
      </c>
      <c r="BV177" s="13"/>
      <c r="BW177" s="58"/>
      <c r="BX177" s="13" t="s">
        <v>80</v>
      </c>
      <c r="BY177" s="13"/>
      <c r="BZ177" s="13" t="s">
        <v>80</v>
      </c>
      <c r="CA177" s="13"/>
      <c r="CB177" s="13" t="s">
        <v>80</v>
      </c>
      <c r="CC177" s="13"/>
      <c r="CD177" s="13" t="s">
        <v>80</v>
      </c>
      <c r="CE177" s="13"/>
      <c r="CF177" s="13"/>
      <c r="CG177" s="13"/>
      <c r="CH177" s="58"/>
      <c r="CI177" s="13" t="s">
        <v>84</v>
      </c>
      <c r="CJ177" s="13"/>
      <c r="CK177" s="13" t="s">
        <v>84</v>
      </c>
      <c r="CL177" s="13"/>
      <c r="CM177" s="13" t="s">
        <v>84</v>
      </c>
      <c r="CN177" s="13"/>
      <c r="CO177" s="13"/>
      <c r="CP177" s="13"/>
      <c r="CQ177" s="13" t="s">
        <v>99</v>
      </c>
      <c r="CR177" s="13" t="s">
        <v>80</v>
      </c>
      <c r="CS177" s="13" t="s">
        <v>1312</v>
      </c>
      <c r="CT177" s="13"/>
      <c r="CU177" s="13" t="s">
        <v>81</v>
      </c>
      <c r="CV177" s="13"/>
      <c r="CW177" s="13" t="s">
        <v>84</v>
      </c>
      <c r="CX177" s="13" t="s">
        <v>2801</v>
      </c>
      <c r="CY177" s="13"/>
      <c r="CZ177" s="13"/>
      <c r="DA177" s="13" t="s">
        <v>84</v>
      </c>
      <c r="DB177" s="13" t="s">
        <v>2802</v>
      </c>
      <c r="DC177" s="13" t="s">
        <v>84</v>
      </c>
      <c r="DD177" s="13" t="s">
        <v>82</v>
      </c>
      <c r="DE177" s="58"/>
      <c r="DF177" s="58"/>
      <c r="DG177" s="13">
        <v>1</v>
      </c>
      <c r="DH177" s="13">
        <v>1</v>
      </c>
      <c r="DI177" s="13">
        <v>1</v>
      </c>
      <c r="DJ177" s="13">
        <v>1</v>
      </c>
      <c r="DK177" s="13">
        <v>1</v>
      </c>
      <c r="DL177" s="13">
        <v>1</v>
      </c>
      <c r="DM177" s="13">
        <v>1</v>
      </c>
      <c r="DN177" s="13">
        <v>1</v>
      </c>
      <c r="DO177" s="13">
        <v>1</v>
      </c>
      <c r="DP177" s="13">
        <v>1</v>
      </c>
      <c r="DQ177" s="13">
        <v>1</v>
      </c>
      <c r="DR177" s="13">
        <v>1</v>
      </c>
      <c r="DS177" s="13" t="s">
        <v>99</v>
      </c>
      <c r="DT177" s="13" t="s">
        <v>84</v>
      </c>
      <c r="DU177" s="13"/>
      <c r="DV177" s="13" t="s">
        <v>84</v>
      </c>
      <c r="DW177" s="13" t="s">
        <v>113</v>
      </c>
      <c r="DX177" s="13" t="s">
        <v>81</v>
      </c>
      <c r="DY177" s="13" t="s">
        <v>2803</v>
      </c>
      <c r="DZ177" s="13" t="s">
        <v>93</v>
      </c>
      <c r="EA177" s="13" t="s">
        <v>2804</v>
      </c>
      <c r="EB177" s="13" t="s">
        <v>82</v>
      </c>
      <c r="EC177" s="13"/>
      <c r="ED177" s="13" t="s">
        <v>81</v>
      </c>
      <c r="EE177" s="13"/>
      <c r="EF177" s="13" t="s">
        <v>84</v>
      </c>
      <c r="EG177" s="13" t="s">
        <v>82</v>
      </c>
      <c r="EH177" s="13" t="s">
        <v>84</v>
      </c>
      <c r="EI177" s="13" t="s">
        <v>2805</v>
      </c>
      <c r="EJ177" s="13" t="s">
        <v>2805</v>
      </c>
      <c r="EK177" s="13" t="s">
        <v>2805</v>
      </c>
      <c r="EL177" s="13" t="s">
        <v>2806</v>
      </c>
      <c r="EM177" s="9">
        <v>2651.42</v>
      </c>
      <c r="EN177" s="9">
        <v>34.81</v>
      </c>
      <c r="EQ177" s="9">
        <v>137.22</v>
      </c>
      <c r="EW177" s="9">
        <v>83.03</v>
      </c>
      <c r="FF177" s="9">
        <v>673.65</v>
      </c>
      <c r="FJ177" s="9">
        <v>28.97</v>
      </c>
      <c r="FP177" s="9">
        <v>108.01</v>
      </c>
      <c r="FV177" s="9">
        <v>378.35</v>
      </c>
      <c r="GC177" s="9">
        <v>423.62</v>
      </c>
      <c r="GT177" s="9">
        <v>19.16</v>
      </c>
      <c r="GX177" s="9">
        <v>159.94</v>
      </c>
      <c r="HB177" s="9">
        <v>604.66</v>
      </c>
      <c r="HQ177" s="62">
        <f t="shared" si="14"/>
        <v>2651.42</v>
      </c>
      <c r="HR177" s="62">
        <f t="shared" si="15"/>
        <v>44.190333333333335</v>
      </c>
    </row>
    <row r="178" spans="1:226" s="9" customFormat="1" ht="12.75" x14ac:dyDescent="0.2">
      <c r="A178" s="11">
        <v>237</v>
      </c>
      <c r="B178" s="9">
        <v>262</v>
      </c>
      <c r="C178" s="9" t="s">
        <v>83</v>
      </c>
      <c r="D178" s="9">
        <v>11</v>
      </c>
      <c r="E178" s="9" t="s">
        <v>79</v>
      </c>
      <c r="F178" s="9">
        <v>976313992</v>
      </c>
      <c r="G178" s="9" t="s">
        <v>81</v>
      </c>
      <c r="H178" s="9" t="s">
        <v>84</v>
      </c>
      <c r="I178" s="13" t="s">
        <v>119</v>
      </c>
      <c r="J178" s="13" t="s">
        <v>2807</v>
      </c>
      <c r="K178" s="58"/>
      <c r="L178" s="58"/>
      <c r="M178" s="13" t="s">
        <v>1319</v>
      </c>
      <c r="N178" s="13" t="s">
        <v>618</v>
      </c>
      <c r="O178" s="13"/>
      <c r="P178" s="13" t="s">
        <v>87</v>
      </c>
      <c r="Q178" s="13" t="s">
        <v>1358</v>
      </c>
      <c r="R178" s="58"/>
      <c r="S178" s="13" t="s">
        <v>84</v>
      </c>
      <c r="T178" s="13" t="s">
        <v>84</v>
      </c>
      <c r="U178" s="13" t="s">
        <v>82</v>
      </c>
      <c r="V178" s="13" t="s">
        <v>84</v>
      </c>
      <c r="W178" s="13" t="s">
        <v>82</v>
      </c>
      <c r="X178" s="13" t="s">
        <v>84</v>
      </c>
      <c r="Y178" s="13" t="s">
        <v>82</v>
      </c>
      <c r="Z178" s="13" t="s">
        <v>82</v>
      </c>
      <c r="AA178" s="13"/>
      <c r="AB178" s="13" t="s">
        <v>84</v>
      </c>
      <c r="AC178" s="13" t="s">
        <v>2808</v>
      </c>
      <c r="AD178" s="13" t="s">
        <v>84</v>
      </c>
      <c r="AE178" s="13" t="s">
        <v>2809</v>
      </c>
      <c r="AF178" s="13" t="s">
        <v>2810</v>
      </c>
      <c r="AG178" s="13" t="s">
        <v>80</v>
      </c>
      <c r="AH178" s="13"/>
      <c r="AI178" s="13" t="s">
        <v>84</v>
      </c>
      <c r="AJ178" s="13"/>
      <c r="AK178" s="13" t="s">
        <v>2811</v>
      </c>
      <c r="AL178" s="13" t="s">
        <v>140</v>
      </c>
      <c r="AM178" s="13" t="s">
        <v>111</v>
      </c>
      <c r="AN178" s="13"/>
      <c r="AO178" s="13" t="s">
        <v>80</v>
      </c>
      <c r="AP178" s="58"/>
      <c r="AQ178" s="13" t="s">
        <v>82</v>
      </c>
      <c r="AR178" s="13" t="s">
        <v>82</v>
      </c>
      <c r="AS178" s="13" t="s">
        <v>84</v>
      </c>
      <c r="AT178" s="13" t="s">
        <v>84</v>
      </c>
      <c r="AU178" s="13"/>
      <c r="AV178" s="58"/>
      <c r="AW178" s="13" t="s">
        <v>80</v>
      </c>
      <c r="AX178" s="13" t="s">
        <v>80</v>
      </c>
      <c r="AY178" s="13" t="s">
        <v>80</v>
      </c>
      <c r="AZ178" s="13" t="s">
        <v>80</v>
      </c>
      <c r="BA178" s="13"/>
      <c r="BB178" s="13" t="s">
        <v>84</v>
      </c>
      <c r="BC178" s="13" t="s">
        <v>80</v>
      </c>
      <c r="BD178" s="13" t="s">
        <v>113</v>
      </c>
      <c r="BE178" s="13" t="s">
        <v>113</v>
      </c>
      <c r="BF178" s="13" t="s">
        <v>100</v>
      </c>
      <c r="BG178" s="13" t="s">
        <v>84</v>
      </c>
      <c r="BH178" s="13" t="s">
        <v>84</v>
      </c>
      <c r="BI178" s="13" t="s">
        <v>2812</v>
      </c>
      <c r="BJ178" s="13" t="s">
        <v>84</v>
      </c>
      <c r="BK178" s="13" t="s">
        <v>80</v>
      </c>
      <c r="BL178" s="13">
        <v>3</v>
      </c>
      <c r="BM178" s="13">
        <v>3</v>
      </c>
      <c r="BN178" s="13">
        <v>1</v>
      </c>
      <c r="BO178" s="13">
        <v>1</v>
      </c>
      <c r="BP178" s="13">
        <v>4</v>
      </c>
      <c r="BQ178" s="13">
        <v>2</v>
      </c>
      <c r="BR178" s="58"/>
      <c r="BS178" s="13" t="s">
        <v>99</v>
      </c>
      <c r="BT178" s="13"/>
      <c r="BU178" s="13"/>
      <c r="BV178" s="13"/>
      <c r="BW178" s="58"/>
      <c r="BX178" s="13" t="s">
        <v>82</v>
      </c>
      <c r="BY178" s="13"/>
      <c r="BZ178" s="13" t="s">
        <v>84</v>
      </c>
      <c r="CA178" s="13" t="s">
        <v>2813</v>
      </c>
      <c r="CB178" s="13" t="s">
        <v>82</v>
      </c>
      <c r="CC178" s="13"/>
      <c r="CD178" s="13" t="s">
        <v>82</v>
      </c>
      <c r="CE178" s="13"/>
      <c r="CF178" s="13"/>
      <c r="CG178" s="13"/>
      <c r="CH178" s="58"/>
      <c r="CI178" s="13" t="s">
        <v>84</v>
      </c>
      <c r="CJ178" s="13" t="s">
        <v>2814</v>
      </c>
      <c r="CK178" s="13" t="s">
        <v>82</v>
      </c>
      <c r="CL178" s="13"/>
      <c r="CM178" s="13" t="s">
        <v>84</v>
      </c>
      <c r="CN178" s="13" t="s">
        <v>2815</v>
      </c>
      <c r="CO178" s="13"/>
      <c r="CP178" s="13"/>
      <c r="CQ178" s="13" t="s">
        <v>99</v>
      </c>
      <c r="CR178" s="13" t="s">
        <v>80</v>
      </c>
      <c r="CS178" s="13" t="s">
        <v>1312</v>
      </c>
      <c r="CT178" s="13" t="s">
        <v>2816</v>
      </c>
      <c r="CU178" s="13" t="s">
        <v>246</v>
      </c>
      <c r="CV178" s="13"/>
      <c r="CW178" s="13" t="s">
        <v>84</v>
      </c>
      <c r="CX178" s="13" t="s">
        <v>2817</v>
      </c>
      <c r="CY178" s="13"/>
      <c r="CZ178" s="13"/>
      <c r="DA178" s="13" t="s">
        <v>82</v>
      </c>
      <c r="DB178" s="13"/>
      <c r="DC178" s="13" t="s">
        <v>84</v>
      </c>
      <c r="DD178" s="13" t="s">
        <v>82</v>
      </c>
      <c r="DE178" s="58"/>
      <c r="DF178" s="58"/>
      <c r="DG178" s="13">
        <v>2</v>
      </c>
      <c r="DH178" s="13">
        <v>2</v>
      </c>
      <c r="DI178" s="13">
        <v>4</v>
      </c>
      <c r="DJ178" s="13">
        <v>4</v>
      </c>
      <c r="DK178" s="13">
        <v>4</v>
      </c>
      <c r="DL178" s="13">
        <v>4</v>
      </c>
      <c r="DM178" s="13">
        <v>2</v>
      </c>
      <c r="DN178" s="13">
        <v>3</v>
      </c>
      <c r="DO178" s="13">
        <v>3</v>
      </c>
      <c r="DP178" s="13">
        <v>3</v>
      </c>
      <c r="DQ178" s="13">
        <v>2</v>
      </c>
      <c r="DR178" s="13">
        <v>3</v>
      </c>
      <c r="DS178" s="13" t="s">
        <v>118</v>
      </c>
      <c r="DT178" s="13" t="s">
        <v>106</v>
      </c>
      <c r="DU178" s="13"/>
      <c r="DV178" s="13" t="s">
        <v>84</v>
      </c>
      <c r="DW178" s="13" t="s">
        <v>100</v>
      </c>
      <c r="DX178" s="13" t="s">
        <v>81</v>
      </c>
      <c r="DY178" s="13" t="s">
        <v>2818</v>
      </c>
      <c r="DZ178" s="13" t="s">
        <v>100</v>
      </c>
      <c r="EA178" s="13" t="s">
        <v>2819</v>
      </c>
      <c r="EB178" s="13" t="s">
        <v>84</v>
      </c>
      <c r="EC178" s="13"/>
      <c r="ED178" s="13"/>
      <c r="EE178" s="13"/>
      <c r="EF178" s="13" t="s">
        <v>82</v>
      </c>
      <c r="EG178" s="13" t="s">
        <v>82</v>
      </c>
      <c r="EH178" s="13" t="s">
        <v>82</v>
      </c>
      <c r="EI178" s="13"/>
      <c r="EJ178" s="13" t="s">
        <v>2820</v>
      </c>
      <c r="EK178" s="13" t="s">
        <v>2821</v>
      </c>
      <c r="EL178" s="13" t="s">
        <v>2822</v>
      </c>
      <c r="EM178" s="9">
        <v>1246.6600000000001</v>
      </c>
      <c r="EN178" s="9">
        <v>6.83</v>
      </c>
      <c r="EQ178" s="9">
        <v>74.95</v>
      </c>
      <c r="EW178" s="9">
        <v>129.91999999999999</v>
      </c>
      <c r="FF178" s="9">
        <v>47.18</v>
      </c>
      <c r="FJ178" s="9">
        <v>23.2</v>
      </c>
      <c r="FP178" s="9">
        <v>28.66</v>
      </c>
      <c r="FV178" s="9">
        <v>154.63999999999999</v>
      </c>
      <c r="GC178" s="9">
        <v>322.77</v>
      </c>
      <c r="GT178" s="9">
        <v>30.04</v>
      </c>
      <c r="GX178" s="9">
        <v>151.54</v>
      </c>
      <c r="HB178" s="9">
        <v>276.93</v>
      </c>
      <c r="HQ178" s="62">
        <f t="shared" si="14"/>
        <v>1246.6600000000001</v>
      </c>
      <c r="HR178" s="62">
        <f t="shared" si="15"/>
        <v>20.777666666666669</v>
      </c>
    </row>
    <row r="179" spans="1:226" s="9" customFormat="1" ht="12.75" x14ac:dyDescent="0.2">
      <c r="A179" s="11">
        <v>238</v>
      </c>
      <c r="B179" s="9">
        <v>263</v>
      </c>
      <c r="C179" s="9" t="s">
        <v>83</v>
      </c>
      <c r="D179" s="9">
        <v>11</v>
      </c>
      <c r="E179" s="9" t="s">
        <v>79</v>
      </c>
      <c r="F179" s="9">
        <v>802172768</v>
      </c>
      <c r="G179" s="9" t="s">
        <v>81</v>
      </c>
      <c r="H179" s="9" t="s">
        <v>84</v>
      </c>
      <c r="I179" s="13" t="s">
        <v>107</v>
      </c>
      <c r="J179" s="13"/>
      <c r="K179" s="58"/>
      <c r="L179" s="58"/>
      <c r="M179" s="13" t="s">
        <v>1319</v>
      </c>
      <c r="N179" s="13" t="s">
        <v>618</v>
      </c>
      <c r="O179" s="13"/>
      <c r="P179" s="13" t="s">
        <v>87</v>
      </c>
      <c r="Q179" s="13" t="s">
        <v>1320</v>
      </c>
      <c r="R179" s="58"/>
      <c r="S179" s="13" t="s">
        <v>84</v>
      </c>
      <c r="T179" s="13" t="s">
        <v>84</v>
      </c>
      <c r="U179" s="13" t="s">
        <v>84</v>
      </c>
      <c r="V179" s="13" t="s">
        <v>84</v>
      </c>
      <c r="W179" s="13" t="s">
        <v>82</v>
      </c>
      <c r="X179" s="13" t="s">
        <v>84</v>
      </c>
      <c r="Y179" s="13" t="s">
        <v>84</v>
      </c>
      <c r="Z179" s="13" t="s">
        <v>82</v>
      </c>
      <c r="AA179" s="13"/>
      <c r="AB179" s="13" t="s">
        <v>82</v>
      </c>
      <c r="AC179" s="13"/>
      <c r="AD179" s="13" t="s">
        <v>82</v>
      </c>
      <c r="AE179" s="13"/>
      <c r="AF179" s="13"/>
      <c r="AG179" s="13" t="s">
        <v>82</v>
      </c>
      <c r="AH179" s="13"/>
      <c r="AI179" s="13" t="s">
        <v>84</v>
      </c>
      <c r="AJ179" s="13"/>
      <c r="AK179" s="13" t="s">
        <v>2823</v>
      </c>
      <c r="AL179" s="13" t="s">
        <v>126</v>
      </c>
      <c r="AM179" s="13" t="s">
        <v>91</v>
      </c>
      <c r="AN179" s="13"/>
      <c r="AO179" s="13" t="s">
        <v>80</v>
      </c>
      <c r="AP179" s="58"/>
      <c r="AQ179" s="13" t="s">
        <v>80</v>
      </c>
      <c r="AR179" s="13" t="s">
        <v>80</v>
      </c>
      <c r="AS179" s="13" t="s">
        <v>80</v>
      </c>
      <c r="AT179" s="13" t="s">
        <v>80</v>
      </c>
      <c r="AU179" s="13"/>
      <c r="AV179" s="58"/>
      <c r="AW179" s="13" t="s">
        <v>84</v>
      </c>
      <c r="AX179" s="13" t="s">
        <v>84</v>
      </c>
      <c r="AY179" s="13" t="s">
        <v>84</v>
      </c>
      <c r="AZ179" s="13" t="s">
        <v>84</v>
      </c>
      <c r="BA179" s="13"/>
      <c r="BB179" s="13" t="s">
        <v>84</v>
      </c>
      <c r="BC179" s="13" t="s">
        <v>80</v>
      </c>
      <c r="BD179" s="13" t="s">
        <v>113</v>
      </c>
      <c r="BE179" s="13" t="s">
        <v>113</v>
      </c>
      <c r="BF179" s="13" t="s">
        <v>100</v>
      </c>
      <c r="BG179" s="13" t="s">
        <v>82</v>
      </c>
      <c r="BH179" s="13" t="s">
        <v>84</v>
      </c>
      <c r="BI179" s="13" t="s">
        <v>2824</v>
      </c>
      <c r="BJ179" s="13" t="s">
        <v>84</v>
      </c>
      <c r="BK179" s="13" t="s">
        <v>80</v>
      </c>
      <c r="BL179" s="13">
        <v>5</v>
      </c>
      <c r="BM179" s="13">
        <v>5</v>
      </c>
      <c r="BN179" s="13">
        <v>1</v>
      </c>
      <c r="BO179" s="13">
        <v>1</v>
      </c>
      <c r="BP179" s="13">
        <v>5</v>
      </c>
      <c r="BQ179" s="13">
        <v>3</v>
      </c>
      <c r="BR179" s="58"/>
      <c r="BS179" s="13" t="s">
        <v>97</v>
      </c>
      <c r="BT179" s="13"/>
      <c r="BU179" s="13" t="s">
        <v>81</v>
      </c>
      <c r="BV179" s="13" t="s">
        <v>2825</v>
      </c>
      <c r="BW179" s="58"/>
      <c r="BX179" s="13" t="s">
        <v>80</v>
      </c>
      <c r="BY179" s="13"/>
      <c r="BZ179" s="13" t="s">
        <v>80</v>
      </c>
      <c r="CA179" s="13"/>
      <c r="CB179" s="13" t="s">
        <v>80</v>
      </c>
      <c r="CC179" s="13"/>
      <c r="CD179" s="13" t="s">
        <v>80</v>
      </c>
      <c r="CE179" s="13"/>
      <c r="CF179" s="13"/>
      <c r="CG179" s="13"/>
      <c r="CH179" s="58"/>
      <c r="CI179" s="13" t="s">
        <v>84</v>
      </c>
      <c r="CJ179" s="13" t="s">
        <v>2826</v>
      </c>
      <c r="CK179" s="13" t="s">
        <v>84</v>
      </c>
      <c r="CL179" s="13" t="s">
        <v>2827</v>
      </c>
      <c r="CM179" s="13" t="s">
        <v>82</v>
      </c>
      <c r="CN179" s="13"/>
      <c r="CO179" s="13"/>
      <c r="CP179" s="13"/>
      <c r="CQ179" s="13" t="s">
        <v>97</v>
      </c>
      <c r="CR179" s="13" t="s">
        <v>84</v>
      </c>
      <c r="CS179" s="13" t="s">
        <v>97</v>
      </c>
      <c r="CT179" s="13"/>
      <c r="CU179" s="13" t="s">
        <v>81</v>
      </c>
      <c r="CV179" s="13"/>
      <c r="CW179" s="13" t="s">
        <v>82</v>
      </c>
      <c r="CX179" s="13"/>
      <c r="CY179" s="13" t="s">
        <v>81</v>
      </c>
      <c r="CZ179" s="13"/>
      <c r="DA179" s="13" t="s">
        <v>82</v>
      </c>
      <c r="DB179" s="13"/>
      <c r="DC179" s="13" t="s">
        <v>84</v>
      </c>
      <c r="DD179" s="13" t="s">
        <v>82</v>
      </c>
      <c r="DE179" s="58"/>
      <c r="DF179" s="58"/>
      <c r="DG179" s="13">
        <v>4</v>
      </c>
      <c r="DH179" s="13">
        <v>1</v>
      </c>
      <c r="DI179" s="13">
        <v>4</v>
      </c>
      <c r="DJ179" s="13">
        <v>2</v>
      </c>
      <c r="DK179" s="13">
        <v>4</v>
      </c>
      <c r="DL179" s="13">
        <v>3</v>
      </c>
      <c r="DM179" s="13">
        <v>5</v>
      </c>
      <c r="DN179" s="13">
        <v>3</v>
      </c>
      <c r="DO179" s="13">
        <v>3</v>
      </c>
      <c r="DP179" s="13">
        <v>1</v>
      </c>
      <c r="DQ179" s="13">
        <v>4</v>
      </c>
      <c r="DR179" s="13">
        <v>1</v>
      </c>
      <c r="DS179" s="13" t="s">
        <v>97</v>
      </c>
      <c r="DT179" s="13" t="s">
        <v>84</v>
      </c>
      <c r="DU179" s="13"/>
      <c r="DV179" s="13" t="s">
        <v>84</v>
      </c>
      <c r="DW179" s="13" t="s">
        <v>113</v>
      </c>
      <c r="DX179" s="13" t="s">
        <v>81</v>
      </c>
      <c r="DY179" s="13"/>
      <c r="DZ179" s="13" t="s">
        <v>93</v>
      </c>
      <c r="EA179" s="13" t="s">
        <v>2828</v>
      </c>
      <c r="EB179" s="13" t="s">
        <v>82</v>
      </c>
      <c r="EC179" s="13"/>
      <c r="ED179" s="13" t="s">
        <v>81</v>
      </c>
      <c r="EE179" s="13"/>
      <c r="EF179" s="13" t="s">
        <v>82</v>
      </c>
      <c r="EG179" s="13" t="s">
        <v>82</v>
      </c>
      <c r="EH179" s="13" t="s">
        <v>82</v>
      </c>
      <c r="EI179" s="13"/>
      <c r="EJ179" s="13" t="s">
        <v>2829</v>
      </c>
      <c r="EK179" s="13" t="s">
        <v>2830</v>
      </c>
      <c r="EL179" s="13" t="s">
        <v>2831</v>
      </c>
      <c r="EM179" s="9">
        <v>1043.07</v>
      </c>
      <c r="EN179" s="9">
        <v>11.43</v>
      </c>
      <c r="EQ179" s="9">
        <v>292.27999999999997</v>
      </c>
      <c r="EW179" s="9">
        <v>37.18</v>
      </c>
      <c r="FF179" s="9">
        <v>200.92</v>
      </c>
      <c r="FJ179" s="9">
        <v>16.989999999999998</v>
      </c>
      <c r="FP179" s="9">
        <v>27.56</v>
      </c>
      <c r="FV179" s="9">
        <v>60.51</v>
      </c>
      <c r="GC179" s="9">
        <v>189.3</v>
      </c>
      <c r="GT179" s="9">
        <v>10.88</v>
      </c>
      <c r="GX179" s="9">
        <v>19.95</v>
      </c>
      <c r="HB179" s="9">
        <v>176.07</v>
      </c>
      <c r="HQ179" s="62">
        <f t="shared" si="14"/>
        <v>1043.07</v>
      </c>
      <c r="HR179" s="62">
        <f t="shared" si="15"/>
        <v>17.384499999999999</v>
      </c>
    </row>
    <row r="180" spans="1:226" s="13" customFormat="1" ht="12.75" x14ac:dyDescent="0.2">
      <c r="A180" s="11">
        <v>239</v>
      </c>
      <c r="B180" s="13">
        <v>266</v>
      </c>
      <c r="C180" s="13" t="s">
        <v>83</v>
      </c>
      <c r="D180" s="13">
        <v>11</v>
      </c>
      <c r="E180" s="13" t="s">
        <v>79</v>
      </c>
      <c r="F180" s="13">
        <v>1920198598</v>
      </c>
      <c r="G180" s="13" t="s">
        <v>81</v>
      </c>
      <c r="H180" s="13" t="s">
        <v>84</v>
      </c>
      <c r="I180" s="13" t="s">
        <v>105</v>
      </c>
      <c r="K180" s="58"/>
      <c r="L180" s="58"/>
      <c r="M180" s="13" t="s">
        <v>1319</v>
      </c>
      <c r="N180" s="13" t="s">
        <v>618</v>
      </c>
      <c r="P180" s="13" t="s">
        <v>87</v>
      </c>
      <c r="Q180" s="13" t="s">
        <v>1296</v>
      </c>
      <c r="R180" s="58"/>
      <c r="S180" s="13" t="s">
        <v>84</v>
      </c>
      <c r="T180" s="13" t="s">
        <v>84</v>
      </c>
      <c r="U180" s="13" t="s">
        <v>84</v>
      </c>
      <c r="V180" s="13" t="s">
        <v>82</v>
      </c>
      <c r="W180" s="13" t="s">
        <v>82</v>
      </c>
      <c r="X180" s="13" t="s">
        <v>84</v>
      </c>
      <c r="Y180" s="13" t="s">
        <v>84</v>
      </c>
      <c r="Z180" s="13" t="s">
        <v>84</v>
      </c>
      <c r="AB180" s="13" t="s">
        <v>84</v>
      </c>
      <c r="AC180" s="13" t="s">
        <v>982</v>
      </c>
      <c r="AD180" s="13" t="s">
        <v>82</v>
      </c>
      <c r="AG180" s="13" t="s">
        <v>84</v>
      </c>
      <c r="AH180" s="13" t="s">
        <v>2832</v>
      </c>
      <c r="AI180" s="13" t="s">
        <v>84</v>
      </c>
      <c r="AK180" s="13" t="s">
        <v>2833</v>
      </c>
      <c r="AL180" s="13" t="s">
        <v>126</v>
      </c>
      <c r="AM180" s="13" t="s">
        <v>91</v>
      </c>
      <c r="AO180" s="13" t="s">
        <v>80</v>
      </c>
      <c r="AP180" s="58"/>
      <c r="AQ180" s="13" t="s">
        <v>80</v>
      </c>
      <c r="AR180" s="13" t="s">
        <v>80</v>
      </c>
      <c r="AS180" s="13" t="s">
        <v>80</v>
      </c>
      <c r="AT180" s="13" t="s">
        <v>80</v>
      </c>
      <c r="AV180" s="58"/>
      <c r="AW180" s="13" t="s">
        <v>84</v>
      </c>
      <c r="AX180" s="13" t="s">
        <v>84</v>
      </c>
      <c r="AY180" s="13" t="s">
        <v>84</v>
      </c>
      <c r="AZ180" s="13" t="s">
        <v>84</v>
      </c>
      <c r="BB180" s="13" t="s">
        <v>84</v>
      </c>
      <c r="BC180" s="13" t="s">
        <v>80</v>
      </c>
      <c r="BD180" s="13" t="s">
        <v>113</v>
      </c>
      <c r="BE180" s="13" t="s">
        <v>113</v>
      </c>
      <c r="BF180" s="13" t="s">
        <v>100</v>
      </c>
      <c r="BG180" s="13" t="s">
        <v>84</v>
      </c>
      <c r="BH180" s="13" t="s">
        <v>84</v>
      </c>
      <c r="BI180" s="13" t="s">
        <v>2834</v>
      </c>
      <c r="BJ180" s="13" t="s">
        <v>84</v>
      </c>
      <c r="BK180" s="13" t="s">
        <v>80</v>
      </c>
      <c r="BL180" s="13">
        <v>2</v>
      </c>
      <c r="BM180" s="13">
        <v>3</v>
      </c>
      <c r="BN180" s="13">
        <v>1</v>
      </c>
      <c r="BO180" s="13">
        <v>1</v>
      </c>
      <c r="BP180" s="13">
        <v>5</v>
      </c>
      <c r="BQ180" s="13">
        <v>5</v>
      </c>
      <c r="BR180" s="58"/>
      <c r="BS180" s="13" t="s">
        <v>119</v>
      </c>
      <c r="BT180" s="13" t="s">
        <v>2835</v>
      </c>
      <c r="BU180" s="13" t="s">
        <v>81</v>
      </c>
      <c r="BV180" s="13" t="s">
        <v>2836</v>
      </c>
      <c r="BW180" s="58"/>
      <c r="BX180" s="13" t="s">
        <v>84</v>
      </c>
      <c r="BY180" s="13" t="s">
        <v>2177</v>
      </c>
      <c r="BZ180" s="13" t="s">
        <v>82</v>
      </c>
      <c r="CB180" s="13" t="s">
        <v>82</v>
      </c>
      <c r="CD180" s="13" t="s">
        <v>82</v>
      </c>
      <c r="CH180" s="58"/>
      <c r="CI180" s="13" t="s">
        <v>82</v>
      </c>
      <c r="CK180" s="13" t="s">
        <v>84</v>
      </c>
      <c r="CM180" s="13" t="s">
        <v>84</v>
      </c>
      <c r="CQ180" s="13" t="s">
        <v>118</v>
      </c>
      <c r="CR180" s="13" t="s">
        <v>84</v>
      </c>
      <c r="CS180" s="13" t="s">
        <v>97</v>
      </c>
      <c r="CU180" s="13" t="s">
        <v>246</v>
      </c>
      <c r="CW180" s="13" t="s">
        <v>82</v>
      </c>
      <c r="CY180" s="13" t="s">
        <v>81</v>
      </c>
      <c r="CZ180" s="13" t="s">
        <v>2837</v>
      </c>
      <c r="DA180" s="13" t="s">
        <v>82</v>
      </c>
      <c r="DC180" s="13" t="s">
        <v>84</v>
      </c>
      <c r="DD180" s="13" t="s">
        <v>84</v>
      </c>
      <c r="DE180" s="58"/>
      <c r="DF180" s="58"/>
      <c r="DG180" s="13">
        <v>1</v>
      </c>
      <c r="DH180" s="13">
        <v>2</v>
      </c>
      <c r="DI180" s="13">
        <v>1</v>
      </c>
      <c r="DJ180" s="13">
        <v>3</v>
      </c>
      <c r="DK180" s="13">
        <v>1</v>
      </c>
      <c r="DL180" s="13">
        <v>1</v>
      </c>
      <c r="DM180" s="13">
        <v>1</v>
      </c>
      <c r="DN180" s="13">
        <v>3</v>
      </c>
      <c r="DO180" s="13">
        <v>1</v>
      </c>
      <c r="DP180" s="13">
        <v>2</v>
      </c>
      <c r="DQ180" s="13">
        <v>3</v>
      </c>
      <c r="DR180" s="13">
        <v>1</v>
      </c>
      <c r="DS180" s="13" t="s">
        <v>118</v>
      </c>
      <c r="DT180" s="13" t="s">
        <v>106</v>
      </c>
      <c r="DV180" s="13" t="s">
        <v>84</v>
      </c>
      <c r="DW180" s="13" t="s">
        <v>100</v>
      </c>
      <c r="DX180" s="13" t="s">
        <v>81</v>
      </c>
      <c r="DZ180" s="13" t="s">
        <v>113</v>
      </c>
      <c r="EA180" s="13" t="s">
        <v>2838</v>
      </c>
      <c r="EB180" s="13" t="s">
        <v>82</v>
      </c>
      <c r="ED180" s="13" t="s">
        <v>246</v>
      </c>
      <c r="EF180" s="13" t="s">
        <v>84</v>
      </c>
      <c r="EG180" s="13" t="s">
        <v>84</v>
      </c>
      <c r="EH180" s="13" t="s">
        <v>82</v>
      </c>
      <c r="EJ180" s="13" t="s">
        <v>2839</v>
      </c>
      <c r="EK180" s="13" t="s">
        <v>2840</v>
      </c>
      <c r="EL180" s="13" t="s">
        <v>2841</v>
      </c>
      <c r="EM180" s="13">
        <v>3444.62</v>
      </c>
      <c r="EN180" s="13">
        <v>695.68</v>
      </c>
      <c r="EQ180" s="13">
        <v>70.64</v>
      </c>
      <c r="EW180" s="13">
        <v>104.87</v>
      </c>
      <c r="FF180" s="13">
        <v>63.83</v>
      </c>
      <c r="FJ180" s="13">
        <v>29.1</v>
      </c>
      <c r="FP180" s="13">
        <v>36.79</v>
      </c>
      <c r="FV180" s="13">
        <v>200.64</v>
      </c>
      <c r="GC180" s="13">
        <v>1612.63</v>
      </c>
      <c r="GT180" s="13">
        <v>20.53</v>
      </c>
      <c r="GX180" s="13">
        <v>22.07</v>
      </c>
      <c r="HB180" s="13">
        <v>587.84</v>
      </c>
      <c r="HQ180" s="62">
        <f t="shared" si="14"/>
        <v>3444.62</v>
      </c>
      <c r="HR180" s="62">
        <f t="shared" si="15"/>
        <v>57.410333333333334</v>
      </c>
    </row>
    <row r="181" spans="1:226" s="32" customFormat="1" ht="12.75" x14ac:dyDescent="0.2">
      <c r="A181" s="33">
        <v>240</v>
      </c>
      <c r="B181" s="32">
        <v>267</v>
      </c>
      <c r="D181" s="32">
        <v>5</v>
      </c>
      <c r="E181" s="32" t="s">
        <v>79</v>
      </c>
      <c r="F181" s="32">
        <v>2099495407</v>
      </c>
      <c r="G181" s="32" t="s">
        <v>81</v>
      </c>
      <c r="H181" s="32" t="s">
        <v>84</v>
      </c>
      <c r="I181" s="32" t="s">
        <v>107</v>
      </c>
      <c r="K181" s="58"/>
      <c r="L181" s="58"/>
      <c r="M181" s="32" t="s">
        <v>1294</v>
      </c>
      <c r="N181" s="32" t="s">
        <v>86</v>
      </c>
      <c r="P181" s="32" t="s">
        <v>253</v>
      </c>
      <c r="Q181" s="32" t="s">
        <v>1296</v>
      </c>
      <c r="R181" s="58"/>
      <c r="S181" s="32" t="s">
        <v>84</v>
      </c>
      <c r="T181" s="32" t="s">
        <v>84</v>
      </c>
      <c r="U181" s="32" t="s">
        <v>84</v>
      </c>
      <c r="V181" s="32" t="s">
        <v>84</v>
      </c>
      <c r="W181" s="32" t="s">
        <v>82</v>
      </c>
      <c r="X181" s="32" t="s">
        <v>82</v>
      </c>
      <c r="Y181" s="32" t="s">
        <v>82</v>
      </c>
      <c r="Z181" s="32" t="s">
        <v>82</v>
      </c>
      <c r="AB181" s="32" t="s">
        <v>82</v>
      </c>
      <c r="AD181" s="32" t="s">
        <v>84</v>
      </c>
      <c r="AE181" s="32" t="s">
        <v>2855</v>
      </c>
      <c r="AG181" s="32" t="s">
        <v>80</v>
      </c>
      <c r="AI181" s="32" t="s">
        <v>82</v>
      </c>
      <c r="AL181" s="32" t="s">
        <v>90</v>
      </c>
      <c r="AM181" s="32" t="s">
        <v>91</v>
      </c>
      <c r="AO181" s="32" t="s">
        <v>80</v>
      </c>
      <c r="AP181" s="58"/>
      <c r="AQ181" s="32" t="s">
        <v>80</v>
      </c>
      <c r="AR181" s="32" t="s">
        <v>80</v>
      </c>
      <c r="AS181" s="32" t="s">
        <v>80</v>
      </c>
      <c r="AT181" s="32" t="s">
        <v>80</v>
      </c>
      <c r="AV181" s="58"/>
      <c r="AW181" s="32" t="s">
        <v>84</v>
      </c>
      <c r="AX181" s="32" t="s">
        <v>82</v>
      </c>
      <c r="AY181" s="32" t="s">
        <v>84</v>
      </c>
      <c r="AZ181" s="32" t="s">
        <v>84</v>
      </c>
      <c r="BB181" s="32" t="s">
        <v>80</v>
      </c>
      <c r="BC181" s="32" t="s">
        <v>80</v>
      </c>
      <c r="BH181" s="32" t="s">
        <v>80</v>
      </c>
      <c r="BJ181" s="32" t="s">
        <v>80</v>
      </c>
      <c r="BK181" s="32" t="s">
        <v>80</v>
      </c>
      <c r="BR181" s="58"/>
      <c r="BW181" s="58"/>
      <c r="BX181" s="32" t="s">
        <v>80</v>
      </c>
      <c r="BZ181" s="32" t="s">
        <v>80</v>
      </c>
      <c r="CB181" s="32" t="s">
        <v>80</v>
      </c>
      <c r="CD181" s="32" t="s">
        <v>80</v>
      </c>
      <c r="CH181" s="58"/>
      <c r="CI181" s="32" t="s">
        <v>80</v>
      </c>
      <c r="CK181" s="32" t="s">
        <v>80</v>
      </c>
      <c r="CM181" s="32" t="s">
        <v>80</v>
      </c>
      <c r="CR181" s="32" t="s">
        <v>80</v>
      </c>
      <c r="CW181" s="32" t="s">
        <v>80</v>
      </c>
      <c r="DA181" s="32" t="s">
        <v>80</v>
      </c>
      <c r="DC181" s="32" t="s">
        <v>80</v>
      </c>
      <c r="DD181" s="32" t="s">
        <v>80</v>
      </c>
      <c r="DE181" s="58"/>
      <c r="DF181" s="58"/>
      <c r="DV181" s="32" t="s">
        <v>80</v>
      </c>
      <c r="EB181" s="32" t="s">
        <v>80</v>
      </c>
      <c r="EF181" s="32" t="s">
        <v>80</v>
      </c>
      <c r="EG181" s="32" t="s">
        <v>80</v>
      </c>
      <c r="EH181" s="32" t="s">
        <v>80</v>
      </c>
      <c r="EM181" s="32">
        <v>590.75</v>
      </c>
      <c r="EN181" s="32">
        <v>57.46</v>
      </c>
      <c r="EQ181" s="32">
        <v>234</v>
      </c>
      <c r="EW181" s="32">
        <v>199.75</v>
      </c>
      <c r="FF181" s="32">
        <v>47.97</v>
      </c>
      <c r="FJ181" s="32">
        <v>51.57</v>
      </c>
      <c r="HQ181" s="63">
        <f t="shared" si="14"/>
        <v>590.75</v>
      </c>
      <c r="HR181" s="63"/>
    </row>
    <row r="182" spans="1:226" s="9" customFormat="1" ht="12.75" x14ac:dyDescent="0.2">
      <c r="A182" s="11">
        <v>241</v>
      </c>
      <c r="B182" s="9">
        <v>268</v>
      </c>
      <c r="C182" s="9" t="s">
        <v>83</v>
      </c>
      <c r="D182" s="9">
        <v>11</v>
      </c>
      <c r="E182" s="9" t="s">
        <v>79</v>
      </c>
      <c r="F182" s="9">
        <v>611305132</v>
      </c>
      <c r="G182" s="9" t="s">
        <v>81</v>
      </c>
      <c r="H182" s="9" t="s">
        <v>84</v>
      </c>
      <c r="I182" s="13" t="s">
        <v>119</v>
      </c>
      <c r="J182" s="13" t="s">
        <v>2856</v>
      </c>
      <c r="K182" s="58"/>
      <c r="L182" s="58"/>
      <c r="M182" s="13" t="s">
        <v>1319</v>
      </c>
      <c r="N182" s="13" t="s">
        <v>618</v>
      </c>
      <c r="O182" s="13"/>
      <c r="P182" s="13" t="s">
        <v>87</v>
      </c>
      <c r="Q182" s="13" t="s">
        <v>1358</v>
      </c>
      <c r="R182" s="58"/>
      <c r="S182" s="13" t="s">
        <v>84</v>
      </c>
      <c r="T182" s="13" t="s">
        <v>84</v>
      </c>
      <c r="U182" s="13" t="s">
        <v>84</v>
      </c>
      <c r="V182" s="13" t="s">
        <v>82</v>
      </c>
      <c r="W182" s="13" t="s">
        <v>82</v>
      </c>
      <c r="X182" s="13" t="s">
        <v>82</v>
      </c>
      <c r="Y182" s="13" t="s">
        <v>82</v>
      </c>
      <c r="Z182" s="13" t="s">
        <v>82</v>
      </c>
      <c r="AA182" s="13"/>
      <c r="AB182" s="13" t="s">
        <v>84</v>
      </c>
      <c r="AC182" s="13" t="s">
        <v>2857</v>
      </c>
      <c r="AD182" s="13" t="s">
        <v>82</v>
      </c>
      <c r="AE182" s="13"/>
      <c r="AF182" s="13"/>
      <c r="AG182" s="13" t="s">
        <v>84</v>
      </c>
      <c r="AH182" s="13" t="s">
        <v>2858</v>
      </c>
      <c r="AI182" s="13" t="s">
        <v>84</v>
      </c>
      <c r="AJ182" s="13"/>
      <c r="AK182" s="13" t="s">
        <v>2859</v>
      </c>
      <c r="AL182" s="13" t="s">
        <v>140</v>
      </c>
      <c r="AM182" s="13" t="s">
        <v>91</v>
      </c>
      <c r="AN182" s="13"/>
      <c r="AO182" s="13" t="s">
        <v>80</v>
      </c>
      <c r="AP182" s="58"/>
      <c r="AQ182" s="13" t="s">
        <v>80</v>
      </c>
      <c r="AR182" s="13" t="s">
        <v>80</v>
      </c>
      <c r="AS182" s="13" t="s">
        <v>80</v>
      </c>
      <c r="AT182" s="13" t="s">
        <v>80</v>
      </c>
      <c r="AU182" s="13"/>
      <c r="AV182" s="58"/>
      <c r="AW182" s="13" t="s">
        <v>84</v>
      </c>
      <c r="AX182" s="13" t="s">
        <v>84</v>
      </c>
      <c r="AY182" s="13" t="s">
        <v>84</v>
      </c>
      <c r="AZ182" s="13" t="s">
        <v>84</v>
      </c>
      <c r="BA182" s="13"/>
      <c r="BB182" s="13" t="s">
        <v>84</v>
      </c>
      <c r="BC182" s="13" t="s">
        <v>80</v>
      </c>
      <c r="BD182" s="13" t="s">
        <v>93</v>
      </c>
      <c r="BE182" s="13" t="s">
        <v>113</v>
      </c>
      <c r="BF182" s="13" t="s">
        <v>112</v>
      </c>
      <c r="BG182" s="13" t="s">
        <v>82</v>
      </c>
      <c r="BH182" s="13" t="s">
        <v>84</v>
      </c>
      <c r="BI182" s="13" t="s">
        <v>2860</v>
      </c>
      <c r="BJ182" s="13" t="s">
        <v>84</v>
      </c>
      <c r="BK182" s="13" t="s">
        <v>80</v>
      </c>
      <c r="BL182" s="13">
        <v>1</v>
      </c>
      <c r="BM182" s="13">
        <v>1</v>
      </c>
      <c r="BN182" s="13">
        <v>1</v>
      </c>
      <c r="BO182" s="13">
        <v>1</v>
      </c>
      <c r="BP182" s="13">
        <v>3</v>
      </c>
      <c r="BQ182" s="13">
        <v>2</v>
      </c>
      <c r="BR182" s="58"/>
      <c r="BS182" s="13" t="s">
        <v>99</v>
      </c>
      <c r="BT182" s="13"/>
      <c r="BU182" s="13"/>
      <c r="BV182" s="13"/>
      <c r="BW182" s="58"/>
      <c r="BX182" s="13" t="s">
        <v>82</v>
      </c>
      <c r="BY182" s="13"/>
      <c r="BZ182" s="13" t="s">
        <v>84</v>
      </c>
      <c r="CA182" s="13" t="s">
        <v>2861</v>
      </c>
      <c r="CB182" s="13" t="s">
        <v>82</v>
      </c>
      <c r="CC182" s="13"/>
      <c r="CD182" s="13" t="s">
        <v>84</v>
      </c>
      <c r="CE182" s="13" t="s">
        <v>2862</v>
      </c>
      <c r="CF182" s="13"/>
      <c r="CG182" s="13"/>
      <c r="CH182" s="58"/>
      <c r="CI182" s="13" t="s">
        <v>84</v>
      </c>
      <c r="CJ182" s="13"/>
      <c r="CK182" s="13" t="s">
        <v>84</v>
      </c>
      <c r="CL182" s="13" t="s">
        <v>2863</v>
      </c>
      <c r="CM182" s="13" t="s">
        <v>82</v>
      </c>
      <c r="CN182" s="13"/>
      <c r="CO182" s="13"/>
      <c r="CP182" s="13"/>
      <c r="CQ182" s="13" t="s">
        <v>99</v>
      </c>
      <c r="CR182" s="13" t="s">
        <v>80</v>
      </c>
      <c r="CS182" s="13" t="s">
        <v>1312</v>
      </c>
      <c r="CT182" s="13" t="s">
        <v>2864</v>
      </c>
      <c r="CU182" s="13" t="s">
        <v>81</v>
      </c>
      <c r="CV182" s="13" t="s">
        <v>2865</v>
      </c>
      <c r="CW182" s="13" t="s">
        <v>84</v>
      </c>
      <c r="CX182" s="13" t="s">
        <v>2866</v>
      </c>
      <c r="CY182" s="13"/>
      <c r="CZ182" s="13"/>
      <c r="DA182" s="13" t="s">
        <v>84</v>
      </c>
      <c r="DB182" s="13" t="s">
        <v>2867</v>
      </c>
      <c r="DC182" s="13" t="s">
        <v>84</v>
      </c>
      <c r="DD182" s="13" t="s">
        <v>84</v>
      </c>
      <c r="DE182" s="58"/>
      <c r="DF182" s="58"/>
      <c r="DG182" s="13">
        <v>1</v>
      </c>
      <c r="DH182" s="13">
        <v>1</v>
      </c>
      <c r="DI182" s="13">
        <v>3</v>
      </c>
      <c r="DJ182" s="13">
        <v>2</v>
      </c>
      <c r="DK182" s="13">
        <v>2</v>
      </c>
      <c r="DL182" s="13">
        <v>2</v>
      </c>
      <c r="DM182" s="13">
        <v>1</v>
      </c>
      <c r="DN182" s="13">
        <v>1</v>
      </c>
      <c r="DO182" s="13">
        <v>2</v>
      </c>
      <c r="DP182" s="13">
        <v>1</v>
      </c>
      <c r="DQ182" s="13">
        <v>1</v>
      </c>
      <c r="DR182" s="13">
        <v>1</v>
      </c>
      <c r="DS182" s="13" t="s">
        <v>118</v>
      </c>
      <c r="DT182" s="13" t="s">
        <v>84</v>
      </c>
      <c r="DU182" s="13"/>
      <c r="DV182" s="13" t="s">
        <v>84</v>
      </c>
      <c r="DW182" s="13" t="s">
        <v>113</v>
      </c>
      <c r="DX182" s="13" t="s">
        <v>81</v>
      </c>
      <c r="DY182" s="13" t="s">
        <v>2868</v>
      </c>
      <c r="DZ182" s="13" t="s">
        <v>113</v>
      </c>
      <c r="EA182" s="13" t="s">
        <v>2869</v>
      </c>
      <c r="EB182" s="13" t="s">
        <v>82</v>
      </c>
      <c r="EC182" s="13"/>
      <c r="ED182" s="13" t="s">
        <v>81</v>
      </c>
      <c r="EE182" s="13" t="s">
        <v>2870</v>
      </c>
      <c r="EF182" s="13" t="s">
        <v>82</v>
      </c>
      <c r="EG182" s="13" t="s">
        <v>84</v>
      </c>
      <c r="EH182" s="13" t="s">
        <v>82</v>
      </c>
      <c r="EI182" s="13"/>
      <c r="EJ182" s="13" t="s">
        <v>2871</v>
      </c>
      <c r="EK182" s="13" t="s">
        <v>2872</v>
      </c>
      <c r="EL182" s="13" t="s">
        <v>2873</v>
      </c>
      <c r="EM182" s="9">
        <v>1534.06</v>
      </c>
      <c r="EN182" s="9">
        <v>36.56</v>
      </c>
      <c r="EQ182" s="9">
        <v>146.76</v>
      </c>
      <c r="EW182" s="9">
        <v>92.15</v>
      </c>
      <c r="FF182" s="9">
        <v>35.42</v>
      </c>
      <c r="FJ182" s="9">
        <v>32.5</v>
      </c>
      <c r="FP182" s="9">
        <v>46.26</v>
      </c>
      <c r="FV182" s="9">
        <v>167.25</v>
      </c>
      <c r="GC182" s="9">
        <v>430.28</v>
      </c>
      <c r="GT182" s="9">
        <v>19.89</v>
      </c>
      <c r="GX182" s="9">
        <v>210.81</v>
      </c>
      <c r="HB182" s="9">
        <v>316.18</v>
      </c>
      <c r="HQ182" s="62">
        <f t="shared" si="14"/>
        <v>1534.06</v>
      </c>
      <c r="HR182" s="62">
        <f t="shared" ref="HR182:HR195" si="16">HQ182/60</f>
        <v>25.567666666666664</v>
      </c>
    </row>
    <row r="183" spans="1:226" s="9" customFormat="1" ht="12.75" x14ac:dyDescent="0.2">
      <c r="A183" s="11">
        <v>242</v>
      </c>
      <c r="B183" s="9">
        <v>269</v>
      </c>
      <c r="C183" s="9" t="s">
        <v>83</v>
      </c>
      <c r="D183" s="9">
        <v>11</v>
      </c>
      <c r="E183" s="9" t="s">
        <v>79</v>
      </c>
      <c r="F183" s="9">
        <v>1620354894</v>
      </c>
      <c r="G183" s="9" t="s">
        <v>81</v>
      </c>
      <c r="H183" s="9" t="s">
        <v>84</v>
      </c>
      <c r="I183" s="13" t="s">
        <v>161</v>
      </c>
      <c r="J183" s="13"/>
      <c r="K183" s="58"/>
      <c r="L183" s="58"/>
      <c r="M183" s="13" t="s">
        <v>1319</v>
      </c>
      <c r="N183" s="13" t="s">
        <v>618</v>
      </c>
      <c r="O183" s="13"/>
      <c r="P183" s="13" t="s">
        <v>87</v>
      </c>
      <c r="Q183" s="13" t="s">
        <v>1296</v>
      </c>
      <c r="R183" s="58"/>
      <c r="S183" s="13" t="s">
        <v>84</v>
      </c>
      <c r="T183" s="13" t="s">
        <v>84</v>
      </c>
      <c r="U183" s="13" t="s">
        <v>84</v>
      </c>
      <c r="V183" s="13" t="s">
        <v>82</v>
      </c>
      <c r="W183" s="13" t="s">
        <v>82</v>
      </c>
      <c r="X183" s="13" t="s">
        <v>82</v>
      </c>
      <c r="Y183" s="13" t="s">
        <v>82</v>
      </c>
      <c r="Z183" s="13" t="s">
        <v>82</v>
      </c>
      <c r="AA183" s="13"/>
      <c r="AB183" s="13" t="s">
        <v>82</v>
      </c>
      <c r="AC183" s="13"/>
      <c r="AD183" s="13" t="s">
        <v>82</v>
      </c>
      <c r="AE183" s="13"/>
      <c r="AF183" s="13"/>
      <c r="AG183" s="13" t="s">
        <v>84</v>
      </c>
      <c r="AH183" s="13" t="s">
        <v>2874</v>
      </c>
      <c r="AI183" s="13" t="s">
        <v>84</v>
      </c>
      <c r="AJ183" s="13" t="s">
        <v>2875</v>
      </c>
      <c r="AK183" s="13" t="s">
        <v>2876</v>
      </c>
      <c r="AL183" s="13" t="s">
        <v>140</v>
      </c>
      <c r="AM183" s="13" t="s">
        <v>91</v>
      </c>
      <c r="AN183" s="13"/>
      <c r="AO183" s="13" t="s">
        <v>80</v>
      </c>
      <c r="AP183" s="58"/>
      <c r="AQ183" s="13" t="s">
        <v>80</v>
      </c>
      <c r="AR183" s="13" t="s">
        <v>80</v>
      </c>
      <c r="AS183" s="13" t="s">
        <v>80</v>
      </c>
      <c r="AT183" s="13" t="s">
        <v>80</v>
      </c>
      <c r="AU183" s="13"/>
      <c r="AV183" s="58"/>
      <c r="AW183" s="13" t="s">
        <v>84</v>
      </c>
      <c r="AX183" s="13" t="s">
        <v>82</v>
      </c>
      <c r="AY183" s="13" t="s">
        <v>84</v>
      </c>
      <c r="AZ183" s="13" t="s">
        <v>84</v>
      </c>
      <c r="BA183" s="13"/>
      <c r="BB183" s="13" t="s">
        <v>84</v>
      </c>
      <c r="BC183" s="13" t="s">
        <v>80</v>
      </c>
      <c r="BD183" s="13" t="s">
        <v>93</v>
      </c>
      <c r="BE183" s="13" t="s">
        <v>93</v>
      </c>
      <c r="BF183" s="13" t="s">
        <v>100</v>
      </c>
      <c r="BG183" s="13" t="s">
        <v>84</v>
      </c>
      <c r="BH183" s="13" t="s">
        <v>84</v>
      </c>
      <c r="BI183" s="13" t="s">
        <v>2877</v>
      </c>
      <c r="BJ183" s="13" t="s">
        <v>84</v>
      </c>
      <c r="BK183" s="13" t="s">
        <v>80</v>
      </c>
      <c r="BL183" s="13">
        <v>1</v>
      </c>
      <c r="BM183" s="13">
        <v>1</v>
      </c>
      <c r="BN183" s="13">
        <v>1</v>
      </c>
      <c r="BO183" s="13">
        <v>1</v>
      </c>
      <c r="BP183" s="13">
        <v>5</v>
      </c>
      <c r="BQ183" s="13">
        <v>5</v>
      </c>
      <c r="BR183" s="58"/>
      <c r="BS183" s="13" t="s">
        <v>99</v>
      </c>
      <c r="BT183" s="13"/>
      <c r="BU183" s="13"/>
      <c r="BV183" s="13"/>
      <c r="BW183" s="58"/>
      <c r="BX183" s="13" t="s">
        <v>82</v>
      </c>
      <c r="BY183" s="13"/>
      <c r="BZ183" s="13" t="s">
        <v>84</v>
      </c>
      <c r="CA183" s="13" t="s">
        <v>2878</v>
      </c>
      <c r="CB183" s="13" t="s">
        <v>82</v>
      </c>
      <c r="CC183" s="13"/>
      <c r="CD183" s="13" t="s">
        <v>84</v>
      </c>
      <c r="CE183" s="13" t="s">
        <v>2879</v>
      </c>
      <c r="CF183" s="13"/>
      <c r="CG183" s="13"/>
      <c r="CH183" s="58"/>
      <c r="CI183" s="13" t="s">
        <v>82</v>
      </c>
      <c r="CJ183" s="13"/>
      <c r="CK183" s="13" t="s">
        <v>82</v>
      </c>
      <c r="CL183" s="13"/>
      <c r="CM183" s="13" t="s">
        <v>82</v>
      </c>
      <c r="CN183" s="13"/>
      <c r="CO183" s="13" t="s">
        <v>2880</v>
      </c>
      <c r="CP183" s="13" t="s">
        <v>2881</v>
      </c>
      <c r="CQ183" s="13" t="s">
        <v>99</v>
      </c>
      <c r="CR183" s="13" t="s">
        <v>80</v>
      </c>
      <c r="CS183" s="13" t="s">
        <v>1312</v>
      </c>
      <c r="CT183" s="13" t="s">
        <v>2882</v>
      </c>
      <c r="CU183" s="13" t="s">
        <v>81</v>
      </c>
      <c r="CV183" s="13" t="s">
        <v>2883</v>
      </c>
      <c r="CW183" s="13" t="s">
        <v>82</v>
      </c>
      <c r="CX183" s="13"/>
      <c r="CY183" s="13" t="s">
        <v>81</v>
      </c>
      <c r="CZ183" s="13" t="s">
        <v>2884</v>
      </c>
      <c r="DA183" s="13" t="s">
        <v>84</v>
      </c>
      <c r="DB183" s="13" t="s">
        <v>2885</v>
      </c>
      <c r="DC183" s="13" t="s">
        <v>84</v>
      </c>
      <c r="DD183" s="13" t="s">
        <v>84</v>
      </c>
      <c r="DE183" s="58"/>
      <c r="DF183" s="58"/>
      <c r="DG183" s="13">
        <v>1</v>
      </c>
      <c r="DH183" s="13">
        <v>1</v>
      </c>
      <c r="DI183" s="13">
        <v>1</v>
      </c>
      <c r="DJ183" s="13">
        <v>1</v>
      </c>
      <c r="DK183" s="13">
        <v>1</v>
      </c>
      <c r="DL183" s="13">
        <v>5</v>
      </c>
      <c r="DM183" s="13">
        <v>1</v>
      </c>
      <c r="DN183" s="13">
        <v>1</v>
      </c>
      <c r="DO183" s="13">
        <v>2</v>
      </c>
      <c r="DP183" s="13">
        <v>1</v>
      </c>
      <c r="DQ183" s="13">
        <v>1</v>
      </c>
      <c r="DR183" s="13">
        <v>1</v>
      </c>
      <c r="DS183" s="13" t="s">
        <v>99</v>
      </c>
      <c r="DT183" s="13" t="s">
        <v>84</v>
      </c>
      <c r="DU183" s="13"/>
      <c r="DV183" s="13" t="s">
        <v>84</v>
      </c>
      <c r="DW183" s="13" t="s">
        <v>93</v>
      </c>
      <c r="DX183" s="13" t="s">
        <v>81</v>
      </c>
      <c r="DY183" s="13" t="s">
        <v>2886</v>
      </c>
      <c r="DZ183" s="13" t="s">
        <v>113</v>
      </c>
      <c r="EA183" s="13"/>
      <c r="EB183" s="13" t="s">
        <v>84</v>
      </c>
      <c r="EC183" s="13" t="s">
        <v>2887</v>
      </c>
      <c r="ED183" s="13"/>
      <c r="EE183" s="13"/>
      <c r="EF183" s="13" t="s">
        <v>82</v>
      </c>
      <c r="EG183" s="13" t="s">
        <v>84</v>
      </c>
      <c r="EH183" s="13" t="s">
        <v>82</v>
      </c>
      <c r="EI183" s="13"/>
      <c r="EJ183" s="13"/>
      <c r="EK183" s="13" t="s">
        <v>2888</v>
      </c>
      <c r="EL183" s="13" t="s">
        <v>2889</v>
      </c>
      <c r="EM183" s="9">
        <v>5176.99</v>
      </c>
      <c r="EN183" s="9">
        <v>50.98</v>
      </c>
      <c r="EQ183" s="9">
        <v>266.76</v>
      </c>
      <c r="EW183" s="9">
        <v>179.7</v>
      </c>
      <c r="FF183" s="9">
        <v>477.8</v>
      </c>
      <c r="FJ183" s="9">
        <v>19.38</v>
      </c>
      <c r="FP183" s="9">
        <v>64.89</v>
      </c>
      <c r="FV183" s="9">
        <v>290.43</v>
      </c>
      <c r="GC183" s="9">
        <v>1759.45</v>
      </c>
      <c r="GT183" s="9">
        <v>13.03</v>
      </c>
      <c r="GX183" s="9">
        <v>138.94</v>
      </c>
      <c r="HB183" s="9">
        <v>1915.63</v>
      </c>
      <c r="HQ183" s="62">
        <f t="shared" si="14"/>
        <v>5176.99</v>
      </c>
      <c r="HR183" s="62">
        <f t="shared" si="16"/>
        <v>86.283166666666659</v>
      </c>
    </row>
    <row r="184" spans="1:226" s="9" customFormat="1" ht="12.75" x14ac:dyDescent="0.2">
      <c r="A184" s="11">
        <v>243</v>
      </c>
      <c r="B184" s="9">
        <v>273</v>
      </c>
      <c r="C184" s="9" t="s">
        <v>83</v>
      </c>
      <c r="D184" s="9">
        <v>11</v>
      </c>
      <c r="E184" s="9" t="s">
        <v>79</v>
      </c>
      <c r="F184" s="9">
        <v>1263482554</v>
      </c>
      <c r="G184" s="9" t="s">
        <v>81</v>
      </c>
      <c r="H184" s="9" t="s">
        <v>84</v>
      </c>
      <c r="I184" s="13" t="s">
        <v>324</v>
      </c>
      <c r="J184" s="13"/>
      <c r="K184" s="58"/>
      <c r="L184" s="58"/>
      <c r="M184" s="13" t="s">
        <v>1294</v>
      </c>
      <c r="N184" s="13" t="s">
        <v>108</v>
      </c>
      <c r="O184" s="13"/>
      <c r="P184" s="13" t="s">
        <v>253</v>
      </c>
      <c r="Q184" s="13" t="s">
        <v>1296</v>
      </c>
      <c r="R184" s="58"/>
      <c r="S184" s="13" t="s">
        <v>84</v>
      </c>
      <c r="T184" s="13" t="s">
        <v>84</v>
      </c>
      <c r="U184" s="13" t="s">
        <v>84</v>
      </c>
      <c r="V184" s="13" t="s">
        <v>84</v>
      </c>
      <c r="W184" s="13" t="s">
        <v>82</v>
      </c>
      <c r="X184" s="13" t="s">
        <v>84</v>
      </c>
      <c r="Y184" s="13" t="s">
        <v>84</v>
      </c>
      <c r="Z184" s="13" t="s">
        <v>82</v>
      </c>
      <c r="AA184" s="13"/>
      <c r="AB184" s="13" t="s">
        <v>84</v>
      </c>
      <c r="AC184" s="13"/>
      <c r="AD184" s="13" t="s">
        <v>84</v>
      </c>
      <c r="AE184" s="13" t="s">
        <v>2890</v>
      </c>
      <c r="AF184" s="13" t="s">
        <v>2891</v>
      </c>
      <c r="AG184" s="13" t="s">
        <v>80</v>
      </c>
      <c r="AH184" s="13"/>
      <c r="AI184" s="13" t="s">
        <v>82</v>
      </c>
      <c r="AJ184" s="13"/>
      <c r="AK184" s="13"/>
      <c r="AL184" s="13" t="s">
        <v>90</v>
      </c>
      <c r="AM184" s="13" t="s">
        <v>111</v>
      </c>
      <c r="AN184" s="13"/>
      <c r="AO184" s="13" t="s">
        <v>80</v>
      </c>
      <c r="AP184" s="58"/>
      <c r="AQ184" s="13" t="s">
        <v>84</v>
      </c>
      <c r="AR184" s="13" t="s">
        <v>84</v>
      </c>
      <c r="AS184" s="13" t="s">
        <v>84</v>
      </c>
      <c r="AT184" s="13" t="s">
        <v>82</v>
      </c>
      <c r="AU184" s="13"/>
      <c r="AV184" s="58"/>
      <c r="AW184" s="13" t="s">
        <v>80</v>
      </c>
      <c r="AX184" s="13" t="s">
        <v>80</v>
      </c>
      <c r="AY184" s="13" t="s">
        <v>80</v>
      </c>
      <c r="AZ184" s="13" t="s">
        <v>80</v>
      </c>
      <c r="BA184" s="13"/>
      <c r="BB184" s="13" t="s">
        <v>84</v>
      </c>
      <c r="BC184" s="13" t="s">
        <v>80</v>
      </c>
      <c r="BD184" s="13" t="s">
        <v>93</v>
      </c>
      <c r="BE184" s="13" t="s">
        <v>113</v>
      </c>
      <c r="BF184" s="13" t="s">
        <v>112</v>
      </c>
      <c r="BG184" s="13" t="s">
        <v>84</v>
      </c>
      <c r="BH184" s="13" t="s">
        <v>84</v>
      </c>
      <c r="BI184" s="13"/>
      <c r="BJ184" s="13" t="s">
        <v>84</v>
      </c>
      <c r="BK184" s="13" t="s">
        <v>80</v>
      </c>
      <c r="BL184" s="13">
        <v>4</v>
      </c>
      <c r="BM184" s="13">
        <v>5</v>
      </c>
      <c r="BN184" s="13">
        <v>4</v>
      </c>
      <c r="BO184" s="13">
        <v>5</v>
      </c>
      <c r="BP184" s="13">
        <v>2</v>
      </c>
      <c r="BQ184" s="13">
        <v>2</v>
      </c>
      <c r="BR184" s="58"/>
      <c r="BS184" s="13" t="s">
        <v>118</v>
      </c>
      <c r="BT184" s="13"/>
      <c r="BU184" s="13"/>
      <c r="BV184" s="13"/>
      <c r="BW184" s="58"/>
      <c r="BX184" s="13" t="s">
        <v>82</v>
      </c>
      <c r="BY184" s="13"/>
      <c r="BZ184" s="13" t="s">
        <v>82</v>
      </c>
      <c r="CA184" s="13"/>
      <c r="CB184" s="13" t="s">
        <v>84</v>
      </c>
      <c r="CC184" s="13"/>
      <c r="CD184" s="13" t="s">
        <v>82</v>
      </c>
      <c r="CE184" s="13"/>
      <c r="CF184" s="13"/>
      <c r="CG184" s="13"/>
      <c r="CH184" s="58"/>
      <c r="CI184" s="13" t="s">
        <v>84</v>
      </c>
      <c r="CJ184" s="13"/>
      <c r="CK184" s="13" t="s">
        <v>82</v>
      </c>
      <c r="CL184" s="13"/>
      <c r="CM184" s="13" t="s">
        <v>82</v>
      </c>
      <c r="CN184" s="13"/>
      <c r="CO184" s="13"/>
      <c r="CP184" s="13"/>
      <c r="CQ184" s="13" t="s">
        <v>99</v>
      </c>
      <c r="CR184" s="13" t="s">
        <v>80</v>
      </c>
      <c r="CS184" s="13" t="s">
        <v>97</v>
      </c>
      <c r="CT184" s="13"/>
      <c r="CU184" s="13" t="s">
        <v>246</v>
      </c>
      <c r="CV184" s="13"/>
      <c r="CW184" s="13" t="s">
        <v>84</v>
      </c>
      <c r="CX184" s="13"/>
      <c r="CY184" s="13"/>
      <c r="CZ184" s="13"/>
      <c r="DA184" s="13" t="s">
        <v>82</v>
      </c>
      <c r="DB184" s="13"/>
      <c r="DC184" s="13" t="s">
        <v>84</v>
      </c>
      <c r="DD184" s="13" t="s">
        <v>84</v>
      </c>
      <c r="DE184" s="58"/>
      <c r="DF184" s="58"/>
      <c r="DG184" s="13">
        <v>4</v>
      </c>
      <c r="DH184" s="13">
        <v>5</v>
      </c>
      <c r="DI184" s="13">
        <v>4</v>
      </c>
      <c r="DJ184" s="13">
        <v>5</v>
      </c>
      <c r="DK184" s="13">
        <v>3</v>
      </c>
      <c r="DL184" s="13">
        <v>5</v>
      </c>
      <c r="DM184" s="13">
        <v>4</v>
      </c>
      <c r="DN184" s="13">
        <v>5</v>
      </c>
      <c r="DO184" s="13">
        <v>4</v>
      </c>
      <c r="DP184" s="13">
        <v>5</v>
      </c>
      <c r="DQ184" s="13">
        <v>4</v>
      </c>
      <c r="DR184" s="13">
        <v>5</v>
      </c>
      <c r="DS184" s="13" t="s">
        <v>118</v>
      </c>
      <c r="DT184" s="13" t="s">
        <v>84</v>
      </c>
      <c r="DU184" s="13"/>
      <c r="DV184" s="13" t="s">
        <v>84</v>
      </c>
      <c r="DW184" s="13" t="s">
        <v>100</v>
      </c>
      <c r="DX184" s="13" t="s">
        <v>81</v>
      </c>
      <c r="DY184" s="13" t="s">
        <v>2892</v>
      </c>
      <c r="DZ184" s="13" t="s">
        <v>100</v>
      </c>
      <c r="EA184" s="13"/>
      <c r="EB184" s="13" t="s">
        <v>84</v>
      </c>
      <c r="EC184" s="13"/>
      <c r="ED184" s="13"/>
      <c r="EE184" s="13"/>
      <c r="EF184" s="13" t="s">
        <v>82</v>
      </c>
      <c r="EG184" s="13" t="s">
        <v>84</v>
      </c>
      <c r="EH184" s="13" t="s">
        <v>82</v>
      </c>
      <c r="EI184" s="13"/>
      <c r="EJ184" s="13"/>
      <c r="EK184" s="13"/>
      <c r="EL184" s="13"/>
      <c r="EM184" s="9">
        <v>567.30999999999995</v>
      </c>
      <c r="EN184" s="9">
        <v>25.12</v>
      </c>
      <c r="EQ184" s="9">
        <v>47.86</v>
      </c>
      <c r="EW184" s="9">
        <v>60.22</v>
      </c>
      <c r="FF184" s="9">
        <v>15.31</v>
      </c>
      <c r="FJ184" s="9">
        <v>16.71</v>
      </c>
      <c r="FP184" s="9">
        <v>48.57</v>
      </c>
      <c r="FV184" s="9">
        <v>52.52</v>
      </c>
      <c r="GC184" s="9">
        <v>136.63999999999999</v>
      </c>
      <c r="GT184" s="9">
        <v>14.05</v>
      </c>
      <c r="GX184" s="9">
        <v>38.159999999999997</v>
      </c>
      <c r="HB184" s="9">
        <v>112.15</v>
      </c>
      <c r="HQ184" s="62">
        <f t="shared" si="14"/>
        <v>567.30999999999995</v>
      </c>
      <c r="HR184" s="62">
        <f t="shared" si="16"/>
        <v>9.4551666666666652</v>
      </c>
    </row>
    <row r="185" spans="1:226" s="9" customFormat="1" ht="12.75" x14ac:dyDescent="0.2">
      <c r="A185" s="11">
        <v>244</v>
      </c>
      <c r="B185" s="9">
        <v>274</v>
      </c>
      <c r="C185" s="9" t="s">
        <v>83</v>
      </c>
      <c r="D185" s="9">
        <v>11</v>
      </c>
      <c r="E185" s="9" t="s">
        <v>79</v>
      </c>
      <c r="F185" s="9">
        <v>1124065040</v>
      </c>
      <c r="G185" s="9" t="s">
        <v>81</v>
      </c>
      <c r="H185" s="9" t="s">
        <v>84</v>
      </c>
      <c r="I185" s="13" t="s">
        <v>161</v>
      </c>
      <c r="J185" s="13"/>
      <c r="K185" s="58"/>
      <c r="L185" s="58"/>
      <c r="M185" s="13" t="s">
        <v>1319</v>
      </c>
      <c r="N185" s="13" t="s">
        <v>618</v>
      </c>
      <c r="O185" s="13"/>
      <c r="P185" s="13" t="s">
        <v>253</v>
      </c>
      <c r="Q185" s="13" t="s">
        <v>1296</v>
      </c>
      <c r="R185" s="58"/>
      <c r="S185" s="13" t="s">
        <v>84</v>
      </c>
      <c r="T185" s="13" t="s">
        <v>84</v>
      </c>
      <c r="U185" s="13" t="s">
        <v>84</v>
      </c>
      <c r="V185" s="13" t="s">
        <v>82</v>
      </c>
      <c r="W185" s="13" t="s">
        <v>82</v>
      </c>
      <c r="X185" s="13" t="s">
        <v>82</v>
      </c>
      <c r="Y185" s="13" t="s">
        <v>84</v>
      </c>
      <c r="Z185" s="13" t="s">
        <v>84</v>
      </c>
      <c r="AA185" s="13"/>
      <c r="AB185" s="13" t="s">
        <v>84</v>
      </c>
      <c r="AC185" s="13" t="s">
        <v>2893</v>
      </c>
      <c r="AD185" s="13" t="s">
        <v>82</v>
      </c>
      <c r="AE185" s="13"/>
      <c r="AF185" s="13"/>
      <c r="AG185" s="13" t="s">
        <v>84</v>
      </c>
      <c r="AH185" s="13" t="s">
        <v>2894</v>
      </c>
      <c r="AI185" s="13" t="s">
        <v>84</v>
      </c>
      <c r="AJ185" s="13" t="s">
        <v>2895</v>
      </c>
      <c r="AK185" s="13" t="s">
        <v>2896</v>
      </c>
      <c r="AL185" s="13" t="s">
        <v>126</v>
      </c>
      <c r="AM185" s="13" t="s">
        <v>91</v>
      </c>
      <c r="AN185" s="13"/>
      <c r="AO185" s="13" t="s">
        <v>80</v>
      </c>
      <c r="AP185" s="58"/>
      <c r="AQ185" s="13" t="s">
        <v>80</v>
      </c>
      <c r="AR185" s="13" t="s">
        <v>80</v>
      </c>
      <c r="AS185" s="13" t="s">
        <v>80</v>
      </c>
      <c r="AT185" s="13" t="s">
        <v>80</v>
      </c>
      <c r="AU185" s="13"/>
      <c r="AV185" s="58"/>
      <c r="AW185" s="13" t="s">
        <v>84</v>
      </c>
      <c r="AX185" s="13" t="s">
        <v>84</v>
      </c>
      <c r="AY185" s="13" t="s">
        <v>82</v>
      </c>
      <c r="AZ185" s="13" t="s">
        <v>84</v>
      </c>
      <c r="BA185" s="13"/>
      <c r="BB185" s="13" t="s">
        <v>84</v>
      </c>
      <c r="BC185" s="13" t="s">
        <v>80</v>
      </c>
      <c r="BD185" s="13" t="s">
        <v>93</v>
      </c>
      <c r="BE185" s="13" t="s">
        <v>93</v>
      </c>
      <c r="BF185" s="13" t="s">
        <v>112</v>
      </c>
      <c r="BG185" s="13" t="s">
        <v>84</v>
      </c>
      <c r="BH185" s="13" t="s">
        <v>84</v>
      </c>
      <c r="BI185" s="13" t="s">
        <v>2897</v>
      </c>
      <c r="BJ185" s="13" t="s">
        <v>84</v>
      </c>
      <c r="BK185" s="13" t="s">
        <v>80</v>
      </c>
      <c r="BL185" s="13">
        <v>1</v>
      </c>
      <c r="BM185" s="13">
        <v>1</v>
      </c>
      <c r="BN185" s="13">
        <v>2</v>
      </c>
      <c r="BO185" s="13">
        <v>1</v>
      </c>
      <c r="BP185" s="13">
        <v>2</v>
      </c>
      <c r="BQ185" s="13">
        <v>1</v>
      </c>
      <c r="BR185" s="58"/>
      <c r="BS185" s="13" t="s">
        <v>99</v>
      </c>
      <c r="BT185" s="13"/>
      <c r="BU185" s="13"/>
      <c r="BV185" s="13"/>
      <c r="BW185" s="58"/>
      <c r="BX185" s="13" t="s">
        <v>82</v>
      </c>
      <c r="BY185" s="13"/>
      <c r="BZ185" s="13" t="s">
        <v>84</v>
      </c>
      <c r="CA185" s="13" t="s">
        <v>2898</v>
      </c>
      <c r="CB185" s="13" t="s">
        <v>82</v>
      </c>
      <c r="CC185" s="13"/>
      <c r="CD185" s="13" t="s">
        <v>84</v>
      </c>
      <c r="CE185" s="13" t="s">
        <v>2899</v>
      </c>
      <c r="CF185" s="13"/>
      <c r="CG185" s="13"/>
      <c r="CH185" s="58"/>
      <c r="CI185" s="13" t="s">
        <v>82</v>
      </c>
      <c r="CJ185" s="13"/>
      <c r="CK185" s="13" t="s">
        <v>84</v>
      </c>
      <c r="CL185" s="13"/>
      <c r="CM185" s="13" t="s">
        <v>82</v>
      </c>
      <c r="CN185" s="13"/>
      <c r="CO185" s="13" t="s">
        <v>2900</v>
      </c>
      <c r="CP185" s="13" t="s">
        <v>2901</v>
      </c>
      <c r="CQ185" s="13" t="s">
        <v>99</v>
      </c>
      <c r="CR185" s="13" t="s">
        <v>80</v>
      </c>
      <c r="CS185" s="13" t="s">
        <v>1312</v>
      </c>
      <c r="CT185" s="13" t="s">
        <v>2902</v>
      </c>
      <c r="CU185" s="13" t="s">
        <v>81</v>
      </c>
      <c r="CV185" s="13" t="s">
        <v>2903</v>
      </c>
      <c r="CW185" s="13" t="s">
        <v>84</v>
      </c>
      <c r="CX185" s="13" t="s">
        <v>2904</v>
      </c>
      <c r="CY185" s="13"/>
      <c r="CZ185" s="13"/>
      <c r="DA185" s="13" t="s">
        <v>84</v>
      </c>
      <c r="DB185" s="13" t="s">
        <v>2905</v>
      </c>
      <c r="DC185" s="13" t="s">
        <v>84</v>
      </c>
      <c r="DD185" s="13" t="s">
        <v>82</v>
      </c>
      <c r="DE185" s="58"/>
      <c r="DF185" s="58"/>
      <c r="DG185" s="13">
        <v>2</v>
      </c>
      <c r="DH185" s="13">
        <v>2</v>
      </c>
      <c r="DI185" s="13">
        <v>2</v>
      </c>
      <c r="DJ185" s="13">
        <v>2</v>
      </c>
      <c r="DK185" s="13">
        <v>4</v>
      </c>
      <c r="DL185" s="13">
        <v>3</v>
      </c>
      <c r="DM185" s="13">
        <v>2</v>
      </c>
      <c r="DN185" s="13">
        <v>3</v>
      </c>
      <c r="DO185" s="13">
        <v>2</v>
      </c>
      <c r="DP185" s="13">
        <v>3</v>
      </c>
      <c r="DQ185" s="13">
        <v>2</v>
      </c>
      <c r="DR185" s="13">
        <v>3</v>
      </c>
      <c r="DS185" s="13" t="s">
        <v>99</v>
      </c>
      <c r="DT185" s="13" t="s">
        <v>84</v>
      </c>
      <c r="DU185" s="13"/>
      <c r="DV185" s="13" t="s">
        <v>84</v>
      </c>
      <c r="DW185" s="13" t="s">
        <v>93</v>
      </c>
      <c r="DX185" s="13" t="s">
        <v>81</v>
      </c>
      <c r="DY185" s="13" t="s">
        <v>2906</v>
      </c>
      <c r="DZ185" s="13" t="s">
        <v>93</v>
      </c>
      <c r="EA185" s="13" t="s">
        <v>2907</v>
      </c>
      <c r="EB185" s="13" t="s">
        <v>82</v>
      </c>
      <c r="EC185" s="13"/>
      <c r="ED185" s="13" t="s">
        <v>81</v>
      </c>
      <c r="EE185" s="13"/>
      <c r="EF185" s="13" t="s">
        <v>84</v>
      </c>
      <c r="EG185" s="13" t="s">
        <v>84</v>
      </c>
      <c r="EH185" s="13" t="s">
        <v>82</v>
      </c>
      <c r="EI185" s="13"/>
      <c r="EJ185" s="13" t="s">
        <v>2908</v>
      </c>
      <c r="EK185" s="13" t="s">
        <v>2909</v>
      </c>
      <c r="EL185" s="13" t="s">
        <v>2910</v>
      </c>
      <c r="EM185" s="9">
        <v>2391.52</v>
      </c>
      <c r="EN185" s="9">
        <v>25.94</v>
      </c>
      <c r="EQ185" s="9">
        <v>101.45</v>
      </c>
      <c r="EW185" s="9">
        <v>183.37</v>
      </c>
      <c r="FF185" s="9">
        <v>247.53</v>
      </c>
      <c r="FJ185" s="9">
        <v>20.14</v>
      </c>
      <c r="FP185" s="9">
        <v>29.04</v>
      </c>
      <c r="FV185" s="9">
        <v>115.51</v>
      </c>
      <c r="GC185" s="9">
        <v>867.79</v>
      </c>
      <c r="GT185" s="9">
        <v>34.96</v>
      </c>
      <c r="GX185" s="9">
        <v>152.63999999999999</v>
      </c>
      <c r="HB185" s="9">
        <v>613.15</v>
      </c>
      <c r="HQ185" s="62">
        <f t="shared" si="14"/>
        <v>2391.52</v>
      </c>
      <c r="HR185" s="62">
        <f t="shared" si="16"/>
        <v>39.858666666666664</v>
      </c>
    </row>
    <row r="186" spans="1:226" s="9" customFormat="1" ht="12.75" x14ac:dyDescent="0.2">
      <c r="A186" s="11">
        <v>245</v>
      </c>
      <c r="B186" s="9">
        <v>275</v>
      </c>
      <c r="C186" s="9" t="s">
        <v>83</v>
      </c>
      <c r="D186" s="9">
        <v>11</v>
      </c>
      <c r="E186" s="9" t="s">
        <v>79</v>
      </c>
      <c r="F186" s="9">
        <v>1603041125</v>
      </c>
      <c r="G186" s="9" t="s">
        <v>81</v>
      </c>
      <c r="H186" s="9" t="s">
        <v>84</v>
      </c>
      <c r="I186" s="13" t="s">
        <v>119</v>
      </c>
      <c r="J186" s="13" t="s">
        <v>2911</v>
      </c>
      <c r="K186" s="58"/>
      <c r="L186" s="58"/>
      <c r="M186" s="13" t="s">
        <v>1319</v>
      </c>
      <c r="N186" s="13" t="s">
        <v>618</v>
      </c>
      <c r="O186" s="13"/>
      <c r="P186" s="13" t="s">
        <v>87</v>
      </c>
      <c r="Q186" s="13" t="s">
        <v>1358</v>
      </c>
      <c r="R186" s="58"/>
      <c r="S186" s="13" t="s">
        <v>84</v>
      </c>
      <c r="T186" s="13" t="s">
        <v>84</v>
      </c>
      <c r="U186" s="13" t="s">
        <v>84</v>
      </c>
      <c r="V186" s="13" t="s">
        <v>82</v>
      </c>
      <c r="W186" s="13" t="s">
        <v>82</v>
      </c>
      <c r="X186" s="13" t="s">
        <v>82</v>
      </c>
      <c r="Y186" s="13" t="s">
        <v>84</v>
      </c>
      <c r="Z186" s="13" t="s">
        <v>84</v>
      </c>
      <c r="AA186" s="13"/>
      <c r="AB186" s="13" t="s">
        <v>82</v>
      </c>
      <c r="AC186" s="13"/>
      <c r="AD186" s="13" t="s">
        <v>82</v>
      </c>
      <c r="AE186" s="13"/>
      <c r="AF186" s="13"/>
      <c r="AG186" s="13" t="s">
        <v>82</v>
      </c>
      <c r="AH186" s="13"/>
      <c r="AI186" s="13" t="s">
        <v>84</v>
      </c>
      <c r="AJ186" s="13" t="s">
        <v>2912</v>
      </c>
      <c r="AK186" s="13" t="s">
        <v>2913</v>
      </c>
      <c r="AL186" s="13" t="s">
        <v>140</v>
      </c>
      <c r="AM186" s="13" t="s">
        <v>91</v>
      </c>
      <c r="AN186" s="13"/>
      <c r="AO186" s="13" t="s">
        <v>80</v>
      </c>
      <c r="AP186" s="58"/>
      <c r="AQ186" s="13" t="s">
        <v>80</v>
      </c>
      <c r="AR186" s="13" t="s">
        <v>80</v>
      </c>
      <c r="AS186" s="13" t="s">
        <v>80</v>
      </c>
      <c r="AT186" s="13" t="s">
        <v>80</v>
      </c>
      <c r="AU186" s="13"/>
      <c r="AV186" s="58"/>
      <c r="AW186" s="13" t="s">
        <v>84</v>
      </c>
      <c r="AX186" s="13" t="s">
        <v>84</v>
      </c>
      <c r="AY186" s="13" t="s">
        <v>84</v>
      </c>
      <c r="AZ186" s="13" t="s">
        <v>84</v>
      </c>
      <c r="BA186" s="13"/>
      <c r="BB186" s="13" t="s">
        <v>82</v>
      </c>
      <c r="BC186" s="13" t="s">
        <v>82</v>
      </c>
      <c r="BD186" s="13" t="s">
        <v>113</v>
      </c>
      <c r="BE186" s="13" t="s">
        <v>113</v>
      </c>
      <c r="BF186" s="13" t="s">
        <v>93</v>
      </c>
      <c r="BG186" s="13" t="s">
        <v>84</v>
      </c>
      <c r="BH186" s="13" t="s">
        <v>84</v>
      </c>
      <c r="BI186" s="13" t="s">
        <v>2914</v>
      </c>
      <c r="BJ186" s="13" t="s">
        <v>84</v>
      </c>
      <c r="BK186" s="13" t="s">
        <v>80</v>
      </c>
      <c r="BL186" s="13">
        <v>1</v>
      </c>
      <c r="BM186" s="13">
        <v>1</v>
      </c>
      <c r="BN186" s="13">
        <v>1</v>
      </c>
      <c r="BO186" s="13">
        <v>1</v>
      </c>
      <c r="BP186" s="13">
        <v>1</v>
      </c>
      <c r="BQ186" s="13">
        <v>1</v>
      </c>
      <c r="BR186" s="58"/>
      <c r="BS186" s="13" t="s">
        <v>118</v>
      </c>
      <c r="BT186" s="13"/>
      <c r="BU186" s="13"/>
      <c r="BV186" s="13"/>
      <c r="BW186" s="58"/>
      <c r="BX186" s="13" t="s">
        <v>84</v>
      </c>
      <c r="BY186" s="13"/>
      <c r="BZ186" s="13" t="s">
        <v>84</v>
      </c>
      <c r="CA186" s="13"/>
      <c r="CB186" s="13" t="s">
        <v>82</v>
      </c>
      <c r="CC186" s="13"/>
      <c r="CD186" s="13" t="s">
        <v>82</v>
      </c>
      <c r="CE186" s="13"/>
      <c r="CF186" s="13"/>
      <c r="CG186" s="13"/>
      <c r="CH186" s="58"/>
      <c r="CI186" s="13" t="s">
        <v>84</v>
      </c>
      <c r="CJ186" s="13"/>
      <c r="CK186" s="13" t="s">
        <v>84</v>
      </c>
      <c r="CL186" s="13"/>
      <c r="CM186" s="13" t="s">
        <v>84</v>
      </c>
      <c r="CN186" s="13"/>
      <c r="CO186" s="13"/>
      <c r="CP186" s="13"/>
      <c r="CQ186" s="13" t="s">
        <v>118</v>
      </c>
      <c r="CR186" s="13" t="s">
        <v>82</v>
      </c>
      <c r="CS186" s="13"/>
      <c r="CT186" s="13"/>
      <c r="CU186" s="13"/>
      <c r="CV186" s="13"/>
      <c r="CW186" s="13" t="s">
        <v>82</v>
      </c>
      <c r="CX186" s="13"/>
      <c r="CY186" s="13" t="s">
        <v>81</v>
      </c>
      <c r="CZ186" s="13"/>
      <c r="DA186" s="13" t="s">
        <v>82</v>
      </c>
      <c r="DB186" s="13"/>
      <c r="DC186" s="13" t="s">
        <v>84</v>
      </c>
      <c r="DD186" s="13" t="s">
        <v>84</v>
      </c>
      <c r="DE186" s="58"/>
      <c r="DF186" s="58"/>
      <c r="DG186" s="13">
        <v>5</v>
      </c>
      <c r="DH186" s="13">
        <v>1</v>
      </c>
      <c r="DI186" s="13">
        <v>2</v>
      </c>
      <c r="DJ186" s="13">
        <v>1</v>
      </c>
      <c r="DK186" s="13">
        <v>3</v>
      </c>
      <c r="DL186" s="13">
        <v>1</v>
      </c>
      <c r="DM186" s="13">
        <v>1</v>
      </c>
      <c r="DN186" s="13">
        <v>1</v>
      </c>
      <c r="DO186" s="13">
        <v>2</v>
      </c>
      <c r="DP186" s="13">
        <v>2</v>
      </c>
      <c r="DQ186" s="13">
        <v>2</v>
      </c>
      <c r="DR186" s="13">
        <v>1</v>
      </c>
      <c r="DS186" s="13" t="s">
        <v>118</v>
      </c>
      <c r="DT186" s="13" t="s">
        <v>82</v>
      </c>
      <c r="DU186" s="13" t="s">
        <v>2915</v>
      </c>
      <c r="DV186" s="13" t="s">
        <v>84</v>
      </c>
      <c r="DW186" s="13" t="s">
        <v>113</v>
      </c>
      <c r="DX186" s="13" t="s">
        <v>81</v>
      </c>
      <c r="DY186" s="13" t="s">
        <v>2916</v>
      </c>
      <c r="DZ186" s="13" t="s">
        <v>113</v>
      </c>
      <c r="EA186" s="13" t="s">
        <v>2917</v>
      </c>
      <c r="EB186" s="13" t="s">
        <v>82</v>
      </c>
      <c r="EC186" s="13"/>
      <c r="ED186" s="13" t="s">
        <v>81</v>
      </c>
      <c r="EE186" s="13" t="s">
        <v>2918</v>
      </c>
      <c r="EF186" s="13" t="s">
        <v>82</v>
      </c>
      <c r="EG186" s="13" t="s">
        <v>84</v>
      </c>
      <c r="EH186" s="13" t="s">
        <v>84</v>
      </c>
      <c r="EI186" s="13" t="s">
        <v>2919</v>
      </c>
      <c r="EJ186" s="13" t="s">
        <v>2920</v>
      </c>
      <c r="EK186" s="13" t="s">
        <v>2921</v>
      </c>
      <c r="EL186" s="13" t="s">
        <v>2922</v>
      </c>
      <c r="EM186" s="9">
        <v>1525.38</v>
      </c>
      <c r="EN186" s="9">
        <v>28.59</v>
      </c>
      <c r="EQ186" s="9">
        <v>88.22</v>
      </c>
      <c r="EW186" s="9">
        <v>129.93</v>
      </c>
      <c r="FF186" s="9">
        <v>65.23</v>
      </c>
      <c r="FJ186" s="9">
        <v>13.04</v>
      </c>
      <c r="FP186" s="9">
        <v>100.87</v>
      </c>
      <c r="FV186" s="9">
        <v>149.83000000000001</v>
      </c>
      <c r="GC186" s="9">
        <v>207.23</v>
      </c>
      <c r="GT186" s="9">
        <v>48.32</v>
      </c>
      <c r="GX186" s="9">
        <v>116.12</v>
      </c>
      <c r="HB186" s="9">
        <v>578</v>
      </c>
      <c r="HQ186" s="62">
        <f t="shared" si="14"/>
        <v>1525.38</v>
      </c>
      <c r="HR186" s="62">
        <f t="shared" si="16"/>
        <v>25.423000000000002</v>
      </c>
    </row>
    <row r="187" spans="1:226" s="9" customFormat="1" ht="12.75" x14ac:dyDescent="0.2">
      <c r="A187" s="11">
        <v>246</v>
      </c>
      <c r="B187" s="9">
        <v>277</v>
      </c>
      <c r="C187" s="9" t="s">
        <v>83</v>
      </c>
      <c r="D187" s="9">
        <v>11</v>
      </c>
      <c r="E187" s="9" t="s">
        <v>79</v>
      </c>
      <c r="F187" s="9">
        <v>1500136709</v>
      </c>
      <c r="G187" s="9" t="s">
        <v>81</v>
      </c>
      <c r="H187" s="9" t="s">
        <v>84</v>
      </c>
      <c r="I187" s="13" t="s">
        <v>107</v>
      </c>
      <c r="J187" s="13"/>
      <c r="K187" s="58"/>
      <c r="L187" s="58"/>
      <c r="M187" s="13" t="s">
        <v>1319</v>
      </c>
      <c r="N187" s="13" t="s">
        <v>618</v>
      </c>
      <c r="O187" s="13"/>
      <c r="P187" s="13" t="s">
        <v>87</v>
      </c>
      <c r="Q187" s="13" t="s">
        <v>1296</v>
      </c>
      <c r="R187" s="58"/>
      <c r="S187" s="13" t="s">
        <v>84</v>
      </c>
      <c r="T187" s="13" t="s">
        <v>84</v>
      </c>
      <c r="U187" s="13" t="s">
        <v>82</v>
      </c>
      <c r="V187" s="13" t="s">
        <v>84</v>
      </c>
      <c r="W187" s="13" t="s">
        <v>82</v>
      </c>
      <c r="X187" s="13" t="s">
        <v>82</v>
      </c>
      <c r="Y187" s="13" t="s">
        <v>84</v>
      </c>
      <c r="Z187" s="13" t="s">
        <v>84</v>
      </c>
      <c r="AA187" s="13"/>
      <c r="AB187" s="13" t="s">
        <v>82</v>
      </c>
      <c r="AC187" s="13"/>
      <c r="AD187" s="13" t="s">
        <v>82</v>
      </c>
      <c r="AE187" s="13"/>
      <c r="AF187" s="13"/>
      <c r="AG187" s="13" t="s">
        <v>82</v>
      </c>
      <c r="AH187" s="13"/>
      <c r="AI187" s="13" t="s">
        <v>84</v>
      </c>
      <c r="AJ187" s="13"/>
      <c r="AK187" s="13" t="s">
        <v>2923</v>
      </c>
      <c r="AL187" s="13" t="s">
        <v>126</v>
      </c>
      <c r="AM187" s="13" t="s">
        <v>111</v>
      </c>
      <c r="AN187" s="13"/>
      <c r="AO187" s="13" t="s">
        <v>80</v>
      </c>
      <c r="AP187" s="58"/>
      <c r="AQ187" s="13" t="s">
        <v>84</v>
      </c>
      <c r="AR187" s="13" t="s">
        <v>82</v>
      </c>
      <c r="AS187" s="13" t="s">
        <v>82</v>
      </c>
      <c r="AT187" s="13" t="s">
        <v>84</v>
      </c>
      <c r="AU187" s="13"/>
      <c r="AV187" s="58"/>
      <c r="AW187" s="13" t="s">
        <v>80</v>
      </c>
      <c r="AX187" s="13" t="s">
        <v>80</v>
      </c>
      <c r="AY187" s="13" t="s">
        <v>80</v>
      </c>
      <c r="AZ187" s="13" t="s">
        <v>80</v>
      </c>
      <c r="BA187" s="13"/>
      <c r="BB187" s="13" t="s">
        <v>84</v>
      </c>
      <c r="BC187" s="13" t="s">
        <v>80</v>
      </c>
      <c r="BD187" s="13" t="s">
        <v>100</v>
      </c>
      <c r="BE187" s="13" t="s">
        <v>113</v>
      </c>
      <c r="BF187" s="13" t="s">
        <v>112</v>
      </c>
      <c r="BG187" s="13" t="s">
        <v>84</v>
      </c>
      <c r="BH187" s="13" t="s">
        <v>84</v>
      </c>
      <c r="BI187" s="13"/>
      <c r="BJ187" s="13" t="s">
        <v>84</v>
      </c>
      <c r="BK187" s="13" t="s">
        <v>80</v>
      </c>
      <c r="BL187" s="13">
        <v>3</v>
      </c>
      <c r="BM187" s="13">
        <v>3</v>
      </c>
      <c r="BN187" s="13">
        <v>3</v>
      </c>
      <c r="BO187" s="13">
        <v>3</v>
      </c>
      <c r="BP187" s="13">
        <v>3</v>
      </c>
      <c r="BQ187" s="13">
        <v>3</v>
      </c>
      <c r="BR187" s="58"/>
      <c r="BS187" s="13" t="s">
        <v>118</v>
      </c>
      <c r="BT187" s="13"/>
      <c r="BU187" s="13"/>
      <c r="BV187" s="13"/>
      <c r="BW187" s="58"/>
      <c r="BX187" s="13" t="s">
        <v>84</v>
      </c>
      <c r="BY187" s="13" t="s">
        <v>2924</v>
      </c>
      <c r="BZ187" s="13" t="s">
        <v>84</v>
      </c>
      <c r="CA187" s="13" t="s">
        <v>2925</v>
      </c>
      <c r="CB187" s="13" t="s">
        <v>82</v>
      </c>
      <c r="CC187" s="13"/>
      <c r="CD187" s="13" t="s">
        <v>84</v>
      </c>
      <c r="CE187" s="13" t="s">
        <v>2926</v>
      </c>
      <c r="CF187" s="13"/>
      <c r="CG187" s="13"/>
      <c r="CH187" s="58"/>
      <c r="CI187" s="13" t="s">
        <v>84</v>
      </c>
      <c r="CJ187" s="13" t="s">
        <v>2927</v>
      </c>
      <c r="CK187" s="13" t="s">
        <v>82</v>
      </c>
      <c r="CL187" s="13"/>
      <c r="CM187" s="13" t="s">
        <v>84</v>
      </c>
      <c r="CN187" s="13" t="s">
        <v>2928</v>
      </c>
      <c r="CO187" s="13"/>
      <c r="CP187" s="13"/>
      <c r="CQ187" s="13" t="s">
        <v>97</v>
      </c>
      <c r="CR187" s="13" t="s">
        <v>84</v>
      </c>
      <c r="CS187" s="13" t="s">
        <v>97</v>
      </c>
      <c r="CT187" s="13"/>
      <c r="CU187" s="13" t="s">
        <v>246</v>
      </c>
      <c r="CV187" s="13"/>
      <c r="CW187" s="13" t="s">
        <v>82</v>
      </c>
      <c r="CX187" s="13"/>
      <c r="CY187" s="13" t="s">
        <v>246</v>
      </c>
      <c r="CZ187" s="13"/>
      <c r="DA187" s="13" t="s">
        <v>84</v>
      </c>
      <c r="DB187" s="13"/>
      <c r="DC187" s="13" t="s">
        <v>84</v>
      </c>
      <c r="DD187" s="13" t="s">
        <v>84</v>
      </c>
      <c r="DE187" s="58"/>
      <c r="DF187" s="58"/>
      <c r="DG187" s="13">
        <v>2</v>
      </c>
      <c r="DH187" s="13">
        <v>1</v>
      </c>
      <c r="DI187" s="13">
        <v>1</v>
      </c>
      <c r="DJ187" s="13">
        <v>1</v>
      </c>
      <c r="DK187" s="13">
        <v>1</v>
      </c>
      <c r="DL187" s="13">
        <v>1</v>
      </c>
      <c r="DM187" s="13">
        <v>1</v>
      </c>
      <c r="DN187" s="13">
        <v>1</v>
      </c>
      <c r="DO187" s="13">
        <v>1</v>
      </c>
      <c r="DP187" s="13">
        <v>1</v>
      </c>
      <c r="DQ187" s="13">
        <v>1</v>
      </c>
      <c r="DR187" s="13">
        <v>1</v>
      </c>
      <c r="DS187" s="13" t="s">
        <v>118</v>
      </c>
      <c r="DT187" s="13" t="s">
        <v>84</v>
      </c>
      <c r="DU187" s="13"/>
      <c r="DV187" s="13" t="s">
        <v>84</v>
      </c>
      <c r="DW187" s="13" t="s">
        <v>113</v>
      </c>
      <c r="DX187" s="13" t="s">
        <v>81</v>
      </c>
      <c r="DY187" s="13"/>
      <c r="DZ187" s="13" t="s">
        <v>93</v>
      </c>
      <c r="EA187" s="13"/>
      <c r="EB187" s="13" t="s">
        <v>84</v>
      </c>
      <c r="EC187" s="13"/>
      <c r="ED187" s="13"/>
      <c r="EE187" s="13"/>
      <c r="EF187" s="13" t="s">
        <v>82</v>
      </c>
      <c r="EG187" s="13" t="s">
        <v>82</v>
      </c>
      <c r="EH187" s="13" t="s">
        <v>84</v>
      </c>
      <c r="EI187" s="13"/>
      <c r="EJ187" s="13"/>
      <c r="EK187" s="13"/>
      <c r="EL187" s="13"/>
      <c r="EM187" s="9">
        <v>588.37</v>
      </c>
      <c r="EN187" s="9">
        <v>8.2100000000000009</v>
      </c>
      <c r="EQ187" s="9">
        <v>74.98</v>
      </c>
      <c r="EW187" s="9">
        <v>26.92</v>
      </c>
      <c r="FF187" s="9">
        <v>38.56</v>
      </c>
      <c r="FJ187" s="9">
        <v>13.68</v>
      </c>
      <c r="FP187" s="9">
        <v>30.01</v>
      </c>
      <c r="FV187" s="9">
        <v>88.01</v>
      </c>
      <c r="GC187" s="9">
        <v>218.7</v>
      </c>
      <c r="GT187" s="9">
        <v>16.05</v>
      </c>
      <c r="GX187" s="9">
        <v>14.37</v>
      </c>
      <c r="HB187" s="9">
        <v>58.88</v>
      </c>
      <c r="HQ187" s="62">
        <f t="shared" si="14"/>
        <v>588.37</v>
      </c>
      <c r="HR187" s="62">
        <f t="shared" si="16"/>
        <v>9.806166666666666</v>
      </c>
    </row>
    <row r="188" spans="1:226" s="9" customFormat="1" ht="12.75" x14ac:dyDescent="0.2">
      <c r="A188" s="11">
        <v>247</v>
      </c>
      <c r="B188" s="9">
        <v>278</v>
      </c>
      <c r="C188" s="9" t="s">
        <v>83</v>
      </c>
      <c r="D188" s="9">
        <v>11</v>
      </c>
      <c r="E188" s="9" t="s">
        <v>79</v>
      </c>
      <c r="F188" s="9">
        <v>907838417</v>
      </c>
      <c r="G188" s="9" t="s">
        <v>81</v>
      </c>
      <c r="H188" s="9" t="s">
        <v>84</v>
      </c>
      <c r="I188" s="13" t="s">
        <v>119</v>
      </c>
      <c r="J188" s="13" t="s">
        <v>2929</v>
      </c>
      <c r="K188" s="58"/>
      <c r="L188" s="58"/>
      <c r="M188" s="13" t="s">
        <v>1319</v>
      </c>
      <c r="N188" s="13" t="s">
        <v>86</v>
      </c>
      <c r="O188" s="13"/>
      <c r="P188" s="13" t="s">
        <v>632</v>
      </c>
      <c r="Q188" s="13" t="s">
        <v>1358</v>
      </c>
      <c r="R188" s="58"/>
      <c r="S188" s="13" t="s">
        <v>84</v>
      </c>
      <c r="T188" s="13" t="s">
        <v>84</v>
      </c>
      <c r="U188" s="13" t="s">
        <v>84</v>
      </c>
      <c r="V188" s="13" t="s">
        <v>82</v>
      </c>
      <c r="W188" s="13" t="s">
        <v>82</v>
      </c>
      <c r="X188" s="13" t="s">
        <v>82</v>
      </c>
      <c r="Y188" s="13" t="s">
        <v>82</v>
      </c>
      <c r="Z188" s="13" t="s">
        <v>84</v>
      </c>
      <c r="AA188" s="13"/>
      <c r="AB188" s="13" t="s">
        <v>82</v>
      </c>
      <c r="AC188" s="13"/>
      <c r="AD188" s="13" t="s">
        <v>82</v>
      </c>
      <c r="AE188" s="13"/>
      <c r="AF188" s="13"/>
      <c r="AG188" s="13" t="s">
        <v>82</v>
      </c>
      <c r="AH188" s="13"/>
      <c r="AI188" s="13" t="s">
        <v>84</v>
      </c>
      <c r="AJ188" s="13"/>
      <c r="AK188" s="13" t="s">
        <v>2930</v>
      </c>
      <c r="AL188" s="13" t="s">
        <v>126</v>
      </c>
      <c r="AM188" s="13" t="s">
        <v>91</v>
      </c>
      <c r="AN188" s="13"/>
      <c r="AO188" s="13" t="s">
        <v>80</v>
      </c>
      <c r="AP188" s="58"/>
      <c r="AQ188" s="13" t="s">
        <v>80</v>
      </c>
      <c r="AR188" s="13" t="s">
        <v>80</v>
      </c>
      <c r="AS188" s="13" t="s">
        <v>80</v>
      </c>
      <c r="AT188" s="13" t="s">
        <v>80</v>
      </c>
      <c r="AU188" s="13"/>
      <c r="AV188" s="58"/>
      <c r="AW188" s="13" t="s">
        <v>84</v>
      </c>
      <c r="AX188" s="13" t="s">
        <v>82</v>
      </c>
      <c r="AY188" s="13" t="s">
        <v>82</v>
      </c>
      <c r="AZ188" s="13" t="s">
        <v>84</v>
      </c>
      <c r="BA188" s="13"/>
      <c r="BB188" s="13" t="s">
        <v>84</v>
      </c>
      <c r="BC188" s="13" t="s">
        <v>80</v>
      </c>
      <c r="BD188" s="13" t="s">
        <v>93</v>
      </c>
      <c r="BE188" s="13" t="s">
        <v>113</v>
      </c>
      <c r="BF188" s="13" t="s">
        <v>112</v>
      </c>
      <c r="BG188" s="13" t="s">
        <v>84</v>
      </c>
      <c r="BH188" s="13" t="s">
        <v>84</v>
      </c>
      <c r="BI188" s="13" t="s">
        <v>2931</v>
      </c>
      <c r="BJ188" s="13" t="s">
        <v>84</v>
      </c>
      <c r="BK188" s="13" t="s">
        <v>80</v>
      </c>
      <c r="BL188" s="13">
        <v>5</v>
      </c>
      <c r="BM188" s="13">
        <v>3</v>
      </c>
      <c r="BN188" s="13">
        <v>3</v>
      </c>
      <c r="BO188" s="13">
        <v>1</v>
      </c>
      <c r="BP188" s="13">
        <v>4</v>
      </c>
      <c r="BQ188" s="13">
        <v>3</v>
      </c>
      <c r="BR188" s="58"/>
      <c r="BS188" s="13" t="s">
        <v>97</v>
      </c>
      <c r="BT188" s="13"/>
      <c r="BU188" s="13" t="s">
        <v>246</v>
      </c>
      <c r="BV188" s="13" t="s">
        <v>2932</v>
      </c>
      <c r="BW188" s="58"/>
      <c r="BX188" s="13" t="s">
        <v>80</v>
      </c>
      <c r="BY188" s="13"/>
      <c r="BZ188" s="13" t="s">
        <v>80</v>
      </c>
      <c r="CA188" s="13"/>
      <c r="CB188" s="13" t="s">
        <v>80</v>
      </c>
      <c r="CC188" s="13"/>
      <c r="CD188" s="13" t="s">
        <v>80</v>
      </c>
      <c r="CE188" s="13"/>
      <c r="CF188" s="13"/>
      <c r="CG188" s="13"/>
      <c r="CH188" s="58"/>
      <c r="CI188" s="13" t="s">
        <v>84</v>
      </c>
      <c r="CJ188" s="13"/>
      <c r="CK188" s="13" t="s">
        <v>84</v>
      </c>
      <c r="CL188" s="13"/>
      <c r="CM188" s="13" t="s">
        <v>82</v>
      </c>
      <c r="CN188" s="13"/>
      <c r="CO188" s="13"/>
      <c r="CP188" s="13"/>
      <c r="CQ188" s="13" t="s">
        <v>118</v>
      </c>
      <c r="CR188" s="13" t="s">
        <v>84</v>
      </c>
      <c r="CS188" s="13" t="s">
        <v>1312</v>
      </c>
      <c r="CT188" s="13"/>
      <c r="CU188" s="13" t="s">
        <v>246</v>
      </c>
      <c r="CV188" s="13"/>
      <c r="CW188" s="13" t="s">
        <v>84</v>
      </c>
      <c r="CX188" s="13" t="s">
        <v>2933</v>
      </c>
      <c r="CY188" s="13"/>
      <c r="CZ188" s="13"/>
      <c r="DA188" s="13" t="s">
        <v>82</v>
      </c>
      <c r="DB188" s="13"/>
      <c r="DC188" s="13" t="s">
        <v>84</v>
      </c>
      <c r="DD188" s="13" t="s">
        <v>84</v>
      </c>
      <c r="DE188" s="58"/>
      <c r="DF188" s="58"/>
      <c r="DG188" s="13">
        <v>3</v>
      </c>
      <c r="DH188" s="13">
        <v>1</v>
      </c>
      <c r="DI188" s="13">
        <v>3</v>
      </c>
      <c r="DJ188" s="13">
        <v>1</v>
      </c>
      <c r="DK188" s="13">
        <v>3</v>
      </c>
      <c r="DL188" s="13">
        <v>1</v>
      </c>
      <c r="DM188" s="13">
        <v>2</v>
      </c>
      <c r="DN188" s="13">
        <v>1</v>
      </c>
      <c r="DO188" s="13">
        <v>3</v>
      </c>
      <c r="DP188" s="13">
        <v>1</v>
      </c>
      <c r="DQ188" s="13">
        <v>3</v>
      </c>
      <c r="DR188" s="13">
        <v>1</v>
      </c>
      <c r="DS188" s="13" t="s">
        <v>118</v>
      </c>
      <c r="DT188" s="13" t="s">
        <v>82</v>
      </c>
      <c r="DU188" s="13" t="s">
        <v>2934</v>
      </c>
      <c r="DV188" s="13" t="s">
        <v>84</v>
      </c>
      <c r="DW188" s="13" t="s">
        <v>100</v>
      </c>
      <c r="DX188" s="13" t="s">
        <v>81</v>
      </c>
      <c r="DY188" s="13"/>
      <c r="DZ188" s="13" t="s">
        <v>113</v>
      </c>
      <c r="EA188" s="13"/>
      <c r="EB188" s="13" t="s">
        <v>84</v>
      </c>
      <c r="EC188" s="13"/>
      <c r="ED188" s="13"/>
      <c r="EE188" s="13"/>
      <c r="EF188" s="13" t="s">
        <v>84</v>
      </c>
      <c r="EG188" s="13" t="s">
        <v>82</v>
      </c>
      <c r="EH188" s="13" t="s">
        <v>82</v>
      </c>
      <c r="EI188" s="13"/>
      <c r="EJ188" s="13"/>
      <c r="EK188" s="13"/>
      <c r="EL188" s="13"/>
      <c r="EM188" s="9">
        <v>1988.31</v>
      </c>
      <c r="EN188" s="9">
        <v>58.64</v>
      </c>
      <c r="EQ188" s="9">
        <v>343.71</v>
      </c>
      <c r="EW188" s="9">
        <v>67.27</v>
      </c>
      <c r="FF188" s="9">
        <v>86.64</v>
      </c>
      <c r="FJ188" s="9">
        <v>29.62</v>
      </c>
      <c r="FP188" s="9">
        <v>52.25</v>
      </c>
      <c r="FV188" s="9">
        <v>241.14</v>
      </c>
      <c r="GC188" s="9">
        <v>418.59</v>
      </c>
      <c r="GT188" s="9">
        <v>239.98</v>
      </c>
      <c r="GX188" s="9">
        <v>71.349999999999994</v>
      </c>
      <c r="HB188" s="9">
        <v>379.12</v>
      </c>
      <c r="HQ188" s="62">
        <f t="shared" si="14"/>
        <v>1988.31</v>
      </c>
      <c r="HR188" s="62">
        <f t="shared" si="16"/>
        <v>33.138500000000001</v>
      </c>
    </row>
    <row r="189" spans="1:226" s="9" customFormat="1" ht="12.75" x14ac:dyDescent="0.2">
      <c r="A189" s="11">
        <v>248</v>
      </c>
      <c r="B189" s="9">
        <v>279</v>
      </c>
      <c r="C189" s="9" t="s">
        <v>83</v>
      </c>
      <c r="D189" s="9">
        <v>11</v>
      </c>
      <c r="E189" s="9" t="s">
        <v>79</v>
      </c>
      <c r="F189" s="9">
        <v>838150051</v>
      </c>
      <c r="G189" s="9" t="s">
        <v>81</v>
      </c>
      <c r="H189" s="9" t="s">
        <v>84</v>
      </c>
      <c r="I189" s="13" t="s">
        <v>107</v>
      </c>
      <c r="J189" s="13"/>
      <c r="K189" s="58"/>
      <c r="L189" s="58"/>
      <c r="M189" s="13" t="s">
        <v>1319</v>
      </c>
      <c r="N189" s="13" t="s">
        <v>618</v>
      </c>
      <c r="O189" s="13"/>
      <c r="P189" s="13" t="s">
        <v>87</v>
      </c>
      <c r="Q189" s="13" t="s">
        <v>1310</v>
      </c>
      <c r="R189" s="58"/>
      <c r="S189" s="13" t="s">
        <v>84</v>
      </c>
      <c r="T189" s="13" t="s">
        <v>84</v>
      </c>
      <c r="U189" s="13" t="s">
        <v>84</v>
      </c>
      <c r="V189" s="13" t="s">
        <v>82</v>
      </c>
      <c r="W189" s="13" t="s">
        <v>82</v>
      </c>
      <c r="X189" s="13" t="s">
        <v>82</v>
      </c>
      <c r="Y189" s="13" t="s">
        <v>84</v>
      </c>
      <c r="Z189" s="13" t="s">
        <v>84</v>
      </c>
      <c r="AA189" s="13"/>
      <c r="AB189" s="13" t="s">
        <v>82</v>
      </c>
      <c r="AC189" s="13"/>
      <c r="AD189" s="13" t="s">
        <v>82</v>
      </c>
      <c r="AE189" s="13"/>
      <c r="AF189" s="13"/>
      <c r="AG189" s="13" t="s">
        <v>84</v>
      </c>
      <c r="AH189" s="13"/>
      <c r="AI189" s="13" t="s">
        <v>84</v>
      </c>
      <c r="AJ189" s="13"/>
      <c r="AK189" s="13"/>
      <c r="AL189" s="13" t="s">
        <v>126</v>
      </c>
      <c r="AM189" s="13" t="s">
        <v>111</v>
      </c>
      <c r="AN189" s="13"/>
      <c r="AO189" s="13" t="s">
        <v>80</v>
      </c>
      <c r="AP189" s="58"/>
      <c r="AQ189" s="13" t="s">
        <v>84</v>
      </c>
      <c r="AR189" s="13" t="s">
        <v>82</v>
      </c>
      <c r="AS189" s="13" t="s">
        <v>84</v>
      </c>
      <c r="AT189" s="13" t="s">
        <v>84</v>
      </c>
      <c r="AU189" s="13" t="s">
        <v>2935</v>
      </c>
      <c r="AV189" s="58"/>
      <c r="AW189" s="13" t="s">
        <v>80</v>
      </c>
      <c r="AX189" s="13" t="s">
        <v>80</v>
      </c>
      <c r="AY189" s="13" t="s">
        <v>80</v>
      </c>
      <c r="AZ189" s="13" t="s">
        <v>80</v>
      </c>
      <c r="BA189" s="13"/>
      <c r="BB189" s="13" t="s">
        <v>84</v>
      </c>
      <c r="BC189" s="13" t="s">
        <v>80</v>
      </c>
      <c r="BD189" s="13" t="s">
        <v>113</v>
      </c>
      <c r="BE189" s="13" t="s">
        <v>113</v>
      </c>
      <c r="BF189" s="13" t="s">
        <v>100</v>
      </c>
      <c r="BG189" s="13" t="s">
        <v>82</v>
      </c>
      <c r="BH189" s="13" t="s">
        <v>82</v>
      </c>
      <c r="BI189" s="13"/>
      <c r="BJ189" s="13" t="s">
        <v>84</v>
      </c>
      <c r="BK189" s="13" t="s">
        <v>80</v>
      </c>
      <c r="BL189" s="13">
        <v>3</v>
      </c>
      <c r="BM189" s="13">
        <v>3</v>
      </c>
      <c r="BN189" s="13">
        <v>3</v>
      </c>
      <c r="BO189" s="13">
        <v>3</v>
      </c>
      <c r="BP189" s="13">
        <v>2</v>
      </c>
      <c r="BQ189" s="13">
        <v>3</v>
      </c>
      <c r="BR189" s="58"/>
      <c r="BS189" s="13" t="s">
        <v>97</v>
      </c>
      <c r="BT189" s="13"/>
      <c r="BU189" s="13" t="s">
        <v>246</v>
      </c>
      <c r="BV189" s="13"/>
      <c r="BW189" s="58"/>
      <c r="BX189" s="13" t="s">
        <v>80</v>
      </c>
      <c r="BY189" s="13"/>
      <c r="BZ189" s="13" t="s">
        <v>80</v>
      </c>
      <c r="CA189" s="13"/>
      <c r="CB189" s="13" t="s">
        <v>80</v>
      </c>
      <c r="CC189" s="13"/>
      <c r="CD189" s="13" t="s">
        <v>80</v>
      </c>
      <c r="CE189" s="13"/>
      <c r="CF189" s="13"/>
      <c r="CG189" s="13"/>
      <c r="CH189" s="58"/>
      <c r="CI189" s="13" t="s">
        <v>84</v>
      </c>
      <c r="CJ189" s="13"/>
      <c r="CK189" s="13" t="s">
        <v>82</v>
      </c>
      <c r="CL189" s="13"/>
      <c r="CM189" s="13" t="s">
        <v>82</v>
      </c>
      <c r="CN189" s="13"/>
      <c r="CO189" s="13"/>
      <c r="CP189" s="13"/>
      <c r="CQ189" s="13" t="s">
        <v>97</v>
      </c>
      <c r="CR189" s="13" t="s">
        <v>84</v>
      </c>
      <c r="CS189" s="13" t="s">
        <v>1312</v>
      </c>
      <c r="CT189" s="13"/>
      <c r="CU189" s="13" t="s">
        <v>81</v>
      </c>
      <c r="CV189" s="13"/>
      <c r="CW189" s="13" t="s">
        <v>82</v>
      </c>
      <c r="CX189" s="13"/>
      <c r="CY189" s="13" t="s">
        <v>246</v>
      </c>
      <c r="CZ189" s="13"/>
      <c r="DA189" s="13" t="s">
        <v>82</v>
      </c>
      <c r="DB189" s="13"/>
      <c r="DC189" s="13" t="s">
        <v>84</v>
      </c>
      <c r="DD189" s="13" t="s">
        <v>84</v>
      </c>
      <c r="DE189" s="58"/>
      <c r="DF189" s="58"/>
      <c r="DG189" s="13">
        <v>1</v>
      </c>
      <c r="DH189" s="13">
        <v>3</v>
      </c>
      <c r="DI189" s="13">
        <v>1</v>
      </c>
      <c r="DJ189" s="13">
        <v>3</v>
      </c>
      <c r="DK189" s="13">
        <v>1</v>
      </c>
      <c r="DL189" s="13">
        <v>3</v>
      </c>
      <c r="DM189" s="13">
        <v>1</v>
      </c>
      <c r="DN189" s="13">
        <v>3</v>
      </c>
      <c r="DO189" s="13">
        <v>2</v>
      </c>
      <c r="DP189" s="13">
        <v>3</v>
      </c>
      <c r="DQ189" s="13">
        <v>4</v>
      </c>
      <c r="DR189" s="13">
        <v>3</v>
      </c>
      <c r="DS189" s="13" t="s">
        <v>99</v>
      </c>
      <c r="DT189" s="13" t="s">
        <v>84</v>
      </c>
      <c r="DU189" s="13"/>
      <c r="DV189" s="13" t="s">
        <v>84</v>
      </c>
      <c r="DW189" s="13" t="s">
        <v>112</v>
      </c>
      <c r="DX189" s="13" t="s">
        <v>81</v>
      </c>
      <c r="DY189" s="13"/>
      <c r="DZ189" s="13" t="s">
        <v>113</v>
      </c>
      <c r="EA189" s="13"/>
      <c r="EB189" s="13" t="s">
        <v>82</v>
      </c>
      <c r="EC189" s="13"/>
      <c r="ED189" s="13" t="s">
        <v>81</v>
      </c>
      <c r="EE189" s="13"/>
      <c r="EF189" s="13" t="s">
        <v>82</v>
      </c>
      <c r="EG189" s="13" t="s">
        <v>82</v>
      </c>
      <c r="EH189" s="13" t="s">
        <v>84</v>
      </c>
      <c r="EI189" s="13"/>
      <c r="EJ189" s="13"/>
      <c r="EK189" s="13"/>
      <c r="EL189" s="13"/>
      <c r="EM189" s="9">
        <v>1919.11</v>
      </c>
      <c r="EN189" s="9">
        <v>66.22</v>
      </c>
      <c r="EQ189" s="9">
        <v>99.21</v>
      </c>
      <c r="EW189" s="9">
        <v>156.13</v>
      </c>
      <c r="FF189" s="9">
        <v>32.01</v>
      </c>
      <c r="FJ189" s="9">
        <v>47.07</v>
      </c>
      <c r="FP189" s="9">
        <v>133.47</v>
      </c>
      <c r="FV189" s="9">
        <v>479.87</v>
      </c>
      <c r="GC189" s="9">
        <v>764.66</v>
      </c>
      <c r="GT189" s="9">
        <v>24.27</v>
      </c>
      <c r="GX189" s="9">
        <v>35.01</v>
      </c>
      <c r="HB189" s="9">
        <v>81.19</v>
      </c>
      <c r="HQ189" s="62">
        <f t="shared" si="14"/>
        <v>1919.11</v>
      </c>
      <c r="HR189" s="62">
        <f t="shared" si="16"/>
        <v>31.985166666666665</v>
      </c>
    </row>
    <row r="190" spans="1:226" s="9" customFormat="1" ht="12.75" x14ac:dyDescent="0.2">
      <c r="A190" s="11">
        <v>249</v>
      </c>
      <c r="B190" s="9">
        <v>282</v>
      </c>
      <c r="C190" s="9" t="s">
        <v>83</v>
      </c>
      <c r="D190" s="9">
        <v>11</v>
      </c>
      <c r="E190" s="9" t="s">
        <v>79</v>
      </c>
      <c r="F190" s="9">
        <v>1670242617</v>
      </c>
      <c r="G190" s="9" t="s">
        <v>81</v>
      </c>
      <c r="H190" s="9" t="s">
        <v>84</v>
      </c>
      <c r="I190" s="13" t="s">
        <v>629</v>
      </c>
      <c r="J190" s="13"/>
      <c r="K190" s="58"/>
      <c r="L190" s="58"/>
      <c r="M190" s="13" t="s">
        <v>1294</v>
      </c>
      <c r="N190" s="13" t="s">
        <v>86</v>
      </c>
      <c r="O190" s="13"/>
      <c r="P190" s="13" t="s">
        <v>87</v>
      </c>
      <c r="Q190" s="13" t="s">
        <v>1358</v>
      </c>
      <c r="R190" s="58"/>
      <c r="S190" s="13" t="s">
        <v>84</v>
      </c>
      <c r="T190" s="13" t="s">
        <v>84</v>
      </c>
      <c r="U190" s="13" t="s">
        <v>82</v>
      </c>
      <c r="V190" s="13" t="s">
        <v>82</v>
      </c>
      <c r="W190" s="13" t="s">
        <v>82</v>
      </c>
      <c r="X190" s="13" t="s">
        <v>82</v>
      </c>
      <c r="Y190" s="13" t="s">
        <v>82</v>
      </c>
      <c r="Z190" s="13" t="s">
        <v>82</v>
      </c>
      <c r="AA190" s="13"/>
      <c r="AB190" s="13" t="s">
        <v>84</v>
      </c>
      <c r="AC190" s="13"/>
      <c r="AD190" s="13" t="s">
        <v>82</v>
      </c>
      <c r="AE190" s="13"/>
      <c r="AF190" s="13"/>
      <c r="AG190" s="13" t="s">
        <v>82</v>
      </c>
      <c r="AH190" s="13"/>
      <c r="AI190" s="13" t="s">
        <v>84</v>
      </c>
      <c r="AJ190" s="13"/>
      <c r="AK190" s="13"/>
      <c r="AL190" s="13" t="s">
        <v>296</v>
      </c>
      <c r="AM190" s="13" t="s">
        <v>91</v>
      </c>
      <c r="AN190" s="13"/>
      <c r="AO190" s="13" t="s">
        <v>80</v>
      </c>
      <c r="AP190" s="58"/>
      <c r="AQ190" s="13" t="s">
        <v>80</v>
      </c>
      <c r="AR190" s="13" t="s">
        <v>80</v>
      </c>
      <c r="AS190" s="13" t="s">
        <v>80</v>
      </c>
      <c r="AT190" s="13" t="s">
        <v>80</v>
      </c>
      <c r="AU190" s="13"/>
      <c r="AV190" s="58"/>
      <c r="AW190" s="13" t="s">
        <v>84</v>
      </c>
      <c r="AX190" s="13" t="s">
        <v>84</v>
      </c>
      <c r="AY190" s="13" t="s">
        <v>82</v>
      </c>
      <c r="AZ190" s="13" t="s">
        <v>82</v>
      </c>
      <c r="BA190" s="13"/>
      <c r="BB190" s="13" t="s">
        <v>84</v>
      </c>
      <c r="BC190" s="13" t="s">
        <v>80</v>
      </c>
      <c r="BD190" s="13" t="s">
        <v>113</v>
      </c>
      <c r="BE190" s="13" t="s">
        <v>113</v>
      </c>
      <c r="BF190" s="13" t="s">
        <v>100</v>
      </c>
      <c r="BG190" s="13" t="s">
        <v>84</v>
      </c>
      <c r="BH190" s="13" t="s">
        <v>84</v>
      </c>
      <c r="BI190" s="13"/>
      <c r="BJ190" s="13" t="s">
        <v>84</v>
      </c>
      <c r="BK190" s="13" t="s">
        <v>80</v>
      </c>
      <c r="BL190" s="13">
        <v>1</v>
      </c>
      <c r="BM190" s="13">
        <v>3</v>
      </c>
      <c r="BN190" s="13">
        <v>2</v>
      </c>
      <c r="BO190" s="13">
        <v>3</v>
      </c>
      <c r="BP190" s="13">
        <v>4</v>
      </c>
      <c r="BQ190" s="13">
        <v>5</v>
      </c>
      <c r="BR190" s="58"/>
      <c r="BS190" s="13" t="s">
        <v>97</v>
      </c>
      <c r="BT190" s="13"/>
      <c r="BU190" s="13" t="s">
        <v>246</v>
      </c>
      <c r="BV190" s="13"/>
      <c r="BW190" s="58"/>
      <c r="BX190" s="13" t="s">
        <v>80</v>
      </c>
      <c r="BY190" s="13"/>
      <c r="BZ190" s="13" t="s">
        <v>80</v>
      </c>
      <c r="CA190" s="13"/>
      <c r="CB190" s="13" t="s">
        <v>80</v>
      </c>
      <c r="CC190" s="13"/>
      <c r="CD190" s="13" t="s">
        <v>80</v>
      </c>
      <c r="CE190" s="13"/>
      <c r="CF190" s="13"/>
      <c r="CG190" s="13"/>
      <c r="CH190" s="58"/>
      <c r="CI190" s="13" t="s">
        <v>84</v>
      </c>
      <c r="CJ190" s="13"/>
      <c r="CK190" s="13" t="s">
        <v>82</v>
      </c>
      <c r="CL190" s="13"/>
      <c r="CM190" s="13" t="s">
        <v>82</v>
      </c>
      <c r="CN190" s="13"/>
      <c r="CO190" s="13"/>
      <c r="CP190" s="13"/>
      <c r="CQ190" s="13" t="s">
        <v>97</v>
      </c>
      <c r="CR190" s="13" t="s">
        <v>84</v>
      </c>
      <c r="CS190" s="13" t="s">
        <v>99</v>
      </c>
      <c r="CT190" s="13"/>
      <c r="CU190" s="13"/>
      <c r="CV190" s="13"/>
      <c r="CW190" s="13" t="s">
        <v>82</v>
      </c>
      <c r="CX190" s="13"/>
      <c r="CY190" s="13" t="s">
        <v>81</v>
      </c>
      <c r="CZ190" s="13"/>
      <c r="DA190" s="13" t="s">
        <v>82</v>
      </c>
      <c r="DB190" s="13"/>
      <c r="DC190" s="13" t="s">
        <v>84</v>
      </c>
      <c r="DD190" s="13" t="s">
        <v>84</v>
      </c>
      <c r="DE190" s="58"/>
      <c r="DF190" s="58"/>
      <c r="DG190" s="13">
        <v>2</v>
      </c>
      <c r="DH190" s="13">
        <v>4</v>
      </c>
      <c r="DI190" s="13">
        <v>2</v>
      </c>
      <c r="DJ190" s="13">
        <v>1</v>
      </c>
      <c r="DK190" s="13">
        <v>3</v>
      </c>
      <c r="DL190" s="13">
        <v>2</v>
      </c>
      <c r="DM190" s="13">
        <v>4</v>
      </c>
      <c r="DN190" s="13">
        <v>2</v>
      </c>
      <c r="DO190" s="13">
        <v>4</v>
      </c>
      <c r="DP190" s="13">
        <v>5</v>
      </c>
      <c r="DQ190" s="13">
        <v>5</v>
      </c>
      <c r="DR190" s="13">
        <v>3</v>
      </c>
      <c r="DS190" s="13" t="s">
        <v>97</v>
      </c>
      <c r="DT190" s="13" t="s">
        <v>82</v>
      </c>
      <c r="DU190" s="13"/>
      <c r="DV190" s="13" t="s">
        <v>84</v>
      </c>
      <c r="DW190" s="13" t="s">
        <v>100</v>
      </c>
      <c r="DX190" s="13" t="s">
        <v>81</v>
      </c>
      <c r="DY190" s="13"/>
      <c r="DZ190" s="13" t="s">
        <v>93</v>
      </c>
      <c r="EA190" s="13"/>
      <c r="EB190" s="13" t="s">
        <v>82</v>
      </c>
      <c r="EC190" s="13"/>
      <c r="ED190" s="13" t="s">
        <v>81</v>
      </c>
      <c r="EE190" s="13"/>
      <c r="EF190" s="13" t="s">
        <v>82</v>
      </c>
      <c r="EG190" s="13" t="s">
        <v>82</v>
      </c>
      <c r="EH190" s="13" t="s">
        <v>82</v>
      </c>
      <c r="EI190" s="13"/>
      <c r="EJ190" s="13"/>
      <c r="EK190" s="13"/>
      <c r="EL190" s="13"/>
      <c r="EM190" s="9">
        <v>868</v>
      </c>
      <c r="EN190" s="9">
        <v>34.43</v>
      </c>
      <c r="EQ190" s="9">
        <v>39.090000000000003</v>
      </c>
      <c r="EW190" s="9">
        <v>71.02</v>
      </c>
      <c r="FF190" s="9">
        <v>51.89</v>
      </c>
      <c r="FJ190" s="9">
        <v>43.9</v>
      </c>
      <c r="FP190" s="9">
        <v>64.87</v>
      </c>
      <c r="FV190" s="9">
        <v>69.180000000000007</v>
      </c>
      <c r="GC190" s="9">
        <v>338.58</v>
      </c>
      <c r="GT190" s="9">
        <v>35.729999999999997</v>
      </c>
      <c r="GX190" s="9">
        <v>36.86</v>
      </c>
      <c r="HB190" s="9">
        <v>82.45</v>
      </c>
      <c r="HQ190" s="62">
        <f t="shared" si="14"/>
        <v>868</v>
      </c>
      <c r="HR190" s="62">
        <f t="shared" si="16"/>
        <v>14.466666666666667</v>
      </c>
    </row>
    <row r="191" spans="1:226" s="9" customFormat="1" ht="12.75" x14ac:dyDescent="0.2">
      <c r="A191" s="11">
        <v>250</v>
      </c>
      <c r="B191" s="9">
        <v>283</v>
      </c>
      <c r="C191" s="9" t="s">
        <v>83</v>
      </c>
      <c r="D191" s="9">
        <v>11</v>
      </c>
      <c r="E191" s="9" t="s">
        <v>79</v>
      </c>
      <c r="F191" s="9">
        <v>628827567</v>
      </c>
      <c r="G191" s="9" t="s">
        <v>81</v>
      </c>
      <c r="H191" s="9" t="s">
        <v>84</v>
      </c>
      <c r="I191" s="13" t="s">
        <v>324</v>
      </c>
      <c r="J191" s="13"/>
      <c r="K191" s="58"/>
      <c r="L191" s="58"/>
      <c r="M191" s="13" t="s">
        <v>1294</v>
      </c>
      <c r="N191" s="13" t="s">
        <v>106</v>
      </c>
      <c r="O191" s="13"/>
      <c r="P191" s="13" t="s">
        <v>87</v>
      </c>
      <c r="Q191" s="13" t="s">
        <v>1296</v>
      </c>
      <c r="R191" s="58"/>
      <c r="S191" s="13" t="s">
        <v>84</v>
      </c>
      <c r="T191" s="13" t="s">
        <v>84</v>
      </c>
      <c r="U191" s="13" t="s">
        <v>84</v>
      </c>
      <c r="V191" s="13" t="s">
        <v>82</v>
      </c>
      <c r="W191" s="13" t="s">
        <v>82</v>
      </c>
      <c r="X191" s="13" t="s">
        <v>82</v>
      </c>
      <c r="Y191" s="13" t="s">
        <v>82</v>
      </c>
      <c r="Z191" s="13" t="s">
        <v>82</v>
      </c>
      <c r="AA191" s="13"/>
      <c r="AB191" s="13" t="s">
        <v>84</v>
      </c>
      <c r="AC191" s="13"/>
      <c r="AD191" s="13" t="s">
        <v>82</v>
      </c>
      <c r="AE191" s="13"/>
      <c r="AF191" s="13"/>
      <c r="AG191" s="13" t="s">
        <v>82</v>
      </c>
      <c r="AH191" s="13"/>
      <c r="AI191" s="13" t="s">
        <v>84</v>
      </c>
      <c r="AJ191" s="13"/>
      <c r="AK191" s="13"/>
      <c r="AL191" s="13" t="s">
        <v>140</v>
      </c>
      <c r="AM191" s="13" t="s">
        <v>111</v>
      </c>
      <c r="AN191" s="13"/>
      <c r="AO191" s="13" t="s">
        <v>80</v>
      </c>
      <c r="AP191" s="58"/>
      <c r="AQ191" s="13" t="s">
        <v>84</v>
      </c>
      <c r="AR191" s="13" t="s">
        <v>82</v>
      </c>
      <c r="AS191" s="13" t="s">
        <v>82</v>
      </c>
      <c r="AT191" s="13" t="s">
        <v>84</v>
      </c>
      <c r="AU191" s="13"/>
      <c r="AV191" s="58"/>
      <c r="AW191" s="13" t="s">
        <v>80</v>
      </c>
      <c r="AX191" s="13" t="s">
        <v>80</v>
      </c>
      <c r="AY191" s="13" t="s">
        <v>80</v>
      </c>
      <c r="AZ191" s="13" t="s">
        <v>80</v>
      </c>
      <c r="BA191" s="13"/>
      <c r="BB191" s="13" t="s">
        <v>84</v>
      </c>
      <c r="BC191" s="13" t="s">
        <v>80</v>
      </c>
      <c r="BD191" s="13" t="s">
        <v>100</v>
      </c>
      <c r="BE191" s="13" t="s">
        <v>113</v>
      </c>
      <c r="BF191" s="13" t="s">
        <v>112</v>
      </c>
      <c r="BG191" s="13" t="s">
        <v>82</v>
      </c>
      <c r="BH191" s="13" t="s">
        <v>84</v>
      </c>
      <c r="BI191" s="13"/>
      <c r="BJ191" s="13" t="s">
        <v>84</v>
      </c>
      <c r="BK191" s="13" t="s">
        <v>80</v>
      </c>
      <c r="BL191" s="13">
        <v>2</v>
      </c>
      <c r="BM191" s="13">
        <v>2</v>
      </c>
      <c r="BN191" s="13">
        <v>2</v>
      </c>
      <c r="BO191" s="13">
        <v>2</v>
      </c>
      <c r="BP191" s="13">
        <v>3</v>
      </c>
      <c r="BQ191" s="13">
        <v>3</v>
      </c>
      <c r="BR191" s="58"/>
      <c r="BS191" s="13" t="s">
        <v>97</v>
      </c>
      <c r="BT191" s="13"/>
      <c r="BU191" s="13" t="s">
        <v>246</v>
      </c>
      <c r="BV191" s="13"/>
      <c r="BW191" s="58"/>
      <c r="BX191" s="13" t="s">
        <v>80</v>
      </c>
      <c r="BY191" s="13"/>
      <c r="BZ191" s="13" t="s">
        <v>80</v>
      </c>
      <c r="CA191" s="13"/>
      <c r="CB191" s="13" t="s">
        <v>80</v>
      </c>
      <c r="CC191" s="13"/>
      <c r="CD191" s="13" t="s">
        <v>80</v>
      </c>
      <c r="CE191" s="13"/>
      <c r="CF191" s="13"/>
      <c r="CG191" s="13"/>
      <c r="CH191" s="58"/>
      <c r="CI191" s="13" t="s">
        <v>84</v>
      </c>
      <c r="CJ191" s="13"/>
      <c r="CK191" s="13" t="s">
        <v>84</v>
      </c>
      <c r="CL191" s="13"/>
      <c r="CM191" s="13" t="s">
        <v>82</v>
      </c>
      <c r="CN191" s="13"/>
      <c r="CO191" s="13"/>
      <c r="CP191" s="13"/>
      <c r="CQ191" s="13" t="s">
        <v>99</v>
      </c>
      <c r="CR191" s="13" t="s">
        <v>80</v>
      </c>
      <c r="CS191" s="13" t="s">
        <v>99</v>
      </c>
      <c r="CT191" s="13"/>
      <c r="CU191" s="13"/>
      <c r="CV191" s="13"/>
      <c r="CW191" s="13" t="s">
        <v>82</v>
      </c>
      <c r="CX191" s="13"/>
      <c r="CY191" s="13" t="s">
        <v>246</v>
      </c>
      <c r="CZ191" s="13"/>
      <c r="DA191" s="13" t="s">
        <v>82</v>
      </c>
      <c r="DB191" s="13"/>
      <c r="DC191" s="13" t="s">
        <v>84</v>
      </c>
      <c r="DD191" s="13" t="s">
        <v>84</v>
      </c>
      <c r="DE191" s="58"/>
      <c r="DF191" s="58"/>
      <c r="DG191" s="13">
        <v>3</v>
      </c>
      <c r="DH191" s="13">
        <v>1</v>
      </c>
      <c r="DI191" s="13">
        <v>4</v>
      </c>
      <c r="DJ191" s="13">
        <v>1</v>
      </c>
      <c r="DK191" s="13">
        <v>3</v>
      </c>
      <c r="DL191" s="13">
        <v>1</v>
      </c>
      <c r="DM191" s="13">
        <v>1</v>
      </c>
      <c r="DN191" s="13">
        <v>2</v>
      </c>
      <c r="DO191" s="13">
        <v>3</v>
      </c>
      <c r="DP191" s="13">
        <v>1</v>
      </c>
      <c r="DQ191" s="13">
        <v>2</v>
      </c>
      <c r="DR191" s="13">
        <v>1</v>
      </c>
      <c r="DS191" s="13" t="s">
        <v>99</v>
      </c>
      <c r="DT191" s="13" t="s">
        <v>82</v>
      </c>
      <c r="DU191" s="13"/>
      <c r="DV191" s="13" t="s">
        <v>82</v>
      </c>
      <c r="DW191" s="13" t="s">
        <v>100</v>
      </c>
      <c r="DX191" s="13" t="s">
        <v>81</v>
      </c>
      <c r="DY191" s="13"/>
      <c r="DZ191" s="13" t="s">
        <v>113</v>
      </c>
      <c r="EA191" s="13"/>
      <c r="EB191" s="13" t="s">
        <v>82</v>
      </c>
      <c r="EC191" s="13"/>
      <c r="ED191" s="13" t="s">
        <v>81</v>
      </c>
      <c r="EE191" s="13"/>
      <c r="EF191" s="13" t="s">
        <v>84</v>
      </c>
      <c r="EG191" s="13" t="s">
        <v>84</v>
      </c>
      <c r="EH191" s="13" t="s">
        <v>84</v>
      </c>
      <c r="EI191" s="13"/>
      <c r="EJ191" s="13"/>
      <c r="EK191" s="13"/>
      <c r="EL191" s="13"/>
      <c r="EM191" s="9">
        <v>360.93</v>
      </c>
      <c r="EN191" s="9">
        <v>19.68</v>
      </c>
      <c r="EQ191" s="9">
        <v>32.35</v>
      </c>
      <c r="EW191" s="9">
        <v>21.25</v>
      </c>
      <c r="FF191" s="9">
        <v>13.16</v>
      </c>
      <c r="FJ191" s="9">
        <v>11.48</v>
      </c>
      <c r="FP191" s="9">
        <v>24.87</v>
      </c>
      <c r="FV191" s="9">
        <v>35.630000000000003</v>
      </c>
      <c r="GC191" s="9">
        <v>144.05000000000001</v>
      </c>
      <c r="GT191" s="9">
        <v>10.28</v>
      </c>
      <c r="GX191" s="9">
        <v>15.45</v>
      </c>
      <c r="HB191" s="9">
        <v>32.729999999999997</v>
      </c>
      <c r="HQ191" s="62">
        <f t="shared" si="14"/>
        <v>360.93</v>
      </c>
      <c r="HR191" s="62">
        <f t="shared" si="16"/>
        <v>6.0155000000000003</v>
      </c>
    </row>
    <row r="192" spans="1:226" s="9" customFormat="1" ht="12.75" x14ac:dyDescent="0.2">
      <c r="A192" s="11">
        <v>251</v>
      </c>
      <c r="B192" s="9">
        <v>284</v>
      </c>
      <c r="C192" s="9" t="s">
        <v>83</v>
      </c>
      <c r="D192" s="9">
        <v>11</v>
      </c>
      <c r="E192" s="9" t="s">
        <v>79</v>
      </c>
      <c r="F192" s="9">
        <v>1817444957</v>
      </c>
      <c r="G192" s="9" t="s">
        <v>81</v>
      </c>
      <c r="H192" s="9" t="s">
        <v>84</v>
      </c>
      <c r="I192" s="13" t="s">
        <v>107</v>
      </c>
      <c r="J192" s="13"/>
      <c r="K192" s="58"/>
      <c r="L192" s="58"/>
      <c r="M192" s="13" t="s">
        <v>1319</v>
      </c>
      <c r="N192" s="13" t="s">
        <v>618</v>
      </c>
      <c r="O192" s="13"/>
      <c r="P192" s="13" t="s">
        <v>87</v>
      </c>
      <c r="Q192" s="13" t="s">
        <v>1296</v>
      </c>
      <c r="R192" s="58"/>
      <c r="S192" s="13" t="s">
        <v>84</v>
      </c>
      <c r="T192" s="13" t="s">
        <v>84</v>
      </c>
      <c r="U192" s="13" t="s">
        <v>82</v>
      </c>
      <c r="V192" s="13" t="s">
        <v>82</v>
      </c>
      <c r="W192" s="13" t="s">
        <v>82</v>
      </c>
      <c r="X192" s="13" t="s">
        <v>82</v>
      </c>
      <c r="Y192" s="13" t="s">
        <v>82</v>
      </c>
      <c r="Z192" s="13" t="s">
        <v>82</v>
      </c>
      <c r="AA192" s="13"/>
      <c r="AB192" s="13" t="s">
        <v>84</v>
      </c>
      <c r="AC192" s="13" t="s">
        <v>2936</v>
      </c>
      <c r="AD192" s="13" t="s">
        <v>82</v>
      </c>
      <c r="AE192" s="13"/>
      <c r="AF192" s="13"/>
      <c r="AG192" s="13" t="s">
        <v>84</v>
      </c>
      <c r="AH192" s="13" t="s">
        <v>2937</v>
      </c>
      <c r="AI192" s="13" t="s">
        <v>84</v>
      </c>
      <c r="AJ192" s="13"/>
      <c r="AK192" s="13" t="s">
        <v>2938</v>
      </c>
      <c r="AL192" s="13" t="s">
        <v>126</v>
      </c>
      <c r="AM192" s="13" t="s">
        <v>111</v>
      </c>
      <c r="AN192" s="13"/>
      <c r="AO192" s="13" t="s">
        <v>80</v>
      </c>
      <c r="AP192" s="58"/>
      <c r="AQ192" s="13" t="s">
        <v>84</v>
      </c>
      <c r="AR192" s="13" t="s">
        <v>82</v>
      </c>
      <c r="AS192" s="13" t="s">
        <v>82</v>
      </c>
      <c r="AT192" s="13" t="s">
        <v>82</v>
      </c>
      <c r="AU192" s="13"/>
      <c r="AV192" s="58"/>
      <c r="AW192" s="13" t="s">
        <v>80</v>
      </c>
      <c r="AX192" s="13" t="s">
        <v>80</v>
      </c>
      <c r="AY192" s="13" t="s">
        <v>80</v>
      </c>
      <c r="AZ192" s="13" t="s">
        <v>80</v>
      </c>
      <c r="BA192" s="13"/>
      <c r="BB192" s="13" t="s">
        <v>84</v>
      </c>
      <c r="BC192" s="13" t="s">
        <v>80</v>
      </c>
      <c r="BD192" s="13" t="s">
        <v>113</v>
      </c>
      <c r="BE192" s="13" t="s">
        <v>112</v>
      </c>
      <c r="BF192" s="13" t="s">
        <v>112</v>
      </c>
      <c r="BG192" s="13" t="s">
        <v>82</v>
      </c>
      <c r="BH192" s="13" t="s">
        <v>82</v>
      </c>
      <c r="BI192" s="13"/>
      <c r="BJ192" s="13" t="s">
        <v>84</v>
      </c>
      <c r="BK192" s="13" t="s">
        <v>80</v>
      </c>
      <c r="BL192" s="13">
        <v>2</v>
      </c>
      <c r="BM192" s="13">
        <v>2</v>
      </c>
      <c r="BN192" s="13">
        <v>1</v>
      </c>
      <c r="BO192" s="13">
        <v>1</v>
      </c>
      <c r="BP192" s="13">
        <v>2</v>
      </c>
      <c r="BQ192" s="13">
        <v>2</v>
      </c>
      <c r="BR192" s="58"/>
      <c r="BS192" s="13" t="s">
        <v>97</v>
      </c>
      <c r="BT192" s="13"/>
      <c r="BU192" s="13" t="s">
        <v>246</v>
      </c>
      <c r="BV192" s="13" t="s">
        <v>2939</v>
      </c>
      <c r="BW192" s="58"/>
      <c r="BX192" s="13" t="s">
        <v>80</v>
      </c>
      <c r="BY192" s="13"/>
      <c r="BZ192" s="13" t="s">
        <v>80</v>
      </c>
      <c r="CA192" s="13"/>
      <c r="CB192" s="13" t="s">
        <v>80</v>
      </c>
      <c r="CC192" s="13"/>
      <c r="CD192" s="13" t="s">
        <v>80</v>
      </c>
      <c r="CE192" s="13"/>
      <c r="CF192" s="13"/>
      <c r="CG192" s="13"/>
      <c r="CH192" s="58"/>
      <c r="CI192" s="13" t="s">
        <v>84</v>
      </c>
      <c r="CJ192" s="13"/>
      <c r="CK192" s="13" t="s">
        <v>82</v>
      </c>
      <c r="CL192" s="13"/>
      <c r="CM192" s="13" t="s">
        <v>82</v>
      </c>
      <c r="CN192" s="13"/>
      <c r="CO192" s="13"/>
      <c r="CP192" s="13"/>
      <c r="CQ192" s="13" t="s">
        <v>97</v>
      </c>
      <c r="CR192" s="13" t="s">
        <v>84</v>
      </c>
      <c r="CS192" s="13" t="s">
        <v>97</v>
      </c>
      <c r="CT192" s="13"/>
      <c r="CU192" s="13" t="s">
        <v>81</v>
      </c>
      <c r="CV192" s="13"/>
      <c r="CW192" s="13" t="s">
        <v>82</v>
      </c>
      <c r="CX192" s="13"/>
      <c r="CY192" s="13" t="s">
        <v>81</v>
      </c>
      <c r="CZ192" s="13"/>
      <c r="DA192" s="13" t="s">
        <v>82</v>
      </c>
      <c r="DB192" s="13"/>
      <c r="DC192" s="13" t="s">
        <v>84</v>
      </c>
      <c r="DD192" s="13" t="s">
        <v>84</v>
      </c>
      <c r="DE192" s="58"/>
      <c r="DF192" s="58"/>
      <c r="DG192" s="13">
        <v>2</v>
      </c>
      <c r="DH192" s="13">
        <v>1</v>
      </c>
      <c r="DI192" s="13">
        <v>1</v>
      </c>
      <c r="DJ192" s="13">
        <v>1</v>
      </c>
      <c r="DK192" s="13">
        <v>1</v>
      </c>
      <c r="DL192" s="13">
        <v>1</v>
      </c>
      <c r="DM192" s="13">
        <v>3</v>
      </c>
      <c r="DN192" s="13">
        <v>3</v>
      </c>
      <c r="DO192" s="13">
        <v>2</v>
      </c>
      <c r="DP192" s="13">
        <v>2</v>
      </c>
      <c r="DQ192" s="13">
        <v>2</v>
      </c>
      <c r="DR192" s="13">
        <v>2</v>
      </c>
      <c r="DS192" s="13" t="s">
        <v>97</v>
      </c>
      <c r="DT192" s="13" t="s">
        <v>106</v>
      </c>
      <c r="DU192" s="13"/>
      <c r="DV192" s="13" t="s">
        <v>84</v>
      </c>
      <c r="DW192" s="13" t="s">
        <v>100</v>
      </c>
      <c r="DX192" s="13" t="s">
        <v>81</v>
      </c>
      <c r="DY192" s="13"/>
      <c r="DZ192" s="13" t="s">
        <v>93</v>
      </c>
      <c r="EA192" s="13"/>
      <c r="EB192" s="13" t="s">
        <v>82</v>
      </c>
      <c r="EC192" s="13"/>
      <c r="ED192" s="13" t="s">
        <v>81</v>
      </c>
      <c r="EE192" s="13"/>
      <c r="EF192" s="13" t="s">
        <v>84</v>
      </c>
      <c r="EG192" s="13" t="s">
        <v>84</v>
      </c>
      <c r="EH192" s="13" t="s">
        <v>84</v>
      </c>
      <c r="EI192" s="13" t="s">
        <v>2940</v>
      </c>
      <c r="EJ192" s="13" t="s">
        <v>2941</v>
      </c>
      <c r="EK192" s="13" t="s">
        <v>2942</v>
      </c>
      <c r="EL192" s="13" t="s">
        <v>2943</v>
      </c>
      <c r="EM192" s="9">
        <v>705.11</v>
      </c>
      <c r="EN192" s="9">
        <v>36.520000000000003</v>
      </c>
      <c r="EQ192" s="9">
        <v>39.06</v>
      </c>
      <c r="EW192" s="9">
        <v>61.92</v>
      </c>
      <c r="FF192" s="9">
        <v>40.86</v>
      </c>
      <c r="FJ192" s="9">
        <v>9.86</v>
      </c>
      <c r="FP192" s="9">
        <v>36.19</v>
      </c>
      <c r="FV192" s="9">
        <v>91.67</v>
      </c>
      <c r="GC192" s="9">
        <v>157.19</v>
      </c>
      <c r="GT192" s="9">
        <v>12.16</v>
      </c>
      <c r="GX192" s="9">
        <v>22.39</v>
      </c>
      <c r="HB192" s="9">
        <v>197.29</v>
      </c>
      <c r="HQ192" s="62">
        <f t="shared" si="14"/>
        <v>705.11</v>
      </c>
      <c r="HR192" s="62">
        <f t="shared" si="16"/>
        <v>11.751833333333334</v>
      </c>
    </row>
    <row r="193" spans="1:226" s="9" customFormat="1" ht="12.75" x14ac:dyDescent="0.2">
      <c r="A193" s="11">
        <v>252</v>
      </c>
      <c r="B193" s="9">
        <v>285</v>
      </c>
      <c r="C193" s="9" t="s">
        <v>83</v>
      </c>
      <c r="D193" s="9">
        <v>11</v>
      </c>
      <c r="E193" s="9" t="s">
        <v>79</v>
      </c>
      <c r="F193" s="9">
        <v>1092600706</v>
      </c>
      <c r="G193" s="9" t="s">
        <v>81</v>
      </c>
      <c r="H193" s="9" t="s">
        <v>84</v>
      </c>
      <c r="I193" s="13" t="s">
        <v>107</v>
      </c>
      <c r="J193" s="13"/>
      <c r="K193" s="58"/>
      <c r="L193" s="58"/>
      <c r="M193" s="13" t="s">
        <v>1309</v>
      </c>
      <c r="N193" s="13" t="s">
        <v>108</v>
      </c>
      <c r="O193" s="13"/>
      <c r="P193" s="13" t="s">
        <v>253</v>
      </c>
      <c r="Q193" s="13" t="s">
        <v>1375</v>
      </c>
      <c r="R193" s="58"/>
      <c r="S193" s="13" t="s">
        <v>84</v>
      </c>
      <c r="T193" s="13" t="s">
        <v>84</v>
      </c>
      <c r="U193" s="13" t="s">
        <v>82</v>
      </c>
      <c r="V193" s="13" t="s">
        <v>84</v>
      </c>
      <c r="W193" s="13" t="s">
        <v>82</v>
      </c>
      <c r="X193" s="13" t="s">
        <v>82</v>
      </c>
      <c r="Y193" s="13" t="s">
        <v>84</v>
      </c>
      <c r="Z193" s="13" t="s">
        <v>84</v>
      </c>
      <c r="AA193" s="13" t="s">
        <v>2944</v>
      </c>
      <c r="AB193" s="13" t="s">
        <v>84</v>
      </c>
      <c r="AC193" s="13" t="s">
        <v>2945</v>
      </c>
      <c r="AD193" s="13" t="s">
        <v>82</v>
      </c>
      <c r="AE193" s="13"/>
      <c r="AF193" s="13"/>
      <c r="AG193" s="13" t="s">
        <v>82</v>
      </c>
      <c r="AH193" s="13" t="s">
        <v>2946</v>
      </c>
      <c r="AI193" s="13" t="s">
        <v>84</v>
      </c>
      <c r="AJ193" s="13"/>
      <c r="AK193" s="13" t="s">
        <v>2947</v>
      </c>
      <c r="AL193" s="13" t="s">
        <v>126</v>
      </c>
      <c r="AM193" s="13" t="s">
        <v>111</v>
      </c>
      <c r="AN193" s="13"/>
      <c r="AO193" s="13" t="s">
        <v>80</v>
      </c>
      <c r="AP193" s="58"/>
      <c r="AQ193" s="13" t="s">
        <v>82</v>
      </c>
      <c r="AR193" s="13" t="s">
        <v>82</v>
      </c>
      <c r="AS193" s="13" t="s">
        <v>82</v>
      </c>
      <c r="AT193" s="13" t="s">
        <v>82</v>
      </c>
      <c r="AU193" s="13" t="s">
        <v>2948</v>
      </c>
      <c r="AV193" s="58"/>
      <c r="AW193" s="13" t="s">
        <v>80</v>
      </c>
      <c r="AX193" s="13" t="s">
        <v>80</v>
      </c>
      <c r="AY193" s="13" t="s">
        <v>80</v>
      </c>
      <c r="AZ193" s="13" t="s">
        <v>80</v>
      </c>
      <c r="BA193" s="13"/>
      <c r="BB193" s="13" t="s">
        <v>84</v>
      </c>
      <c r="BC193" s="13" t="s">
        <v>80</v>
      </c>
      <c r="BD193" s="13" t="s">
        <v>100</v>
      </c>
      <c r="BE193" s="13" t="s">
        <v>100</v>
      </c>
      <c r="BF193" s="13" t="s">
        <v>113</v>
      </c>
      <c r="BG193" s="13" t="s">
        <v>82</v>
      </c>
      <c r="BH193" s="13" t="s">
        <v>84</v>
      </c>
      <c r="BI193" s="13" t="s">
        <v>2949</v>
      </c>
      <c r="BJ193" s="13" t="s">
        <v>84</v>
      </c>
      <c r="BK193" s="13" t="s">
        <v>80</v>
      </c>
      <c r="BL193" s="13">
        <v>4</v>
      </c>
      <c r="BM193" s="13">
        <v>1</v>
      </c>
      <c r="BN193" s="13">
        <v>2</v>
      </c>
      <c r="BO193" s="13">
        <v>1</v>
      </c>
      <c r="BP193" s="13">
        <v>4</v>
      </c>
      <c r="BQ193" s="13">
        <v>1</v>
      </c>
      <c r="BR193" s="58"/>
      <c r="BS193" s="13" t="s">
        <v>119</v>
      </c>
      <c r="BT193" s="13" t="s">
        <v>2950</v>
      </c>
      <c r="BU193" s="13" t="s">
        <v>246</v>
      </c>
      <c r="BV193" s="13" t="s">
        <v>2951</v>
      </c>
      <c r="BW193" s="58"/>
      <c r="BX193" s="13" t="s">
        <v>82</v>
      </c>
      <c r="BY193" s="13"/>
      <c r="BZ193" s="13" t="s">
        <v>84</v>
      </c>
      <c r="CA193" s="13" t="s">
        <v>2952</v>
      </c>
      <c r="CB193" s="13" t="s">
        <v>82</v>
      </c>
      <c r="CC193" s="13"/>
      <c r="CD193" s="13" t="s">
        <v>82</v>
      </c>
      <c r="CE193" s="13"/>
      <c r="CF193" s="13"/>
      <c r="CG193" s="13"/>
      <c r="CH193" s="58"/>
      <c r="CI193" s="13" t="s">
        <v>84</v>
      </c>
      <c r="CJ193" s="13" t="s">
        <v>2953</v>
      </c>
      <c r="CK193" s="13" t="s">
        <v>82</v>
      </c>
      <c r="CL193" s="13"/>
      <c r="CM193" s="13" t="s">
        <v>82</v>
      </c>
      <c r="CN193" s="13"/>
      <c r="CO193" s="13"/>
      <c r="CP193" s="13"/>
      <c r="CQ193" s="13" t="s">
        <v>97</v>
      </c>
      <c r="CR193" s="13" t="s">
        <v>84</v>
      </c>
      <c r="CS193" s="13" t="s">
        <v>1312</v>
      </c>
      <c r="CT193" s="13" t="s">
        <v>2954</v>
      </c>
      <c r="CU193" s="13" t="s">
        <v>246</v>
      </c>
      <c r="CV193" s="13" t="s">
        <v>2955</v>
      </c>
      <c r="CW193" s="13" t="s">
        <v>82</v>
      </c>
      <c r="CX193" s="13"/>
      <c r="CY193" s="13" t="s">
        <v>81</v>
      </c>
      <c r="CZ193" s="13" t="s">
        <v>2956</v>
      </c>
      <c r="DA193" s="13" t="s">
        <v>84</v>
      </c>
      <c r="DB193" s="13" t="s">
        <v>2957</v>
      </c>
      <c r="DC193" s="13" t="s">
        <v>84</v>
      </c>
      <c r="DD193" s="13" t="s">
        <v>84</v>
      </c>
      <c r="DE193" s="58"/>
      <c r="DF193" s="58"/>
      <c r="DG193" s="13">
        <v>3</v>
      </c>
      <c r="DH193" s="13">
        <v>1</v>
      </c>
      <c r="DI193" s="13">
        <v>4</v>
      </c>
      <c r="DJ193" s="13">
        <v>3</v>
      </c>
      <c r="DK193" s="13">
        <v>3</v>
      </c>
      <c r="DL193" s="13">
        <v>1</v>
      </c>
      <c r="DM193" s="13">
        <v>3</v>
      </c>
      <c r="DN193" s="13">
        <v>3</v>
      </c>
      <c r="DO193" s="13">
        <v>5</v>
      </c>
      <c r="DP193" s="13">
        <v>2</v>
      </c>
      <c r="DQ193" s="13">
        <v>5</v>
      </c>
      <c r="DR193" s="13">
        <v>2</v>
      </c>
      <c r="DS193" s="13" t="s">
        <v>97</v>
      </c>
      <c r="DT193" s="13" t="s">
        <v>106</v>
      </c>
      <c r="DU193" s="13"/>
      <c r="DV193" s="13" t="s">
        <v>82</v>
      </c>
      <c r="DW193" s="13" t="s">
        <v>100</v>
      </c>
      <c r="DX193" s="13" t="s">
        <v>81</v>
      </c>
      <c r="DY193" s="13" t="s">
        <v>2958</v>
      </c>
      <c r="DZ193" s="13" t="s">
        <v>100</v>
      </c>
      <c r="EA193" s="13" t="s">
        <v>2959</v>
      </c>
      <c r="EB193" s="13" t="s">
        <v>82</v>
      </c>
      <c r="EC193" s="13"/>
      <c r="ED193" s="13" t="s">
        <v>246</v>
      </c>
      <c r="EE193" s="13" t="s">
        <v>2960</v>
      </c>
      <c r="EF193" s="13" t="s">
        <v>84</v>
      </c>
      <c r="EG193" s="13" t="s">
        <v>84</v>
      </c>
      <c r="EH193" s="13" t="s">
        <v>84</v>
      </c>
      <c r="EI193" s="13" t="s">
        <v>2961</v>
      </c>
      <c r="EJ193" s="13" t="s">
        <v>2962</v>
      </c>
      <c r="EK193" s="13" t="s">
        <v>2963</v>
      </c>
      <c r="EL193" s="13" t="s">
        <v>2964</v>
      </c>
      <c r="EM193" s="9">
        <v>1826.07</v>
      </c>
      <c r="EN193" s="9">
        <v>31.66</v>
      </c>
      <c r="EQ193" s="9">
        <v>44.76</v>
      </c>
      <c r="EW193" s="9">
        <v>160.19999999999999</v>
      </c>
      <c r="FF193" s="9">
        <v>54.38</v>
      </c>
      <c r="FJ193" s="9">
        <v>44.1</v>
      </c>
      <c r="FP193" s="9">
        <v>45.69</v>
      </c>
      <c r="FV193" s="9">
        <v>149.79</v>
      </c>
      <c r="GC193" s="9">
        <v>475.46</v>
      </c>
      <c r="GT193" s="9">
        <v>379.89</v>
      </c>
      <c r="GX193" s="9">
        <v>113.76</v>
      </c>
      <c r="HB193" s="9">
        <v>326.38</v>
      </c>
      <c r="HQ193" s="62">
        <f t="shared" si="14"/>
        <v>1826.07</v>
      </c>
      <c r="HR193" s="62">
        <f t="shared" si="16"/>
        <v>30.4345</v>
      </c>
    </row>
    <row r="194" spans="1:226" s="9" customFormat="1" ht="12.75" x14ac:dyDescent="0.2">
      <c r="A194" s="11">
        <v>253</v>
      </c>
      <c r="B194" s="9">
        <v>287</v>
      </c>
      <c r="C194" s="9" t="s">
        <v>83</v>
      </c>
      <c r="D194" s="9">
        <v>11</v>
      </c>
      <c r="E194" s="9" t="s">
        <v>79</v>
      </c>
      <c r="F194" s="9">
        <v>1748099423</v>
      </c>
      <c r="G194" s="9" t="s">
        <v>81</v>
      </c>
      <c r="H194" s="9" t="s">
        <v>84</v>
      </c>
      <c r="I194" s="13" t="s">
        <v>107</v>
      </c>
      <c r="J194" s="13"/>
      <c r="K194" s="58"/>
      <c r="L194" s="58"/>
      <c r="M194" s="13" t="s">
        <v>1319</v>
      </c>
      <c r="N194" s="13" t="s">
        <v>618</v>
      </c>
      <c r="O194" s="13"/>
      <c r="P194" s="13" t="s">
        <v>253</v>
      </c>
      <c r="Q194" s="13" t="s">
        <v>1358</v>
      </c>
      <c r="R194" s="58"/>
      <c r="S194" s="13" t="s">
        <v>84</v>
      </c>
      <c r="T194" s="13" t="s">
        <v>84</v>
      </c>
      <c r="U194" s="13" t="s">
        <v>84</v>
      </c>
      <c r="V194" s="13" t="s">
        <v>82</v>
      </c>
      <c r="W194" s="13" t="s">
        <v>82</v>
      </c>
      <c r="X194" s="13" t="s">
        <v>82</v>
      </c>
      <c r="Y194" s="13" t="s">
        <v>82</v>
      </c>
      <c r="Z194" s="13" t="s">
        <v>82</v>
      </c>
      <c r="AA194" s="13"/>
      <c r="AB194" s="13" t="s">
        <v>82</v>
      </c>
      <c r="AC194" s="13"/>
      <c r="AD194" s="13" t="s">
        <v>82</v>
      </c>
      <c r="AE194" s="13"/>
      <c r="AF194" s="13"/>
      <c r="AG194" s="13" t="s">
        <v>84</v>
      </c>
      <c r="AH194" s="13" t="s">
        <v>2965</v>
      </c>
      <c r="AI194" s="13" t="s">
        <v>84</v>
      </c>
      <c r="AJ194" s="13"/>
      <c r="AK194" s="13"/>
      <c r="AL194" s="13" t="s">
        <v>126</v>
      </c>
      <c r="AM194" s="13" t="s">
        <v>111</v>
      </c>
      <c r="AN194" s="13"/>
      <c r="AO194" s="13" t="s">
        <v>80</v>
      </c>
      <c r="AP194" s="58"/>
      <c r="AQ194" s="13" t="s">
        <v>84</v>
      </c>
      <c r="AR194" s="13" t="s">
        <v>84</v>
      </c>
      <c r="AS194" s="13" t="s">
        <v>84</v>
      </c>
      <c r="AT194" s="13" t="s">
        <v>84</v>
      </c>
      <c r="AU194" s="13"/>
      <c r="AV194" s="58"/>
      <c r="AW194" s="13" t="s">
        <v>80</v>
      </c>
      <c r="AX194" s="13" t="s">
        <v>80</v>
      </c>
      <c r="AY194" s="13" t="s">
        <v>80</v>
      </c>
      <c r="AZ194" s="13" t="s">
        <v>80</v>
      </c>
      <c r="BA194" s="13"/>
      <c r="BB194" s="13" t="s">
        <v>84</v>
      </c>
      <c r="BC194" s="13" t="s">
        <v>80</v>
      </c>
      <c r="BD194" s="13" t="s">
        <v>113</v>
      </c>
      <c r="BE194" s="13" t="s">
        <v>100</v>
      </c>
      <c r="BF194" s="13" t="s">
        <v>113</v>
      </c>
      <c r="BG194" s="13" t="s">
        <v>84</v>
      </c>
      <c r="BH194" s="13" t="s">
        <v>84</v>
      </c>
      <c r="BI194" s="13" t="s">
        <v>2966</v>
      </c>
      <c r="BJ194" s="13" t="s">
        <v>84</v>
      </c>
      <c r="BK194" s="13" t="s">
        <v>80</v>
      </c>
      <c r="BL194" s="13">
        <v>3</v>
      </c>
      <c r="BM194" s="13">
        <v>4</v>
      </c>
      <c r="BN194" s="13">
        <v>1</v>
      </c>
      <c r="BO194" s="13">
        <v>5</v>
      </c>
      <c r="BP194" s="13">
        <v>3</v>
      </c>
      <c r="BQ194" s="13">
        <v>4</v>
      </c>
      <c r="BR194" s="58"/>
      <c r="BS194" s="13" t="s">
        <v>97</v>
      </c>
      <c r="BT194" s="13"/>
      <c r="BU194" s="13" t="s">
        <v>246</v>
      </c>
      <c r="BV194" s="13"/>
      <c r="BW194" s="58"/>
      <c r="BX194" s="13" t="s">
        <v>80</v>
      </c>
      <c r="BY194" s="13"/>
      <c r="BZ194" s="13" t="s">
        <v>80</v>
      </c>
      <c r="CA194" s="13"/>
      <c r="CB194" s="13" t="s">
        <v>80</v>
      </c>
      <c r="CC194" s="13"/>
      <c r="CD194" s="13" t="s">
        <v>80</v>
      </c>
      <c r="CE194" s="13"/>
      <c r="CF194" s="13"/>
      <c r="CG194" s="13"/>
      <c r="CH194" s="58"/>
      <c r="CI194" s="13" t="s">
        <v>84</v>
      </c>
      <c r="CJ194" s="13"/>
      <c r="CK194" s="13" t="s">
        <v>84</v>
      </c>
      <c r="CL194" s="13"/>
      <c r="CM194" s="13" t="s">
        <v>82</v>
      </c>
      <c r="CN194" s="13"/>
      <c r="CO194" s="13"/>
      <c r="CP194" s="13"/>
      <c r="CQ194" s="13" t="s">
        <v>118</v>
      </c>
      <c r="CR194" s="13" t="s">
        <v>84</v>
      </c>
      <c r="CS194" s="13" t="s">
        <v>1312</v>
      </c>
      <c r="CT194" s="13"/>
      <c r="CU194" s="13" t="s">
        <v>246</v>
      </c>
      <c r="CV194" s="13"/>
      <c r="CW194" s="13" t="s">
        <v>82</v>
      </c>
      <c r="CX194" s="13"/>
      <c r="CY194" s="13" t="s">
        <v>81</v>
      </c>
      <c r="CZ194" s="13"/>
      <c r="DA194" s="13" t="s">
        <v>84</v>
      </c>
      <c r="DB194" s="13" t="s">
        <v>2967</v>
      </c>
      <c r="DC194" s="13" t="s">
        <v>84</v>
      </c>
      <c r="DD194" s="13" t="s">
        <v>82</v>
      </c>
      <c r="DE194" s="58"/>
      <c r="DF194" s="58"/>
      <c r="DG194" s="13">
        <v>2</v>
      </c>
      <c r="DH194" s="13">
        <v>1</v>
      </c>
      <c r="DI194" s="13">
        <v>2</v>
      </c>
      <c r="DJ194" s="13">
        <v>1</v>
      </c>
      <c r="DK194" s="13">
        <v>5</v>
      </c>
      <c r="DL194" s="13">
        <v>3</v>
      </c>
      <c r="DM194" s="13">
        <v>4</v>
      </c>
      <c r="DN194" s="13">
        <v>4</v>
      </c>
      <c r="DO194" s="13">
        <v>3</v>
      </c>
      <c r="DP194" s="13">
        <v>3</v>
      </c>
      <c r="DQ194" s="13">
        <v>3</v>
      </c>
      <c r="DR194" s="13">
        <v>2</v>
      </c>
      <c r="DS194" s="13" t="s">
        <v>118</v>
      </c>
      <c r="DT194" s="13" t="s">
        <v>106</v>
      </c>
      <c r="DU194" s="13"/>
      <c r="DV194" s="13" t="s">
        <v>84</v>
      </c>
      <c r="DW194" s="13" t="s">
        <v>112</v>
      </c>
      <c r="DX194" s="13" t="s">
        <v>81</v>
      </c>
      <c r="DY194" s="13" t="s">
        <v>2968</v>
      </c>
      <c r="DZ194" s="13" t="s">
        <v>113</v>
      </c>
      <c r="EA194" s="13"/>
      <c r="EB194" s="13" t="s">
        <v>84</v>
      </c>
      <c r="EC194" s="13"/>
      <c r="ED194" s="13"/>
      <c r="EE194" s="13"/>
      <c r="EF194" s="13" t="s">
        <v>82</v>
      </c>
      <c r="EG194" s="13" t="s">
        <v>82</v>
      </c>
      <c r="EH194" s="13" t="s">
        <v>82</v>
      </c>
      <c r="EI194" s="13"/>
      <c r="EJ194" s="13"/>
      <c r="EK194" s="13"/>
      <c r="EL194" s="13"/>
      <c r="EM194" s="9">
        <v>639.08000000000004</v>
      </c>
      <c r="EN194" s="9">
        <v>26.29</v>
      </c>
      <c r="EQ194" s="9">
        <v>62.13</v>
      </c>
      <c r="EW194" s="9">
        <v>83.34</v>
      </c>
      <c r="FF194" s="9">
        <v>21.86</v>
      </c>
      <c r="FJ194" s="9">
        <v>19.84</v>
      </c>
      <c r="FP194" s="9">
        <v>33.65</v>
      </c>
      <c r="FV194" s="9">
        <v>84.94</v>
      </c>
      <c r="GC194" s="9">
        <v>176.46</v>
      </c>
      <c r="GT194" s="9">
        <v>17.329999999999998</v>
      </c>
      <c r="GX194" s="9">
        <v>48.31</v>
      </c>
      <c r="HB194" s="9">
        <v>64.930000000000007</v>
      </c>
      <c r="HQ194" s="62">
        <f t="shared" ref="HQ194:HQ217" si="17">EM194</f>
        <v>639.08000000000004</v>
      </c>
      <c r="HR194" s="62">
        <f t="shared" si="16"/>
        <v>10.651333333333334</v>
      </c>
    </row>
    <row r="195" spans="1:226" s="9" customFormat="1" ht="12.75" x14ac:dyDescent="0.2">
      <c r="A195" s="11">
        <v>254</v>
      </c>
      <c r="B195" s="9">
        <v>288</v>
      </c>
      <c r="C195" s="9" t="s">
        <v>83</v>
      </c>
      <c r="D195" s="9">
        <v>11</v>
      </c>
      <c r="E195" s="9" t="s">
        <v>79</v>
      </c>
      <c r="F195" s="9">
        <v>1899407901</v>
      </c>
      <c r="G195" s="9" t="s">
        <v>81</v>
      </c>
      <c r="H195" s="9" t="s">
        <v>84</v>
      </c>
      <c r="I195" s="13" t="s">
        <v>336</v>
      </c>
      <c r="J195" s="13"/>
      <c r="K195" s="58"/>
      <c r="L195" s="58"/>
      <c r="M195" s="13" t="s">
        <v>1294</v>
      </c>
      <c r="N195" s="13" t="s">
        <v>138</v>
      </c>
      <c r="O195" s="13"/>
      <c r="P195" s="13" t="s">
        <v>195</v>
      </c>
      <c r="Q195" s="13" t="s">
        <v>1375</v>
      </c>
      <c r="R195" s="58"/>
      <c r="S195" s="13" t="s">
        <v>84</v>
      </c>
      <c r="T195" s="13" t="s">
        <v>84</v>
      </c>
      <c r="U195" s="13" t="s">
        <v>84</v>
      </c>
      <c r="V195" s="13" t="s">
        <v>82</v>
      </c>
      <c r="W195" s="13" t="s">
        <v>82</v>
      </c>
      <c r="X195" s="13" t="s">
        <v>82</v>
      </c>
      <c r="Y195" s="13" t="s">
        <v>82</v>
      </c>
      <c r="Z195" s="13" t="s">
        <v>84</v>
      </c>
      <c r="AA195" s="13"/>
      <c r="AB195" s="13" t="s">
        <v>82</v>
      </c>
      <c r="AC195" s="13"/>
      <c r="AD195" s="13" t="s">
        <v>84</v>
      </c>
      <c r="AE195" s="13" t="s">
        <v>2969</v>
      </c>
      <c r="AF195" s="13" t="s">
        <v>2970</v>
      </c>
      <c r="AG195" s="13" t="s">
        <v>80</v>
      </c>
      <c r="AH195" s="13"/>
      <c r="AI195" s="13" t="s">
        <v>84</v>
      </c>
      <c r="AJ195" s="13"/>
      <c r="AK195" s="13" t="s">
        <v>2971</v>
      </c>
      <c r="AL195" s="13" t="s">
        <v>140</v>
      </c>
      <c r="AM195" s="13" t="s">
        <v>111</v>
      </c>
      <c r="AN195" s="13"/>
      <c r="AO195" s="13" t="s">
        <v>80</v>
      </c>
      <c r="AP195" s="58"/>
      <c r="AQ195" s="13" t="s">
        <v>84</v>
      </c>
      <c r="AR195" s="13" t="s">
        <v>82</v>
      </c>
      <c r="AS195" s="13" t="s">
        <v>82</v>
      </c>
      <c r="AT195" s="13" t="s">
        <v>84</v>
      </c>
      <c r="AU195" s="13"/>
      <c r="AV195" s="58"/>
      <c r="AW195" s="13" t="s">
        <v>80</v>
      </c>
      <c r="AX195" s="13" t="s">
        <v>80</v>
      </c>
      <c r="AY195" s="13" t="s">
        <v>80</v>
      </c>
      <c r="AZ195" s="13" t="s">
        <v>80</v>
      </c>
      <c r="BA195" s="13"/>
      <c r="BB195" s="13" t="s">
        <v>84</v>
      </c>
      <c r="BC195" s="13" t="s">
        <v>80</v>
      </c>
      <c r="BD195" s="13" t="s">
        <v>112</v>
      </c>
      <c r="BE195" s="13" t="s">
        <v>113</v>
      </c>
      <c r="BF195" s="13" t="s">
        <v>112</v>
      </c>
      <c r="BG195" s="13" t="s">
        <v>84</v>
      </c>
      <c r="BH195" s="13" t="s">
        <v>82</v>
      </c>
      <c r="BI195" s="13"/>
      <c r="BJ195" s="13" t="s">
        <v>84</v>
      </c>
      <c r="BK195" s="13" t="s">
        <v>80</v>
      </c>
      <c r="BL195" s="13">
        <v>3</v>
      </c>
      <c r="BM195" s="13">
        <v>3</v>
      </c>
      <c r="BN195" s="13">
        <v>2</v>
      </c>
      <c r="BO195" s="13">
        <v>1</v>
      </c>
      <c r="BP195" s="13">
        <v>3</v>
      </c>
      <c r="BQ195" s="13">
        <v>3</v>
      </c>
      <c r="BR195" s="58"/>
      <c r="BS195" s="13" t="s">
        <v>118</v>
      </c>
      <c r="BT195" s="13"/>
      <c r="BU195" s="13"/>
      <c r="BV195" s="13"/>
      <c r="BW195" s="58"/>
      <c r="BX195" s="13" t="s">
        <v>84</v>
      </c>
      <c r="BY195" s="13"/>
      <c r="BZ195" s="13" t="s">
        <v>82</v>
      </c>
      <c r="CA195" s="13"/>
      <c r="CB195" s="13" t="s">
        <v>82</v>
      </c>
      <c r="CC195" s="13"/>
      <c r="CD195" s="13" t="s">
        <v>82</v>
      </c>
      <c r="CE195" s="13"/>
      <c r="CF195" s="13"/>
      <c r="CG195" s="13"/>
      <c r="CH195" s="58"/>
      <c r="CI195" s="13" t="s">
        <v>82</v>
      </c>
      <c r="CJ195" s="13"/>
      <c r="CK195" s="13" t="s">
        <v>82</v>
      </c>
      <c r="CL195" s="13"/>
      <c r="CM195" s="13" t="s">
        <v>84</v>
      </c>
      <c r="CN195" s="13" t="s">
        <v>2972</v>
      </c>
      <c r="CO195" s="13"/>
      <c r="CP195" s="13"/>
      <c r="CQ195" s="13" t="s">
        <v>99</v>
      </c>
      <c r="CR195" s="13" t="s">
        <v>80</v>
      </c>
      <c r="CS195" s="13" t="s">
        <v>99</v>
      </c>
      <c r="CT195" s="13"/>
      <c r="CU195" s="13"/>
      <c r="CV195" s="13"/>
      <c r="CW195" s="13" t="s">
        <v>84</v>
      </c>
      <c r="CX195" s="13" t="s">
        <v>2973</v>
      </c>
      <c r="CY195" s="13"/>
      <c r="CZ195" s="13"/>
      <c r="DA195" s="13" t="s">
        <v>82</v>
      </c>
      <c r="DB195" s="13"/>
      <c r="DC195" s="13" t="s">
        <v>84</v>
      </c>
      <c r="DD195" s="13" t="s">
        <v>84</v>
      </c>
      <c r="DE195" s="58"/>
      <c r="DF195" s="58"/>
      <c r="DG195" s="13">
        <v>2</v>
      </c>
      <c r="DH195" s="13">
        <v>2</v>
      </c>
      <c r="DI195" s="13">
        <v>2</v>
      </c>
      <c r="DJ195" s="13">
        <v>2</v>
      </c>
      <c r="DK195" s="13">
        <v>2</v>
      </c>
      <c r="DL195" s="13">
        <v>2</v>
      </c>
      <c r="DM195" s="13">
        <v>2</v>
      </c>
      <c r="DN195" s="13">
        <v>2</v>
      </c>
      <c r="DO195" s="13">
        <v>2</v>
      </c>
      <c r="DP195" s="13">
        <v>2</v>
      </c>
      <c r="DQ195" s="13">
        <v>2</v>
      </c>
      <c r="DR195" s="13">
        <v>2</v>
      </c>
      <c r="DS195" s="13" t="s">
        <v>99</v>
      </c>
      <c r="DT195" s="13" t="s">
        <v>84</v>
      </c>
      <c r="DU195" s="13"/>
      <c r="DV195" s="13" t="s">
        <v>82</v>
      </c>
      <c r="DW195" s="13" t="s">
        <v>100</v>
      </c>
      <c r="DX195" s="13" t="s">
        <v>81</v>
      </c>
      <c r="DY195" s="13"/>
      <c r="DZ195" s="13" t="s">
        <v>113</v>
      </c>
      <c r="EA195" s="13" t="s">
        <v>2974</v>
      </c>
      <c r="EB195" s="13" t="s">
        <v>84</v>
      </c>
      <c r="EC195" s="13"/>
      <c r="ED195" s="13"/>
      <c r="EE195" s="13"/>
      <c r="EF195" s="13" t="s">
        <v>82</v>
      </c>
      <c r="EG195" s="13" t="s">
        <v>82</v>
      </c>
      <c r="EH195" s="13" t="s">
        <v>82</v>
      </c>
      <c r="EI195" s="13"/>
      <c r="EJ195" s="13" t="s">
        <v>2975</v>
      </c>
      <c r="EK195" s="13" t="s">
        <v>2976</v>
      </c>
      <c r="EL195" s="13" t="s">
        <v>2977</v>
      </c>
      <c r="EM195" s="9">
        <v>870.68</v>
      </c>
      <c r="EN195" s="9">
        <v>14.27</v>
      </c>
      <c r="EQ195" s="9">
        <v>78.19</v>
      </c>
      <c r="EW195" s="9">
        <v>94.05</v>
      </c>
      <c r="FF195" s="9">
        <v>38.43</v>
      </c>
      <c r="FJ195" s="9">
        <v>21.27</v>
      </c>
      <c r="FP195" s="9">
        <v>49.51</v>
      </c>
      <c r="FV195" s="9">
        <v>89.34</v>
      </c>
      <c r="GC195" s="9">
        <v>249.17</v>
      </c>
      <c r="GT195" s="9">
        <v>13.6</v>
      </c>
      <c r="GX195" s="9">
        <v>33.56</v>
      </c>
      <c r="HB195" s="9">
        <v>189.29</v>
      </c>
      <c r="HQ195" s="62">
        <f t="shared" si="17"/>
        <v>870.68</v>
      </c>
      <c r="HR195" s="62">
        <f t="shared" si="16"/>
        <v>14.511333333333333</v>
      </c>
    </row>
    <row r="196" spans="1:226" s="32" customFormat="1" ht="12.75" x14ac:dyDescent="0.2">
      <c r="A196" s="33">
        <v>255</v>
      </c>
      <c r="B196" s="32">
        <v>289</v>
      </c>
      <c r="D196" s="32">
        <v>7</v>
      </c>
      <c r="E196" s="32" t="s">
        <v>79</v>
      </c>
      <c r="F196" s="32">
        <v>1787263382</v>
      </c>
      <c r="G196" s="32" t="s">
        <v>81</v>
      </c>
      <c r="H196" s="32" t="s">
        <v>84</v>
      </c>
      <c r="I196" s="32" t="s">
        <v>119</v>
      </c>
      <c r="J196" s="32" t="s">
        <v>443</v>
      </c>
      <c r="K196" s="58"/>
      <c r="L196" s="58"/>
      <c r="M196" s="32" t="s">
        <v>1294</v>
      </c>
      <c r="N196" s="32" t="s">
        <v>618</v>
      </c>
      <c r="P196" s="32" t="s">
        <v>253</v>
      </c>
      <c r="Q196" s="32" t="s">
        <v>1296</v>
      </c>
      <c r="R196" s="58"/>
      <c r="S196" s="32" t="s">
        <v>84</v>
      </c>
      <c r="T196" s="32" t="s">
        <v>84</v>
      </c>
      <c r="U196" s="32" t="s">
        <v>84</v>
      </c>
      <c r="V196" s="32" t="s">
        <v>84</v>
      </c>
      <c r="W196" s="32" t="s">
        <v>82</v>
      </c>
      <c r="X196" s="32" t="s">
        <v>84</v>
      </c>
      <c r="Y196" s="32" t="s">
        <v>84</v>
      </c>
      <c r="Z196" s="32" t="s">
        <v>82</v>
      </c>
      <c r="AB196" s="32" t="s">
        <v>82</v>
      </c>
      <c r="AD196" s="32" t="s">
        <v>84</v>
      </c>
      <c r="AE196" s="32" t="s">
        <v>1115</v>
      </c>
      <c r="AF196" s="32" t="s">
        <v>2978</v>
      </c>
      <c r="AG196" s="32" t="s">
        <v>80</v>
      </c>
      <c r="AI196" s="32" t="s">
        <v>84</v>
      </c>
      <c r="AJ196" s="32" t="s">
        <v>2979</v>
      </c>
      <c r="AK196" s="32" t="s">
        <v>2980</v>
      </c>
      <c r="AL196" s="32" t="s">
        <v>126</v>
      </c>
      <c r="AM196" s="32" t="s">
        <v>91</v>
      </c>
      <c r="AO196" s="32" t="s">
        <v>80</v>
      </c>
      <c r="AP196" s="58"/>
      <c r="AQ196" s="32" t="s">
        <v>80</v>
      </c>
      <c r="AR196" s="32" t="s">
        <v>80</v>
      </c>
      <c r="AS196" s="32" t="s">
        <v>80</v>
      </c>
      <c r="AT196" s="32" t="s">
        <v>80</v>
      </c>
      <c r="AV196" s="58"/>
      <c r="AW196" s="32" t="s">
        <v>84</v>
      </c>
      <c r="AX196" s="32" t="s">
        <v>84</v>
      </c>
      <c r="AY196" s="32" t="s">
        <v>84</v>
      </c>
      <c r="AZ196" s="32" t="s">
        <v>84</v>
      </c>
      <c r="BB196" s="32" t="s">
        <v>84</v>
      </c>
      <c r="BC196" s="32" t="s">
        <v>80</v>
      </c>
      <c r="BD196" s="32" t="s">
        <v>93</v>
      </c>
      <c r="BE196" s="32" t="s">
        <v>93</v>
      </c>
      <c r="BF196" s="32" t="s">
        <v>112</v>
      </c>
      <c r="BG196" s="32" t="s">
        <v>84</v>
      </c>
      <c r="BH196" s="32" t="s">
        <v>84</v>
      </c>
      <c r="BI196" s="32" t="s">
        <v>2981</v>
      </c>
      <c r="BJ196" s="32" t="s">
        <v>84</v>
      </c>
      <c r="BK196" s="32" t="s">
        <v>80</v>
      </c>
      <c r="BL196" s="32">
        <v>1</v>
      </c>
      <c r="BM196" s="32">
        <v>1</v>
      </c>
      <c r="BN196" s="32">
        <v>2</v>
      </c>
      <c r="BO196" s="32">
        <v>1</v>
      </c>
      <c r="BP196" s="32">
        <v>2</v>
      </c>
      <c r="BQ196" s="32">
        <v>2</v>
      </c>
      <c r="BR196" s="58"/>
      <c r="BW196" s="58"/>
      <c r="BX196" s="32" t="s">
        <v>80</v>
      </c>
      <c r="BZ196" s="32" t="s">
        <v>80</v>
      </c>
      <c r="CB196" s="32" t="s">
        <v>80</v>
      </c>
      <c r="CD196" s="32" t="s">
        <v>80</v>
      </c>
      <c r="CH196" s="58"/>
      <c r="CI196" s="32" t="s">
        <v>80</v>
      </c>
      <c r="CK196" s="32" t="s">
        <v>80</v>
      </c>
      <c r="CM196" s="32" t="s">
        <v>80</v>
      </c>
      <c r="CR196" s="32" t="s">
        <v>80</v>
      </c>
      <c r="CW196" s="32" t="s">
        <v>80</v>
      </c>
      <c r="DA196" s="32" t="s">
        <v>80</v>
      </c>
      <c r="DC196" s="32" t="s">
        <v>80</v>
      </c>
      <c r="DD196" s="32" t="s">
        <v>80</v>
      </c>
      <c r="DE196" s="58"/>
      <c r="DF196" s="58"/>
      <c r="DV196" s="32" t="s">
        <v>80</v>
      </c>
      <c r="EB196" s="32" t="s">
        <v>80</v>
      </c>
      <c r="EF196" s="32" t="s">
        <v>80</v>
      </c>
      <c r="EG196" s="32" t="s">
        <v>80</v>
      </c>
      <c r="EH196" s="32" t="s">
        <v>80</v>
      </c>
      <c r="EM196" s="32">
        <v>360.83</v>
      </c>
      <c r="EN196" s="32">
        <v>13.66</v>
      </c>
      <c r="EQ196" s="32">
        <v>42.49</v>
      </c>
      <c r="EW196" s="32">
        <v>115.61</v>
      </c>
      <c r="FF196" s="32">
        <v>40.29</v>
      </c>
      <c r="FJ196" s="32">
        <v>14.75</v>
      </c>
      <c r="FP196" s="32">
        <v>20.350000000000001</v>
      </c>
      <c r="FV196" s="32">
        <v>113.68</v>
      </c>
      <c r="HQ196" s="63">
        <f t="shared" si="17"/>
        <v>360.83</v>
      </c>
      <c r="HR196" s="63"/>
    </row>
    <row r="197" spans="1:226" s="32" customFormat="1" ht="12.75" x14ac:dyDescent="0.2">
      <c r="A197" s="33">
        <v>256</v>
      </c>
      <c r="B197" s="32">
        <v>291</v>
      </c>
      <c r="D197" s="32">
        <v>7</v>
      </c>
      <c r="E197" s="32" t="s">
        <v>79</v>
      </c>
      <c r="F197" s="32">
        <v>469876785</v>
      </c>
      <c r="G197" s="32" t="s">
        <v>81</v>
      </c>
      <c r="H197" s="32" t="s">
        <v>84</v>
      </c>
      <c r="I197" s="32" t="s">
        <v>105</v>
      </c>
      <c r="K197" s="58"/>
      <c r="L197" s="58"/>
      <c r="M197" s="32" t="s">
        <v>1319</v>
      </c>
      <c r="N197" s="32" t="s">
        <v>618</v>
      </c>
      <c r="P197" s="32" t="s">
        <v>253</v>
      </c>
      <c r="Q197" s="32" t="s">
        <v>1358</v>
      </c>
      <c r="R197" s="58"/>
      <c r="S197" s="32" t="s">
        <v>84</v>
      </c>
      <c r="T197" s="32" t="s">
        <v>84</v>
      </c>
      <c r="U197" s="32" t="s">
        <v>84</v>
      </c>
      <c r="V197" s="32" t="s">
        <v>84</v>
      </c>
      <c r="W197" s="32" t="s">
        <v>82</v>
      </c>
      <c r="X197" s="32" t="s">
        <v>82</v>
      </c>
      <c r="Y197" s="32" t="s">
        <v>84</v>
      </c>
      <c r="Z197" s="32" t="s">
        <v>82</v>
      </c>
      <c r="AB197" s="32" t="s">
        <v>84</v>
      </c>
      <c r="AC197" s="32" t="s">
        <v>2982</v>
      </c>
      <c r="AD197" s="32" t="s">
        <v>82</v>
      </c>
      <c r="AG197" s="32" t="s">
        <v>84</v>
      </c>
      <c r="AH197" s="32" t="s">
        <v>2983</v>
      </c>
      <c r="AI197" s="32" t="s">
        <v>84</v>
      </c>
      <c r="AK197" s="32" t="s">
        <v>2984</v>
      </c>
      <c r="AL197" s="32" t="s">
        <v>126</v>
      </c>
      <c r="AM197" s="32" t="s">
        <v>91</v>
      </c>
      <c r="AO197" s="32" t="s">
        <v>80</v>
      </c>
      <c r="AP197" s="58"/>
      <c r="AQ197" s="32" t="s">
        <v>80</v>
      </c>
      <c r="AR197" s="32" t="s">
        <v>80</v>
      </c>
      <c r="AS197" s="32" t="s">
        <v>80</v>
      </c>
      <c r="AT197" s="32" t="s">
        <v>80</v>
      </c>
      <c r="AV197" s="58"/>
      <c r="AW197" s="32" t="s">
        <v>84</v>
      </c>
      <c r="AX197" s="32" t="s">
        <v>84</v>
      </c>
      <c r="AY197" s="32" t="s">
        <v>84</v>
      </c>
      <c r="AZ197" s="32" t="s">
        <v>84</v>
      </c>
      <c r="BB197" s="32" t="s">
        <v>84</v>
      </c>
      <c r="BC197" s="32" t="s">
        <v>80</v>
      </c>
      <c r="BD197" s="32" t="s">
        <v>113</v>
      </c>
      <c r="BE197" s="32" t="s">
        <v>113</v>
      </c>
      <c r="BF197" s="32" t="s">
        <v>112</v>
      </c>
      <c r="BG197" s="32" t="s">
        <v>84</v>
      </c>
      <c r="BH197" s="32" t="s">
        <v>84</v>
      </c>
      <c r="BJ197" s="32" t="s">
        <v>84</v>
      </c>
      <c r="BK197" s="32" t="s">
        <v>80</v>
      </c>
      <c r="BL197" s="32">
        <v>3</v>
      </c>
      <c r="BM197" s="32">
        <v>3</v>
      </c>
      <c r="BN197" s="32">
        <v>3</v>
      </c>
      <c r="BO197" s="32">
        <v>1</v>
      </c>
      <c r="BP197" s="32">
        <v>4</v>
      </c>
      <c r="BQ197" s="32">
        <v>2</v>
      </c>
      <c r="BR197" s="58"/>
      <c r="BS197" s="32" t="s">
        <v>118</v>
      </c>
      <c r="BW197" s="58"/>
      <c r="BX197" s="32" t="s">
        <v>84</v>
      </c>
      <c r="BZ197" s="32" t="s">
        <v>82</v>
      </c>
      <c r="CB197" s="32" t="s">
        <v>84</v>
      </c>
      <c r="CD197" s="32" t="s">
        <v>82</v>
      </c>
      <c r="CH197" s="58"/>
      <c r="CI197" s="32" t="s">
        <v>82</v>
      </c>
      <c r="CK197" s="32" t="s">
        <v>82</v>
      </c>
      <c r="CM197" s="32" t="s">
        <v>82</v>
      </c>
      <c r="CR197" s="32" t="s">
        <v>80</v>
      </c>
      <c r="CW197" s="32" t="s">
        <v>80</v>
      </c>
      <c r="DA197" s="32" t="s">
        <v>80</v>
      </c>
      <c r="DC197" s="32" t="s">
        <v>80</v>
      </c>
      <c r="DD197" s="32" t="s">
        <v>80</v>
      </c>
      <c r="DE197" s="58"/>
      <c r="DF197" s="58"/>
      <c r="DV197" s="32" t="s">
        <v>80</v>
      </c>
      <c r="EB197" s="32" t="s">
        <v>80</v>
      </c>
      <c r="EF197" s="32" t="s">
        <v>80</v>
      </c>
      <c r="EG197" s="32" t="s">
        <v>80</v>
      </c>
      <c r="EH197" s="32" t="s">
        <v>80</v>
      </c>
      <c r="EM197" s="32">
        <v>1776.95</v>
      </c>
      <c r="EN197" s="32">
        <v>14.77</v>
      </c>
      <c r="EQ197" s="32">
        <v>90.34</v>
      </c>
      <c r="EW197" s="32">
        <v>938.35</v>
      </c>
      <c r="FF197" s="32">
        <v>410.67</v>
      </c>
      <c r="FJ197" s="32">
        <v>17.29</v>
      </c>
      <c r="FP197" s="32">
        <v>70.06</v>
      </c>
      <c r="FV197" s="32">
        <v>174.64</v>
      </c>
      <c r="GC197" s="32">
        <v>60.83</v>
      </c>
      <c r="HQ197" s="63">
        <f t="shared" si="17"/>
        <v>1776.95</v>
      </c>
      <c r="HR197" s="63"/>
    </row>
    <row r="198" spans="1:226" s="9" customFormat="1" ht="12.75" x14ac:dyDescent="0.2">
      <c r="A198" s="11">
        <v>257</v>
      </c>
      <c r="B198" s="9">
        <v>292</v>
      </c>
      <c r="C198" s="9" t="s">
        <v>83</v>
      </c>
      <c r="D198" s="9">
        <v>11</v>
      </c>
      <c r="E198" s="9" t="s">
        <v>79</v>
      </c>
      <c r="F198" s="9">
        <v>1849183905</v>
      </c>
      <c r="G198" s="9" t="s">
        <v>81</v>
      </c>
      <c r="H198" s="9" t="s">
        <v>84</v>
      </c>
      <c r="I198" s="13" t="s">
        <v>105</v>
      </c>
      <c r="J198" s="13"/>
      <c r="K198" s="58"/>
      <c r="L198" s="58"/>
      <c r="M198" s="13" t="s">
        <v>1319</v>
      </c>
      <c r="N198" s="13" t="s">
        <v>618</v>
      </c>
      <c r="O198" s="13"/>
      <c r="P198" s="13" t="s">
        <v>87</v>
      </c>
      <c r="Q198" s="13" t="s">
        <v>1310</v>
      </c>
      <c r="R198" s="58"/>
      <c r="S198" s="13" t="s">
        <v>84</v>
      </c>
      <c r="T198" s="13" t="s">
        <v>84</v>
      </c>
      <c r="U198" s="13" t="s">
        <v>84</v>
      </c>
      <c r="V198" s="13" t="s">
        <v>82</v>
      </c>
      <c r="W198" s="13" t="s">
        <v>82</v>
      </c>
      <c r="X198" s="13" t="s">
        <v>82</v>
      </c>
      <c r="Y198" s="13" t="s">
        <v>84</v>
      </c>
      <c r="Z198" s="13" t="s">
        <v>82</v>
      </c>
      <c r="AA198" s="13"/>
      <c r="AB198" s="13" t="s">
        <v>82</v>
      </c>
      <c r="AC198" s="13"/>
      <c r="AD198" s="13" t="s">
        <v>82</v>
      </c>
      <c r="AE198" s="13"/>
      <c r="AF198" s="13"/>
      <c r="AG198" s="13" t="s">
        <v>82</v>
      </c>
      <c r="AH198" s="13"/>
      <c r="AI198" s="13" t="s">
        <v>84</v>
      </c>
      <c r="AJ198" s="13"/>
      <c r="AK198" s="13" t="s">
        <v>2985</v>
      </c>
      <c r="AL198" s="13" t="s">
        <v>126</v>
      </c>
      <c r="AM198" s="13" t="s">
        <v>91</v>
      </c>
      <c r="AN198" s="13"/>
      <c r="AO198" s="13" t="s">
        <v>80</v>
      </c>
      <c r="AP198" s="58"/>
      <c r="AQ198" s="13" t="s">
        <v>80</v>
      </c>
      <c r="AR198" s="13" t="s">
        <v>80</v>
      </c>
      <c r="AS198" s="13" t="s">
        <v>80</v>
      </c>
      <c r="AT198" s="13" t="s">
        <v>80</v>
      </c>
      <c r="AU198" s="13"/>
      <c r="AV198" s="58"/>
      <c r="AW198" s="13" t="s">
        <v>84</v>
      </c>
      <c r="AX198" s="13" t="s">
        <v>84</v>
      </c>
      <c r="AY198" s="13" t="s">
        <v>84</v>
      </c>
      <c r="AZ198" s="13" t="s">
        <v>84</v>
      </c>
      <c r="BA198" s="13"/>
      <c r="BB198" s="13" t="s">
        <v>84</v>
      </c>
      <c r="BC198" s="13" t="s">
        <v>80</v>
      </c>
      <c r="BD198" s="13" t="s">
        <v>93</v>
      </c>
      <c r="BE198" s="13" t="s">
        <v>113</v>
      </c>
      <c r="BF198" s="13" t="s">
        <v>113</v>
      </c>
      <c r="BG198" s="13" t="s">
        <v>82</v>
      </c>
      <c r="BH198" s="13" t="s">
        <v>84</v>
      </c>
      <c r="BI198" s="13" t="s">
        <v>2986</v>
      </c>
      <c r="BJ198" s="13" t="s">
        <v>84</v>
      </c>
      <c r="BK198" s="13" t="s">
        <v>80</v>
      </c>
      <c r="BL198" s="13">
        <v>5</v>
      </c>
      <c r="BM198" s="13">
        <v>3</v>
      </c>
      <c r="BN198" s="13">
        <v>1</v>
      </c>
      <c r="BO198" s="13">
        <v>1</v>
      </c>
      <c r="BP198" s="13">
        <v>5</v>
      </c>
      <c r="BQ198" s="13">
        <v>3</v>
      </c>
      <c r="BR198" s="58"/>
      <c r="BS198" s="13" t="s">
        <v>99</v>
      </c>
      <c r="BT198" s="13"/>
      <c r="BU198" s="13"/>
      <c r="BV198" s="13"/>
      <c r="BW198" s="58"/>
      <c r="BX198" s="13" t="s">
        <v>84</v>
      </c>
      <c r="BY198" s="13" t="s">
        <v>2987</v>
      </c>
      <c r="BZ198" s="13" t="s">
        <v>84</v>
      </c>
      <c r="CA198" s="13" t="s">
        <v>423</v>
      </c>
      <c r="CB198" s="13" t="s">
        <v>82</v>
      </c>
      <c r="CC198" s="13"/>
      <c r="CD198" s="13" t="s">
        <v>82</v>
      </c>
      <c r="CE198" s="13"/>
      <c r="CF198" s="13"/>
      <c r="CG198" s="13"/>
      <c r="CH198" s="58"/>
      <c r="CI198" s="13" t="s">
        <v>82</v>
      </c>
      <c r="CJ198" s="13"/>
      <c r="CK198" s="13" t="s">
        <v>84</v>
      </c>
      <c r="CL198" s="13"/>
      <c r="CM198" s="13" t="s">
        <v>84</v>
      </c>
      <c r="CN198" s="13"/>
      <c r="CO198" s="13"/>
      <c r="CP198" s="13"/>
      <c r="CQ198" s="13" t="s">
        <v>118</v>
      </c>
      <c r="CR198" s="13" t="s">
        <v>84</v>
      </c>
      <c r="CS198" s="13" t="s">
        <v>1312</v>
      </c>
      <c r="CT198" s="13"/>
      <c r="CU198" s="13" t="s">
        <v>81</v>
      </c>
      <c r="CV198" s="13"/>
      <c r="CW198" s="13" t="s">
        <v>82</v>
      </c>
      <c r="CX198" s="13"/>
      <c r="CY198" s="13" t="s">
        <v>81</v>
      </c>
      <c r="CZ198" s="13"/>
      <c r="DA198" s="13" t="s">
        <v>82</v>
      </c>
      <c r="DB198" s="13"/>
      <c r="DC198" s="13" t="s">
        <v>84</v>
      </c>
      <c r="DD198" s="13" t="s">
        <v>84</v>
      </c>
      <c r="DE198" s="58"/>
      <c r="DF198" s="58"/>
      <c r="DG198" s="13">
        <v>2</v>
      </c>
      <c r="DH198" s="13">
        <v>2</v>
      </c>
      <c r="DI198" s="13">
        <v>1</v>
      </c>
      <c r="DJ198" s="13">
        <v>3</v>
      </c>
      <c r="DK198" s="13">
        <v>1</v>
      </c>
      <c r="DL198" s="13">
        <v>3</v>
      </c>
      <c r="DM198" s="13">
        <v>1</v>
      </c>
      <c r="DN198" s="13">
        <v>3</v>
      </c>
      <c r="DO198" s="13">
        <v>1</v>
      </c>
      <c r="DP198" s="13">
        <v>3</v>
      </c>
      <c r="DQ198" s="13">
        <v>1</v>
      </c>
      <c r="DR198" s="13">
        <v>3</v>
      </c>
      <c r="DS198" s="13" t="s">
        <v>118</v>
      </c>
      <c r="DT198" s="13" t="s">
        <v>106</v>
      </c>
      <c r="DU198" s="13"/>
      <c r="DV198" s="13" t="s">
        <v>84</v>
      </c>
      <c r="DW198" s="13" t="s">
        <v>113</v>
      </c>
      <c r="DX198" s="13" t="s">
        <v>81</v>
      </c>
      <c r="DY198" s="13"/>
      <c r="DZ198" s="13" t="s">
        <v>93</v>
      </c>
      <c r="EA198" s="13"/>
      <c r="EB198" s="13" t="s">
        <v>82</v>
      </c>
      <c r="EC198" s="13"/>
      <c r="ED198" s="13" t="s">
        <v>81</v>
      </c>
      <c r="EE198" s="13"/>
      <c r="EF198" s="13" t="s">
        <v>82</v>
      </c>
      <c r="EG198" s="13" t="s">
        <v>84</v>
      </c>
      <c r="EH198" s="13" t="s">
        <v>82</v>
      </c>
      <c r="EI198" s="13"/>
      <c r="EJ198" s="13" t="s">
        <v>2988</v>
      </c>
      <c r="EK198" s="13" t="s">
        <v>2989</v>
      </c>
      <c r="EL198" s="13" t="s">
        <v>2990</v>
      </c>
      <c r="EM198" s="9">
        <v>1149.26</v>
      </c>
      <c r="EN198" s="9">
        <v>20.2</v>
      </c>
      <c r="EQ198" s="9">
        <v>68.31</v>
      </c>
      <c r="EW198" s="9">
        <v>55.73</v>
      </c>
      <c r="FF198" s="9">
        <v>85.72</v>
      </c>
      <c r="FJ198" s="9">
        <v>14.76</v>
      </c>
      <c r="FP198" s="9">
        <v>33.75</v>
      </c>
      <c r="FV198" s="9">
        <v>172.15</v>
      </c>
      <c r="GC198" s="9">
        <v>295.67</v>
      </c>
      <c r="GT198" s="9">
        <v>65.97</v>
      </c>
      <c r="GX198" s="9">
        <v>26.04</v>
      </c>
      <c r="HB198" s="9">
        <v>310.95999999999998</v>
      </c>
      <c r="HQ198" s="62">
        <f t="shared" si="17"/>
        <v>1149.26</v>
      </c>
      <c r="HR198" s="62">
        <f>HQ198/60</f>
        <v>19.154333333333334</v>
      </c>
    </row>
    <row r="199" spans="1:226" s="9" customFormat="1" ht="12.75" x14ac:dyDescent="0.2">
      <c r="A199" s="11">
        <v>258</v>
      </c>
      <c r="B199" s="9">
        <v>294</v>
      </c>
      <c r="C199" s="9" t="s">
        <v>83</v>
      </c>
      <c r="D199" s="9">
        <v>11</v>
      </c>
      <c r="E199" s="9" t="s">
        <v>79</v>
      </c>
      <c r="F199" s="9">
        <v>1278768653</v>
      </c>
      <c r="G199" s="9" t="s">
        <v>81</v>
      </c>
      <c r="H199" s="9" t="s">
        <v>84</v>
      </c>
      <c r="I199" s="13" t="s">
        <v>105</v>
      </c>
      <c r="J199" s="13"/>
      <c r="K199" s="58"/>
      <c r="L199" s="58"/>
      <c r="M199" s="13" t="s">
        <v>1309</v>
      </c>
      <c r="N199" s="13" t="s">
        <v>618</v>
      </c>
      <c r="O199" s="13"/>
      <c r="P199" s="13" t="s">
        <v>87</v>
      </c>
      <c r="Q199" s="13" t="s">
        <v>1766</v>
      </c>
      <c r="R199" s="58"/>
      <c r="S199" s="13" t="s">
        <v>84</v>
      </c>
      <c r="T199" s="13" t="s">
        <v>84</v>
      </c>
      <c r="U199" s="13" t="s">
        <v>84</v>
      </c>
      <c r="V199" s="13" t="s">
        <v>84</v>
      </c>
      <c r="W199" s="13" t="s">
        <v>82</v>
      </c>
      <c r="X199" s="13" t="s">
        <v>82</v>
      </c>
      <c r="Y199" s="13" t="s">
        <v>82</v>
      </c>
      <c r="Z199" s="13" t="s">
        <v>82</v>
      </c>
      <c r="AA199" s="13"/>
      <c r="AB199" s="13" t="s">
        <v>84</v>
      </c>
      <c r="AC199" s="13" t="s">
        <v>2991</v>
      </c>
      <c r="AD199" s="13" t="s">
        <v>82</v>
      </c>
      <c r="AE199" s="13"/>
      <c r="AF199" s="13"/>
      <c r="AG199" s="13" t="s">
        <v>82</v>
      </c>
      <c r="AH199" s="13"/>
      <c r="AI199" s="13" t="s">
        <v>84</v>
      </c>
      <c r="AJ199" s="13"/>
      <c r="AK199" s="13" t="s">
        <v>2992</v>
      </c>
      <c r="AL199" s="13" t="s">
        <v>126</v>
      </c>
      <c r="AM199" s="13" t="s">
        <v>111</v>
      </c>
      <c r="AN199" s="13"/>
      <c r="AO199" s="13" t="s">
        <v>80</v>
      </c>
      <c r="AP199" s="58"/>
      <c r="AQ199" s="13" t="s">
        <v>84</v>
      </c>
      <c r="AR199" s="13" t="s">
        <v>82</v>
      </c>
      <c r="AS199" s="13" t="s">
        <v>82</v>
      </c>
      <c r="AT199" s="13" t="s">
        <v>84</v>
      </c>
      <c r="AU199" s="13"/>
      <c r="AV199" s="58"/>
      <c r="AW199" s="13" t="s">
        <v>80</v>
      </c>
      <c r="AX199" s="13" t="s">
        <v>80</v>
      </c>
      <c r="AY199" s="13" t="s">
        <v>80</v>
      </c>
      <c r="AZ199" s="13" t="s">
        <v>80</v>
      </c>
      <c r="BA199" s="13"/>
      <c r="BB199" s="13" t="s">
        <v>84</v>
      </c>
      <c r="BC199" s="13" t="s">
        <v>80</v>
      </c>
      <c r="BD199" s="13" t="s">
        <v>100</v>
      </c>
      <c r="BE199" s="13" t="s">
        <v>100</v>
      </c>
      <c r="BF199" s="13" t="s">
        <v>113</v>
      </c>
      <c r="BG199" s="13" t="s">
        <v>82</v>
      </c>
      <c r="BH199" s="13" t="s">
        <v>84</v>
      </c>
      <c r="BI199" s="13" t="s">
        <v>2993</v>
      </c>
      <c r="BJ199" s="13" t="s">
        <v>84</v>
      </c>
      <c r="BK199" s="13" t="s">
        <v>80</v>
      </c>
      <c r="BL199" s="13">
        <v>4</v>
      </c>
      <c r="BM199" s="13">
        <v>4</v>
      </c>
      <c r="BN199" s="13">
        <v>2</v>
      </c>
      <c r="BO199" s="13">
        <v>1</v>
      </c>
      <c r="BP199" s="13">
        <v>4</v>
      </c>
      <c r="BQ199" s="13">
        <v>3</v>
      </c>
      <c r="BR199" s="58"/>
      <c r="BS199" s="13" t="s">
        <v>118</v>
      </c>
      <c r="BT199" s="13"/>
      <c r="BU199" s="13"/>
      <c r="BV199" s="13"/>
      <c r="BW199" s="58"/>
      <c r="BX199" s="13" t="s">
        <v>84</v>
      </c>
      <c r="BY199" s="13" t="s">
        <v>2994</v>
      </c>
      <c r="BZ199" s="13" t="s">
        <v>84</v>
      </c>
      <c r="CA199" s="13" t="s">
        <v>2995</v>
      </c>
      <c r="CB199" s="13" t="s">
        <v>82</v>
      </c>
      <c r="CC199" s="13"/>
      <c r="CD199" s="13" t="s">
        <v>82</v>
      </c>
      <c r="CE199" s="13"/>
      <c r="CF199" s="13"/>
      <c r="CG199" s="13"/>
      <c r="CH199" s="58"/>
      <c r="CI199" s="13" t="s">
        <v>84</v>
      </c>
      <c r="CJ199" s="13" t="s">
        <v>2996</v>
      </c>
      <c r="CK199" s="13" t="s">
        <v>84</v>
      </c>
      <c r="CL199" s="13" t="s">
        <v>2997</v>
      </c>
      <c r="CM199" s="13" t="s">
        <v>82</v>
      </c>
      <c r="CN199" s="13"/>
      <c r="CO199" s="13"/>
      <c r="CP199" s="13"/>
      <c r="CQ199" s="13" t="s">
        <v>97</v>
      </c>
      <c r="CR199" s="13" t="s">
        <v>84</v>
      </c>
      <c r="CS199" s="13" t="s">
        <v>97</v>
      </c>
      <c r="CT199" s="13"/>
      <c r="CU199" s="13" t="s">
        <v>246</v>
      </c>
      <c r="CV199" s="13"/>
      <c r="CW199" s="13" t="s">
        <v>82</v>
      </c>
      <c r="CX199" s="13"/>
      <c r="CY199" s="13" t="s">
        <v>81</v>
      </c>
      <c r="CZ199" s="13"/>
      <c r="DA199" s="13" t="s">
        <v>82</v>
      </c>
      <c r="DB199" s="13"/>
      <c r="DC199" s="13" t="s">
        <v>84</v>
      </c>
      <c r="DD199" s="13" t="s">
        <v>84</v>
      </c>
      <c r="DE199" s="58"/>
      <c r="DF199" s="58"/>
      <c r="DG199" s="13">
        <v>2</v>
      </c>
      <c r="DH199" s="13">
        <v>2</v>
      </c>
      <c r="DI199" s="13">
        <v>2</v>
      </c>
      <c r="DJ199" s="13">
        <v>2</v>
      </c>
      <c r="DK199" s="13">
        <v>1</v>
      </c>
      <c r="DL199" s="13">
        <v>3</v>
      </c>
      <c r="DM199" s="13">
        <v>1</v>
      </c>
      <c r="DN199" s="13">
        <v>3</v>
      </c>
      <c r="DO199" s="13">
        <v>5</v>
      </c>
      <c r="DP199" s="13">
        <v>2</v>
      </c>
      <c r="DQ199" s="13">
        <v>4</v>
      </c>
      <c r="DR199" s="13">
        <v>3</v>
      </c>
      <c r="DS199" s="13" t="s">
        <v>97</v>
      </c>
      <c r="DT199" s="13" t="s">
        <v>106</v>
      </c>
      <c r="DU199" s="13"/>
      <c r="DV199" s="13" t="s">
        <v>84</v>
      </c>
      <c r="DW199" s="13" t="s">
        <v>100</v>
      </c>
      <c r="DX199" s="13" t="s">
        <v>81</v>
      </c>
      <c r="DY199" s="13" t="s">
        <v>2998</v>
      </c>
      <c r="DZ199" s="13" t="s">
        <v>100</v>
      </c>
      <c r="EA199" s="13"/>
      <c r="EB199" s="13" t="s">
        <v>82</v>
      </c>
      <c r="EC199" s="13"/>
      <c r="ED199" s="13" t="s">
        <v>246</v>
      </c>
      <c r="EE199" s="13"/>
      <c r="EF199" s="13" t="s">
        <v>84</v>
      </c>
      <c r="EG199" s="13" t="s">
        <v>82</v>
      </c>
      <c r="EH199" s="13" t="s">
        <v>82</v>
      </c>
      <c r="EI199" s="13"/>
      <c r="EJ199" s="13"/>
      <c r="EK199" s="13"/>
      <c r="EL199" s="13"/>
      <c r="EM199" s="9">
        <v>1144.8599999999999</v>
      </c>
      <c r="EN199" s="9">
        <v>38.630000000000003</v>
      </c>
      <c r="EQ199" s="9">
        <v>86.24</v>
      </c>
      <c r="EW199" s="9">
        <v>45.64</v>
      </c>
      <c r="FF199" s="9">
        <v>27.63</v>
      </c>
      <c r="FJ199" s="9">
        <v>19.489999999999998</v>
      </c>
      <c r="FP199" s="9">
        <v>52.75</v>
      </c>
      <c r="FV199" s="9">
        <v>205.1</v>
      </c>
      <c r="GC199" s="9">
        <v>403.9</v>
      </c>
      <c r="GT199" s="9">
        <v>16.940000000000001</v>
      </c>
      <c r="GX199" s="9">
        <v>173.7</v>
      </c>
      <c r="HB199" s="9">
        <v>74.84</v>
      </c>
      <c r="HQ199" s="62">
        <f t="shared" si="17"/>
        <v>1144.8599999999999</v>
      </c>
      <c r="HR199" s="62">
        <f>HQ199/60</f>
        <v>19.081</v>
      </c>
    </row>
    <row r="200" spans="1:226" s="9" customFormat="1" ht="12.75" x14ac:dyDescent="0.2">
      <c r="A200" s="11">
        <v>259</v>
      </c>
      <c r="B200" s="9">
        <v>295</v>
      </c>
      <c r="C200" s="9" t="s">
        <v>83</v>
      </c>
      <c r="D200" s="9">
        <v>11</v>
      </c>
      <c r="E200" s="9" t="s">
        <v>79</v>
      </c>
      <c r="F200" s="9">
        <v>1514158104</v>
      </c>
      <c r="G200" s="9" t="s">
        <v>81</v>
      </c>
      <c r="H200" s="9" t="s">
        <v>84</v>
      </c>
      <c r="I200" s="13" t="s">
        <v>324</v>
      </c>
      <c r="J200" s="13"/>
      <c r="K200" s="58"/>
      <c r="L200" s="58"/>
      <c r="M200" s="13" t="s">
        <v>1294</v>
      </c>
      <c r="N200" s="13" t="s">
        <v>108</v>
      </c>
      <c r="O200" s="13"/>
      <c r="P200" s="13" t="s">
        <v>632</v>
      </c>
      <c r="Q200" s="13" t="s">
        <v>1358</v>
      </c>
      <c r="R200" s="58"/>
      <c r="S200" s="13" t="s">
        <v>84</v>
      </c>
      <c r="T200" s="13" t="s">
        <v>84</v>
      </c>
      <c r="U200" s="13" t="s">
        <v>84</v>
      </c>
      <c r="V200" s="13" t="s">
        <v>84</v>
      </c>
      <c r="W200" s="13" t="s">
        <v>82</v>
      </c>
      <c r="X200" s="13" t="s">
        <v>82</v>
      </c>
      <c r="Y200" s="13" t="s">
        <v>84</v>
      </c>
      <c r="Z200" s="13" t="s">
        <v>82</v>
      </c>
      <c r="AA200" s="13"/>
      <c r="AB200" s="13" t="s">
        <v>82</v>
      </c>
      <c r="AC200" s="13"/>
      <c r="AD200" s="13" t="s">
        <v>82</v>
      </c>
      <c r="AE200" s="13"/>
      <c r="AF200" s="13"/>
      <c r="AG200" s="13" t="s">
        <v>82</v>
      </c>
      <c r="AH200" s="13"/>
      <c r="AI200" s="13" t="s">
        <v>84</v>
      </c>
      <c r="AJ200" s="13"/>
      <c r="AK200" s="13" t="s">
        <v>3053</v>
      </c>
      <c r="AL200" s="13" t="s">
        <v>126</v>
      </c>
      <c r="AM200" s="13" t="s">
        <v>91</v>
      </c>
      <c r="AN200" s="13"/>
      <c r="AO200" s="13" t="s">
        <v>80</v>
      </c>
      <c r="AP200" s="58"/>
      <c r="AQ200" s="13" t="s">
        <v>80</v>
      </c>
      <c r="AR200" s="13" t="s">
        <v>80</v>
      </c>
      <c r="AS200" s="13" t="s">
        <v>80</v>
      </c>
      <c r="AT200" s="13" t="s">
        <v>80</v>
      </c>
      <c r="AU200" s="13"/>
      <c r="AV200" s="58"/>
      <c r="AW200" s="13" t="s">
        <v>84</v>
      </c>
      <c r="AX200" s="13" t="s">
        <v>84</v>
      </c>
      <c r="AY200" s="13" t="s">
        <v>84</v>
      </c>
      <c r="AZ200" s="13" t="s">
        <v>84</v>
      </c>
      <c r="BA200" s="13"/>
      <c r="BB200" s="13" t="s">
        <v>84</v>
      </c>
      <c r="BC200" s="13" t="s">
        <v>80</v>
      </c>
      <c r="BD200" s="13" t="s">
        <v>113</v>
      </c>
      <c r="BE200" s="13" t="s">
        <v>113</v>
      </c>
      <c r="BF200" s="13" t="s">
        <v>100</v>
      </c>
      <c r="BG200" s="13" t="s">
        <v>84</v>
      </c>
      <c r="BH200" s="13" t="s">
        <v>84</v>
      </c>
      <c r="BI200" s="13" t="s">
        <v>3054</v>
      </c>
      <c r="BJ200" s="13" t="s">
        <v>84</v>
      </c>
      <c r="BK200" s="13" t="s">
        <v>80</v>
      </c>
      <c r="BL200" s="13">
        <v>1</v>
      </c>
      <c r="BM200" s="13">
        <v>1</v>
      </c>
      <c r="BN200" s="13">
        <v>1</v>
      </c>
      <c r="BO200" s="13">
        <v>1</v>
      </c>
      <c r="BP200" s="13">
        <v>4</v>
      </c>
      <c r="BQ200" s="13">
        <v>3</v>
      </c>
      <c r="BR200" s="58"/>
      <c r="BS200" s="13" t="s">
        <v>97</v>
      </c>
      <c r="BT200" s="13"/>
      <c r="BU200" s="13" t="s">
        <v>246</v>
      </c>
      <c r="BV200" s="13"/>
      <c r="BW200" s="58"/>
      <c r="BX200" s="13" t="s">
        <v>80</v>
      </c>
      <c r="BY200" s="13"/>
      <c r="BZ200" s="13" t="s">
        <v>80</v>
      </c>
      <c r="CA200" s="13"/>
      <c r="CB200" s="13" t="s">
        <v>80</v>
      </c>
      <c r="CC200" s="13"/>
      <c r="CD200" s="13" t="s">
        <v>80</v>
      </c>
      <c r="CE200" s="13"/>
      <c r="CF200" s="13"/>
      <c r="CG200" s="13"/>
      <c r="CH200" s="58"/>
      <c r="CI200" s="13" t="s">
        <v>84</v>
      </c>
      <c r="CJ200" s="13" t="s">
        <v>3055</v>
      </c>
      <c r="CK200" s="13" t="s">
        <v>82</v>
      </c>
      <c r="CL200" s="13"/>
      <c r="CM200" s="13" t="s">
        <v>82</v>
      </c>
      <c r="CN200" s="13"/>
      <c r="CO200" s="13"/>
      <c r="CP200" s="13"/>
      <c r="CQ200" s="13" t="s">
        <v>118</v>
      </c>
      <c r="CR200" s="13" t="s">
        <v>84</v>
      </c>
      <c r="CS200" s="13" t="s">
        <v>1312</v>
      </c>
      <c r="CT200" s="13" t="s">
        <v>3056</v>
      </c>
      <c r="CU200" s="13" t="s">
        <v>81</v>
      </c>
      <c r="CV200" s="13" t="s">
        <v>3057</v>
      </c>
      <c r="CW200" s="13" t="s">
        <v>82</v>
      </c>
      <c r="CX200" s="13"/>
      <c r="CY200" s="13" t="s">
        <v>81</v>
      </c>
      <c r="CZ200" s="13"/>
      <c r="DA200" s="13" t="s">
        <v>82</v>
      </c>
      <c r="DB200" s="13"/>
      <c r="DC200" s="13" t="s">
        <v>84</v>
      </c>
      <c r="DD200" s="13" t="s">
        <v>82</v>
      </c>
      <c r="DE200" s="58"/>
      <c r="DF200" s="58"/>
      <c r="DG200" s="13">
        <v>1</v>
      </c>
      <c r="DH200" s="13">
        <v>5</v>
      </c>
      <c r="DI200" s="13">
        <v>1</v>
      </c>
      <c r="DJ200" s="13">
        <v>5</v>
      </c>
      <c r="DK200" s="13">
        <v>1</v>
      </c>
      <c r="DL200" s="13">
        <v>5</v>
      </c>
      <c r="DM200" s="13">
        <v>1</v>
      </c>
      <c r="DN200" s="13">
        <v>5</v>
      </c>
      <c r="DO200" s="13">
        <v>1</v>
      </c>
      <c r="DP200" s="13">
        <v>2</v>
      </c>
      <c r="DQ200" s="13">
        <v>1</v>
      </c>
      <c r="DR200" s="13">
        <v>2</v>
      </c>
      <c r="DS200" s="13" t="s">
        <v>99</v>
      </c>
      <c r="DT200" s="13" t="s">
        <v>84</v>
      </c>
      <c r="DU200" s="13"/>
      <c r="DV200" s="13" t="s">
        <v>84</v>
      </c>
      <c r="DW200" s="13" t="s">
        <v>113</v>
      </c>
      <c r="DX200" s="13" t="s">
        <v>81</v>
      </c>
      <c r="DY200" s="13"/>
      <c r="DZ200" s="13" t="s">
        <v>93</v>
      </c>
      <c r="EA200" s="13"/>
      <c r="EB200" s="13" t="s">
        <v>82</v>
      </c>
      <c r="EC200" s="13"/>
      <c r="ED200" s="13" t="s">
        <v>246</v>
      </c>
      <c r="EE200" s="13" t="s">
        <v>3058</v>
      </c>
      <c r="EF200" s="13" t="s">
        <v>82</v>
      </c>
      <c r="EG200" s="13" t="s">
        <v>82</v>
      </c>
      <c r="EH200" s="13" t="s">
        <v>84</v>
      </c>
      <c r="EI200" s="13" t="s">
        <v>3059</v>
      </c>
      <c r="EJ200" s="13" t="s">
        <v>3060</v>
      </c>
      <c r="EK200" s="13" t="s">
        <v>3061</v>
      </c>
      <c r="EL200" s="13" t="s">
        <v>3062</v>
      </c>
      <c r="EM200" s="9">
        <v>2540.21</v>
      </c>
      <c r="EN200" s="9">
        <v>34.46</v>
      </c>
      <c r="EQ200" s="9">
        <v>487.9</v>
      </c>
      <c r="EW200" s="9">
        <v>239.65</v>
      </c>
      <c r="FF200" s="9">
        <v>66.03</v>
      </c>
      <c r="FJ200" s="9">
        <v>19.87</v>
      </c>
      <c r="FP200" s="9">
        <v>89.97</v>
      </c>
      <c r="FV200" s="9">
        <v>233.66</v>
      </c>
      <c r="GC200" s="9">
        <v>833.16</v>
      </c>
      <c r="GT200" s="9">
        <v>14.29</v>
      </c>
      <c r="GX200" s="9">
        <v>24.56</v>
      </c>
      <c r="HB200" s="9">
        <v>496.66</v>
      </c>
      <c r="HQ200" s="62">
        <f t="shared" si="17"/>
        <v>2540.21</v>
      </c>
      <c r="HR200" s="62">
        <f t="shared" ref="HR200:HR217" si="18">HQ200/60</f>
        <v>42.336833333333331</v>
      </c>
    </row>
    <row r="201" spans="1:226" s="9" customFormat="1" ht="12.75" x14ac:dyDescent="0.2">
      <c r="A201" s="11">
        <v>260</v>
      </c>
      <c r="B201" s="9">
        <v>296</v>
      </c>
      <c r="C201" s="9" t="s">
        <v>83</v>
      </c>
      <c r="D201" s="9">
        <v>11</v>
      </c>
      <c r="E201" s="9" t="s">
        <v>79</v>
      </c>
      <c r="F201" s="9">
        <v>1572833966</v>
      </c>
      <c r="G201" s="9" t="s">
        <v>81</v>
      </c>
      <c r="H201" s="9" t="s">
        <v>84</v>
      </c>
      <c r="I201" s="13" t="s">
        <v>107</v>
      </c>
      <c r="J201" s="13"/>
      <c r="K201" s="58"/>
      <c r="L201" s="58"/>
      <c r="M201" s="13" t="s">
        <v>1319</v>
      </c>
      <c r="N201" s="13" t="s">
        <v>618</v>
      </c>
      <c r="O201" s="13"/>
      <c r="P201" s="13" t="s">
        <v>87</v>
      </c>
      <c r="Q201" s="13" t="s">
        <v>1296</v>
      </c>
      <c r="R201" s="58"/>
      <c r="S201" s="13" t="s">
        <v>84</v>
      </c>
      <c r="T201" s="13" t="s">
        <v>84</v>
      </c>
      <c r="U201" s="13" t="s">
        <v>84</v>
      </c>
      <c r="V201" s="13" t="s">
        <v>84</v>
      </c>
      <c r="W201" s="13" t="s">
        <v>82</v>
      </c>
      <c r="X201" s="13" t="s">
        <v>82</v>
      </c>
      <c r="Y201" s="13" t="s">
        <v>84</v>
      </c>
      <c r="Z201" s="13" t="s">
        <v>82</v>
      </c>
      <c r="AA201" s="13"/>
      <c r="AB201" s="13" t="s">
        <v>84</v>
      </c>
      <c r="AC201" s="13" t="s">
        <v>3063</v>
      </c>
      <c r="AD201" s="13" t="s">
        <v>82</v>
      </c>
      <c r="AE201" s="13"/>
      <c r="AF201" s="13"/>
      <c r="AG201" s="13" t="s">
        <v>84</v>
      </c>
      <c r="AH201" s="13" t="s">
        <v>3064</v>
      </c>
      <c r="AI201" s="13" t="s">
        <v>84</v>
      </c>
      <c r="AJ201" s="13"/>
      <c r="AK201" s="13" t="s">
        <v>3065</v>
      </c>
      <c r="AL201" s="13" t="s">
        <v>126</v>
      </c>
      <c r="AM201" s="13" t="s">
        <v>111</v>
      </c>
      <c r="AN201" s="13"/>
      <c r="AO201" s="13" t="s">
        <v>80</v>
      </c>
      <c r="AP201" s="58"/>
      <c r="AQ201" s="13" t="s">
        <v>84</v>
      </c>
      <c r="AR201" s="13" t="s">
        <v>84</v>
      </c>
      <c r="AS201" s="13" t="s">
        <v>84</v>
      </c>
      <c r="AT201" s="13" t="s">
        <v>84</v>
      </c>
      <c r="AU201" s="13"/>
      <c r="AV201" s="58"/>
      <c r="AW201" s="13" t="s">
        <v>80</v>
      </c>
      <c r="AX201" s="13" t="s">
        <v>80</v>
      </c>
      <c r="AY201" s="13" t="s">
        <v>80</v>
      </c>
      <c r="AZ201" s="13" t="s">
        <v>80</v>
      </c>
      <c r="BA201" s="13"/>
      <c r="BB201" s="13" t="s">
        <v>84</v>
      </c>
      <c r="BC201" s="13" t="s">
        <v>80</v>
      </c>
      <c r="BD201" s="13" t="s">
        <v>113</v>
      </c>
      <c r="BE201" s="13" t="s">
        <v>113</v>
      </c>
      <c r="BF201" s="13" t="s">
        <v>100</v>
      </c>
      <c r="BG201" s="13" t="s">
        <v>84</v>
      </c>
      <c r="BH201" s="13" t="s">
        <v>84</v>
      </c>
      <c r="BI201" s="13" t="s">
        <v>3066</v>
      </c>
      <c r="BJ201" s="13" t="s">
        <v>84</v>
      </c>
      <c r="BK201" s="13" t="s">
        <v>80</v>
      </c>
      <c r="BL201" s="13">
        <v>4</v>
      </c>
      <c r="BM201" s="13">
        <v>3</v>
      </c>
      <c r="BN201" s="13">
        <v>1</v>
      </c>
      <c r="BO201" s="13">
        <v>5</v>
      </c>
      <c r="BP201" s="13">
        <v>3</v>
      </c>
      <c r="BQ201" s="13">
        <v>2</v>
      </c>
      <c r="BR201" s="58"/>
      <c r="BS201" s="13" t="s">
        <v>118</v>
      </c>
      <c r="BT201" s="13"/>
      <c r="BU201" s="13"/>
      <c r="BV201" s="13"/>
      <c r="BW201" s="58"/>
      <c r="BX201" s="13" t="s">
        <v>84</v>
      </c>
      <c r="BY201" s="13" t="s">
        <v>3067</v>
      </c>
      <c r="BZ201" s="13" t="s">
        <v>84</v>
      </c>
      <c r="CA201" s="13" t="s">
        <v>3068</v>
      </c>
      <c r="CB201" s="13" t="s">
        <v>82</v>
      </c>
      <c r="CC201" s="13"/>
      <c r="CD201" s="13" t="s">
        <v>82</v>
      </c>
      <c r="CE201" s="13"/>
      <c r="CF201" s="13"/>
      <c r="CG201" s="13"/>
      <c r="CH201" s="58"/>
      <c r="CI201" s="13" t="s">
        <v>84</v>
      </c>
      <c r="CJ201" s="13" t="s">
        <v>3069</v>
      </c>
      <c r="CK201" s="13" t="s">
        <v>84</v>
      </c>
      <c r="CL201" s="13" t="s">
        <v>3070</v>
      </c>
      <c r="CM201" s="13" t="s">
        <v>82</v>
      </c>
      <c r="CN201" s="13"/>
      <c r="CO201" s="13"/>
      <c r="CP201" s="13"/>
      <c r="CQ201" s="13" t="s">
        <v>118</v>
      </c>
      <c r="CR201" s="13" t="s">
        <v>84</v>
      </c>
      <c r="CS201" s="13" t="s">
        <v>1312</v>
      </c>
      <c r="CT201" s="13"/>
      <c r="CU201" s="13" t="s">
        <v>81</v>
      </c>
      <c r="CV201" s="13"/>
      <c r="CW201" s="13" t="s">
        <v>82</v>
      </c>
      <c r="CX201" s="13"/>
      <c r="CY201" s="13" t="s">
        <v>81</v>
      </c>
      <c r="CZ201" s="13" t="s">
        <v>3071</v>
      </c>
      <c r="DA201" s="13" t="s">
        <v>82</v>
      </c>
      <c r="DB201" s="13"/>
      <c r="DC201" s="13" t="s">
        <v>82</v>
      </c>
      <c r="DD201" s="13" t="s">
        <v>84</v>
      </c>
      <c r="DE201" s="58"/>
      <c r="DF201" s="58"/>
      <c r="DG201" s="13">
        <v>2</v>
      </c>
      <c r="DH201" s="13">
        <v>1</v>
      </c>
      <c r="DI201" s="13">
        <v>4</v>
      </c>
      <c r="DJ201" s="13">
        <v>1</v>
      </c>
      <c r="DK201" s="13">
        <v>3</v>
      </c>
      <c r="DL201" s="13">
        <v>1</v>
      </c>
      <c r="DM201" s="13">
        <v>3</v>
      </c>
      <c r="DN201" s="13">
        <v>2</v>
      </c>
      <c r="DO201" s="13">
        <v>2</v>
      </c>
      <c r="DP201" s="13">
        <v>2</v>
      </c>
      <c r="DQ201" s="13">
        <v>2</v>
      </c>
      <c r="DR201" s="13">
        <v>2</v>
      </c>
      <c r="DS201" s="13" t="s">
        <v>99</v>
      </c>
      <c r="DT201" s="13" t="s">
        <v>82</v>
      </c>
      <c r="DU201" s="13" t="s">
        <v>3072</v>
      </c>
      <c r="DV201" s="13" t="s">
        <v>84</v>
      </c>
      <c r="DW201" s="13" t="s">
        <v>113</v>
      </c>
      <c r="DX201" s="13" t="s">
        <v>81</v>
      </c>
      <c r="DY201" s="13" t="s">
        <v>3073</v>
      </c>
      <c r="DZ201" s="13" t="s">
        <v>113</v>
      </c>
      <c r="EA201" s="13"/>
      <c r="EB201" s="13" t="s">
        <v>82</v>
      </c>
      <c r="EC201" s="13"/>
      <c r="ED201" s="13" t="s">
        <v>81</v>
      </c>
      <c r="EE201" s="13" t="s">
        <v>3074</v>
      </c>
      <c r="EF201" s="13" t="s">
        <v>82</v>
      </c>
      <c r="EG201" s="13" t="s">
        <v>82</v>
      </c>
      <c r="EH201" s="13" t="s">
        <v>82</v>
      </c>
      <c r="EI201" s="13"/>
      <c r="EJ201" s="13"/>
      <c r="EK201" s="13" t="s">
        <v>3075</v>
      </c>
      <c r="EL201" s="13" t="s">
        <v>3076</v>
      </c>
      <c r="EM201" s="9">
        <v>1217.3499999999999</v>
      </c>
      <c r="EN201" s="9">
        <v>7.69</v>
      </c>
      <c r="EQ201" s="9">
        <v>73.209999999999994</v>
      </c>
      <c r="EW201" s="9">
        <v>169.18</v>
      </c>
      <c r="FF201" s="9">
        <v>111.13</v>
      </c>
      <c r="FJ201" s="9">
        <v>16.82</v>
      </c>
      <c r="FP201" s="9">
        <v>34.96</v>
      </c>
      <c r="FV201" s="9">
        <v>131.29</v>
      </c>
      <c r="GC201" s="9">
        <v>335.01</v>
      </c>
      <c r="GT201" s="9">
        <v>81.09</v>
      </c>
      <c r="GX201" s="9">
        <v>71.349999999999994</v>
      </c>
      <c r="HB201" s="9">
        <v>185.62</v>
      </c>
      <c r="HQ201" s="62">
        <f t="shared" si="17"/>
        <v>1217.3499999999999</v>
      </c>
      <c r="HR201" s="62">
        <f t="shared" si="18"/>
        <v>20.289166666666667</v>
      </c>
    </row>
    <row r="202" spans="1:226" s="9" customFormat="1" ht="12.75" x14ac:dyDescent="0.2">
      <c r="A202" s="11">
        <v>261</v>
      </c>
      <c r="B202" s="9">
        <v>297</v>
      </c>
      <c r="C202" s="9" t="s">
        <v>83</v>
      </c>
      <c r="D202" s="9">
        <v>11</v>
      </c>
      <c r="E202" s="9" t="s">
        <v>79</v>
      </c>
      <c r="F202" s="9">
        <v>975354054</v>
      </c>
      <c r="G202" s="9" t="s">
        <v>81</v>
      </c>
      <c r="H202" s="9" t="s">
        <v>84</v>
      </c>
      <c r="I202" s="13" t="s">
        <v>161</v>
      </c>
      <c r="J202" s="13"/>
      <c r="K202" s="58"/>
      <c r="L202" s="58"/>
      <c r="M202" s="13" t="s">
        <v>1294</v>
      </c>
      <c r="N202" s="13" t="s">
        <v>108</v>
      </c>
      <c r="O202" s="13"/>
      <c r="P202" s="13" t="s">
        <v>290</v>
      </c>
      <c r="Q202" s="13" t="s">
        <v>1310</v>
      </c>
      <c r="R202" s="58"/>
      <c r="S202" s="13" t="s">
        <v>84</v>
      </c>
      <c r="T202" s="13" t="s">
        <v>84</v>
      </c>
      <c r="U202" s="13" t="s">
        <v>84</v>
      </c>
      <c r="V202" s="13" t="s">
        <v>82</v>
      </c>
      <c r="W202" s="13" t="s">
        <v>82</v>
      </c>
      <c r="X202" s="13" t="s">
        <v>82</v>
      </c>
      <c r="Y202" s="13" t="s">
        <v>84</v>
      </c>
      <c r="Z202" s="13" t="s">
        <v>82</v>
      </c>
      <c r="AA202" s="13"/>
      <c r="AB202" s="13" t="s">
        <v>82</v>
      </c>
      <c r="AC202" s="13"/>
      <c r="AD202" s="13" t="s">
        <v>84</v>
      </c>
      <c r="AE202" s="13" t="s">
        <v>1114</v>
      </c>
      <c r="AF202" s="13" t="s">
        <v>3077</v>
      </c>
      <c r="AG202" s="13" t="s">
        <v>80</v>
      </c>
      <c r="AH202" s="13"/>
      <c r="AI202" s="13" t="s">
        <v>145</v>
      </c>
      <c r="AJ202" s="13" t="s">
        <v>3078</v>
      </c>
      <c r="AK202" s="13"/>
      <c r="AL202" s="13" t="s">
        <v>90</v>
      </c>
      <c r="AM202" s="13" t="s">
        <v>91</v>
      </c>
      <c r="AN202" s="13"/>
      <c r="AO202" s="13" t="s">
        <v>80</v>
      </c>
      <c r="AP202" s="58"/>
      <c r="AQ202" s="13" t="s">
        <v>80</v>
      </c>
      <c r="AR202" s="13" t="s">
        <v>80</v>
      </c>
      <c r="AS202" s="13" t="s">
        <v>80</v>
      </c>
      <c r="AT202" s="13" t="s">
        <v>80</v>
      </c>
      <c r="AU202" s="13"/>
      <c r="AV202" s="58"/>
      <c r="AW202" s="13" t="s">
        <v>84</v>
      </c>
      <c r="AX202" s="13" t="s">
        <v>84</v>
      </c>
      <c r="AY202" s="13" t="s">
        <v>84</v>
      </c>
      <c r="AZ202" s="13" t="s">
        <v>84</v>
      </c>
      <c r="BA202" s="13"/>
      <c r="BB202" s="13" t="s">
        <v>84</v>
      </c>
      <c r="BC202" s="13" t="s">
        <v>80</v>
      </c>
      <c r="BD202" s="13" t="s">
        <v>93</v>
      </c>
      <c r="BE202" s="13" t="s">
        <v>93</v>
      </c>
      <c r="BF202" s="13" t="s">
        <v>340</v>
      </c>
      <c r="BG202" s="13" t="s">
        <v>84</v>
      </c>
      <c r="BH202" s="13" t="s">
        <v>84</v>
      </c>
      <c r="BI202" s="13" t="s">
        <v>3079</v>
      </c>
      <c r="BJ202" s="13" t="s">
        <v>84</v>
      </c>
      <c r="BK202" s="13" t="s">
        <v>80</v>
      </c>
      <c r="BL202" s="13">
        <v>2</v>
      </c>
      <c r="BM202" s="13">
        <v>2</v>
      </c>
      <c r="BN202" s="13">
        <v>1</v>
      </c>
      <c r="BO202" s="13">
        <v>1</v>
      </c>
      <c r="BP202" s="13">
        <v>3</v>
      </c>
      <c r="BQ202" s="13">
        <v>3</v>
      </c>
      <c r="BR202" s="58"/>
      <c r="BS202" s="13" t="s">
        <v>99</v>
      </c>
      <c r="BT202" s="13"/>
      <c r="BU202" s="13"/>
      <c r="BV202" s="13"/>
      <c r="BW202" s="58"/>
      <c r="BX202" s="13" t="s">
        <v>82</v>
      </c>
      <c r="BY202" s="13"/>
      <c r="BZ202" s="13" t="s">
        <v>84</v>
      </c>
      <c r="CA202" s="13" t="s">
        <v>3080</v>
      </c>
      <c r="CB202" s="13" t="s">
        <v>82</v>
      </c>
      <c r="CC202" s="13"/>
      <c r="CD202" s="13" t="s">
        <v>82</v>
      </c>
      <c r="CE202" s="13"/>
      <c r="CF202" s="13"/>
      <c r="CG202" s="13"/>
      <c r="CH202" s="58"/>
      <c r="CI202" s="13" t="s">
        <v>84</v>
      </c>
      <c r="CJ202" s="13"/>
      <c r="CK202" s="13" t="s">
        <v>82</v>
      </c>
      <c r="CL202" s="13"/>
      <c r="CM202" s="13" t="s">
        <v>82</v>
      </c>
      <c r="CN202" s="13"/>
      <c r="CO202" s="13"/>
      <c r="CP202" s="13"/>
      <c r="CQ202" s="13" t="s">
        <v>99</v>
      </c>
      <c r="CR202" s="13" t="s">
        <v>80</v>
      </c>
      <c r="CS202" s="13" t="s">
        <v>1312</v>
      </c>
      <c r="CT202" s="13" t="s">
        <v>3081</v>
      </c>
      <c r="CU202" s="13" t="s">
        <v>246</v>
      </c>
      <c r="CV202" s="13" t="s">
        <v>3082</v>
      </c>
      <c r="CW202" s="13" t="s">
        <v>82</v>
      </c>
      <c r="CX202" s="13"/>
      <c r="CY202" s="13" t="s">
        <v>81</v>
      </c>
      <c r="CZ202" s="13" t="s">
        <v>3083</v>
      </c>
      <c r="DA202" s="13" t="s">
        <v>84</v>
      </c>
      <c r="DB202" s="13" t="s">
        <v>3084</v>
      </c>
      <c r="DC202" s="13" t="s">
        <v>84</v>
      </c>
      <c r="DD202" s="13" t="s">
        <v>84</v>
      </c>
      <c r="DE202" s="58"/>
      <c r="DF202" s="58"/>
      <c r="DG202" s="13">
        <v>1</v>
      </c>
      <c r="DH202" s="13">
        <v>3</v>
      </c>
      <c r="DI202" s="13">
        <v>1</v>
      </c>
      <c r="DJ202" s="13">
        <v>3</v>
      </c>
      <c r="DK202" s="13">
        <v>4</v>
      </c>
      <c r="DL202" s="13">
        <v>2</v>
      </c>
      <c r="DM202" s="13">
        <v>2</v>
      </c>
      <c r="DN202" s="13">
        <v>2</v>
      </c>
      <c r="DO202" s="13">
        <v>2</v>
      </c>
      <c r="DP202" s="13">
        <v>1</v>
      </c>
      <c r="DQ202" s="13">
        <v>2</v>
      </c>
      <c r="DR202" s="13">
        <v>1</v>
      </c>
      <c r="DS202" s="13" t="s">
        <v>99</v>
      </c>
      <c r="DT202" s="13" t="s">
        <v>82</v>
      </c>
      <c r="DU202" s="13" t="s">
        <v>3085</v>
      </c>
      <c r="DV202" s="13" t="s">
        <v>84</v>
      </c>
      <c r="DW202" s="13" t="s">
        <v>93</v>
      </c>
      <c r="DX202" s="13" t="s">
        <v>81</v>
      </c>
      <c r="DY202" s="13" t="s">
        <v>3086</v>
      </c>
      <c r="DZ202" s="13" t="s">
        <v>113</v>
      </c>
      <c r="EA202" s="13" t="s">
        <v>3087</v>
      </c>
      <c r="EB202" s="13" t="s">
        <v>82</v>
      </c>
      <c r="EC202" s="13"/>
      <c r="ED202" s="13" t="s">
        <v>81</v>
      </c>
      <c r="EE202" s="13" t="s">
        <v>3088</v>
      </c>
      <c r="EF202" s="13" t="s">
        <v>82</v>
      </c>
      <c r="EG202" s="13" t="s">
        <v>82</v>
      </c>
      <c r="EH202" s="13" t="s">
        <v>84</v>
      </c>
      <c r="EI202" s="13" t="s">
        <v>3089</v>
      </c>
      <c r="EJ202" s="13" t="s">
        <v>3090</v>
      </c>
      <c r="EK202" s="13" t="s">
        <v>3091</v>
      </c>
      <c r="EL202" s="13" t="s">
        <v>3092</v>
      </c>
      <c r="EM202" s="9">
        <v>1146.5</v>
      </c>
      <c r="EN202" s="9">
        <v>26.9</v>
      </c>
      <c r="EQ202" s="9">
        <v>57.09</v>
      </c>
      <c r="EW202" s="9">
        <v>60.9</v>
      </c>
      <c r="FF202" s="9">
        <v>35.35</v>
      </c>
      <c r="FJ202" s="9">
        <v>22.07</v>
      </c>
      <c r="FP202" s="9">
        <v>28.92</v>
      </c>
      <c r="FV202" s="9">
        <v>135.9</v>
      </c>
      <c r="GC202" s="9">
        <v>274.81</v>
      </c>
      <c r="GT202" s="9">
        <v>60.26</v>
      </c>
      <c r="GX202" s="9">
        <v>71.5</v>
      </c>
      <c r="HB202" s="9">
        <v>372.8</v>
      </c>
      <c r="HQ202" s="62">
        <f t="shared" si="17"/>
        <v>1146.5</v>
      </c>
      <c r="HR202" s="62">
        <f t="shared" si="18"/>
        <v>19.108333333333334</v>
      </c>
    </row>
    <row r="203" spans="1:226" s="9" customFormat="1" ht="12.75" x14ac:dyDescent="0.2">
      <c r="A203" s="11">
        <v>262</v>
      </c>
      <c r="B203" s="9">
        <v>298</v>
      </c>
      <c r="C203" s="9" t="s">
        <v>83</v>
      </c>
      <c r="D203" s="9">
        <v>11</v>
      </c>
      <c r="E203" s="9" t="s">
        <v>79</v>
      </c>
      <c r="F203" s="9">
        <v>77448507</v>
      </c>
      <c r="G203" s="9" t="s">
        <v>81</v>
      </c>
      <c r="H203" s="9" t="s">
        <v>84</v>
      </c>
      <c r="I203" s="13" t="s">
        <v>107</v>
      </c>
      <c r="J203" s="13"/>
      <c r="K203" s="58"/>
      <c r="L203" s="58"/>
      <c r="M203" s="13" t="s">
        <v>1319</v>
      </c>
      <c r="N203" s="13" t="s">
        <v>108</v>
      </c>
      <c r="O203" s="13"/>
      <c r="P203" s="13" t="s">
        <v>87</v>
      </c>
      <c r="Q203" s="13" t="s">
        <v>1310</v>
      </c>
      <c r="R203" s="58"/>
      <c r="S203" s="13" t="s">
        <v>84</v>
      </c>
      <c r="T203" s="13" t="s">
        <v>84</v>
      </c>
      <c r="U203" s="13" t="s">
        <v>84</v>
      </c>
      <c r="V203" s="13" t="s">
        <v>84</v>
      </c>
      <c r="W203" s="13" t="s">
        <v>82</v>
      </c>
      <c r="X203" s="13" t="s">
        <v>84</v>
      </c>
      <c r="Y203" s="13" t="s">
        <v>84</v>
      </c>
      <c r="Z203" s="13" t="s">
        <v>84</v>
      </c>
      <c r="AA203" s="13"/>
      <c r="AB203" s="13" t="s">
        <v>84</v>
      </c>
      <c r="AC203" s="13" t="s">
        <v>3093</v>
      </c>
      <c r="AD203" s="13" t="s">
        <v>82</v>
      </c>
      <c r="AE203" s="13"/>
      <c r="AF203" s="13"/>
      <c r="AG203" s="13" t="s">
        <v>84</v>
      </c>
      <c r="AH203" s="13"/>
      <c r="AI203" s="13" t="s">
        <v>84</v>
      </c>
      <c r="AJ203" s="13"/>
      <c r="AK203" s="13" t="s">
        <v>3094</v>
      </c>
      <c r="AL203" s="13" t="s">
        <v>126</v>
      </c>
      <c r="AM203" s="13" t="s">
        <v>91</v>
      </c>
      <c r="AN203" s="13"/>
      <c r="AO203" s="13" t="s">
        <v>80</v>
      </c>
      <c r="AP203" s="58"/>
      <c r="AQ203" s="13" t="s">
        <v>80</v>
      </c>
      <c r="AR203" s="13" t="s">
        <v>80</v>
      </c>
      <c r="AS203" s="13" t="s">
        <v>80</v>
      </c>
      <c r="AT203" s="13" t="s">
        <v>80</v>
      </c>
      <c r="AU203" s="13"/>
      <c r="AV203" s="58"/>
      <c r="AW203" s="13" t="s">
        <v>84</v>
      </c>
      <c r="AX203" s="13" t="s">
        <v>82</v>
      </c>
      <c r="AY203" s="13" t="s">
        <v>82</v>
      </c>
      <c r="AZ203" s="13" t="s">
        <v>82</v>
      </c>
      <c r="BA203" s="13"/>
      <c r="BB203" s="13" t="s">
        <v>84</v>
      </c>
      <c r="BC203" s="13" t="s">
        <v>80</v>
      </c>
      <c r="BD203" s="13" t="s">
        <v>100</v>
      </c>
      <c r="BE203" s="13" t="s">
        <v>100</v>
      </c>
      <c r="BF203" s="13" t="s">
        <v>100</v>
      </c>
      <c r="BG203" s="13" t="s">
        <v>84</v>
      </c>
      <c r="BH203" s="13" t="s">
        <v>84</v>
      </c>
      <c r="BI203" s="13" t="s">
        <v>3095</v>
      </c>
      <c r="BJ203" s="13" t="s">
        <v>84</v>
      </c>
      <c r="BK203" s="13" t="s">
        <v>80</v>
      </c>
      <c r="BL203" s="13">
        <v>4</v>
      </c>
      <c r="BM203" s="13">
        <v>3</v>
      </c>
      <c r="BN203" s="13">
        <v>4</v>
      </c>
      <c r="BO203" s="13">
        <v>1</v>
      </c>
      <c r="BP203" s="13">
        <v>4</v>
      </c>
      <c r="BQ203" s="13">
        <v>2</v>
      </c>
      <c r="BR203" s="58"/>
      <c r="BS203" s="13" t="s">
        <v>97</v>
      </c>
      <c r="BT203" s="13"/>
      <c r="BU203" s="13" t="s">
        <v>246</v>
      </c>
      <c r="BV203" s="13"/>
      <c r="BW203" s="58"/>
      <c r="BX203" s="13" t="s">
        <v>80</v>
      </c>
      <c r="BY203" s="13"/>
      <c r="BZ203" s="13" t="s">
        <v>80</v>
      </c>
      <c r="CA203" s="13"/>
      <c r="CB203" s="13" t="s">
        <v>80</v>
      </c>
      <c r="CC203" s="13"/>
      <c r="CD203" s="13" t="s">
        <v>80</v>
      </c>
      <c r="CE203" s="13"/>
      <c r="CF203" s="13"/>
      <c r="CG203" s="13"/>
      <c r="CH203" s="58"/>
      <c r="CI203" s="13" t="s">
        <v>84</v>
      </c>
      <c r="CJ203" s="13" t="s">
        <v>1820</v>
      </c>
      <c r="CK203" s="13" t="s">
        <v>84</v>
      </c>
      <c r="CL203" s="13" t="s">
        <v>3096</v>
      </c>
      <c r="CM203" s="13" t="s">
        <v>82</v>
      </c>
      <c r="CN203" s="13"/>
      <c r="CO203" s="13"/>
      <c r="CP203" s="13"/>
      <c r="CQ203" s="13" t="s">
        <v>118</v>
      </c>
      <c r="CR203" s="13" t="s">
        <v>84</v>
      </c>
      <c r="CS203" s="13" t="s">
        <v>1312</v>
      </c>
      <c r="CT203" s="13" t="s">
        <v>3097</v>
      </c>
      <c r="CU203" s="13" t="s">
        <v>81</v>
      </c>
      <c r="CV203" s="13"/>
      <c r="CW203" s="13" t="s">
        <v>82</v>
      </c>
      <c r="CX203" s="13"/>
      <c r="CY203" s="13" t="s">
        <v>81</v>
      </c>
      <c r="CZ203" s="13"/>
      <c r="DA203" s="13" t="s">
        <v>82</v>
      </c>
      <c r="DB203" s="13"/>
      <c r="DC203" s="13" t="s">
        <v>82</v>
      </c>
      <c r="DD203" s="13" t="s">
        <v>82</v>
      </c>
      <c r="DE203" s="58"/>
      <c r="DF203" s="58"/>
      <c r="DG203" s="13">
        <v>3</v>
      </c>
      <c r="DH203" s="13">
        <v>1</v>
      </c>
      <c r="DI203" s="13">
        <v>3</v>
      </c>
      <c r="DJ203" s="13">
        <v>1</v>
      </c>
      <c r="DK203" s="13">
        <v>3</v>
      </c>
      <c r="DL203" s="13">
        <v>2</v>
      </c>
      <c r="DM203" s="13">
        <v>3</v>
      </c>
      <c r="DN203" s="13">
        <v>2</v>
      </c>
      <c r="DO203" s="13">
        <v>3</v>
      </c>
      <c r="DP203" s="13">
        <v>1</v>
      </c>
      <c r="DQ203" s="13">
        <v>4</v>
      </c>
      <c r="DR203" s="13">
        <v>1</v>
      </c>
      <c r="DS203" s="13" t="s">
        <v>97</v>
      </c>
      <c r="DT203" s="13" t="s">
        <v>82</v>
      </c>
      <c r="DU203" s="13" t="s">
        <v>3098</v>
      </c>
      <c r="DV203" s="13" t="s">
        <v>84</v>
      </c>
      <c r="DW203" s="13" t="s">
        <v>100</v>
      </c>
      <c r="DX203" s="13" t="s">
        <v>81</v>
      </c>
      <c r="DY203" s="13" t="s">
        <v>3099</v>
      </c>
      <c r="DZ203" s="13" t="s">
        <v>113</v>
      </c>
      <c r="EA203" s="13" t="s">
        <v>3100</v>
      </c>
      <c r="EB203" s="13" t="s">
        <v>82</v>
      </c>
      <c r="EC203" s="13"/>
      <c r="ED203" s="13" t="s">
        <v>81</v>
      </c>
      <c r="EE203" s="13"/>
      <c r="EF203" s="13" t="s">
        <v>82</v>
      </c>
      <c r="EG203" s="13" t="s">
        <v>82</v>
      </c>
      <c r="EH203" s="13" t="s">
        <v>82</v>
      </c>
      <c r="EI203" s="13"/>
      <c r="EJ203" s="13" t="s">
        <v>3101</v>
      </c>
      <c r="EK203" s="13" t="s">
        <v>3102</v>
      </c>
      <c r="EL203" s="13" t="s">
        <v>3103</v>
      </c>
      <c r="EM203" s="9">
        <v>1784.6</v>
      </c>
      <c r="EN203" s="9">
        <v>44.14</v>
      </c>
      <c r="EQ203" s="9">
        <v>65.849999999999994</v>
      </c>
      <c r="EW203" s="9">
        <v>227.76</v>
      </c>
      <c r="FF203" s="9">
        <v>59.99</v>
      </c>
      <c r="FJ203" s="9">
        <v>23.16</v>
      </c>
      <c r="FP203" s="9">
        <v>33.89</v>
      </c>
      <c r="FV203" s="9">
        <v>186.59</v>
      </c>
      <c r="GC203" s="9">
        <v>229.09</v>
      </c>
      <c r="GT203" s="9">
        <v>118.1</v>
      </c>
      <c r="GX203" s="9">
        <v>210.68</v>
      </c>
      <c r="HB203" s="9">
        <v>585.35</v>
      </c>
      <c r="HQ203" s="62">
        <f t="shared" si="17"/>
        <v>1784.6</v>
      </c>
      <c r="HR203" s="62">
        <f t="shared" si="18"/>
        <v>29.743333333333332</v>
      </c>
    </row>
    <row r="204" spans="1:226" s="9" customFormat="1" ht="12.75" x14ac:dyDescent="0.2">
      <c r="A204" s="11">
        <v>263</v>
      </c>
      <c r="B204" s="9">
        <v>301</v>
      </c>
      <c r="C204" s="9" t="s">
        <v>83</v>
      </c>
      <c r="D204" s="9">
        <v>11</v>
      </c>
      <c r="E204" s="9" t="s">
        <v>79</v>
      </c>
      <c r="F204" s="9">
        <v>754969766</v>
      </c>
      <c r="G204" s="9" t="s">
        <v>81</v>
      </c>
      <c r="H204" s="9" t="s">
        <v>84</v>
      </c>
      <c r="I204" s="13" t="s">
        <v>105</v>
      </c>
      <c r="J204" s="13"/>
      <c r="K204" s="58"/>
      <c r="L204" s="58"/>
      <c r="M204" s="13" t="s">
        <v>1319</v>
      </c>
      <c r="N204" s="13" t="s">
        <v>106</v>
      </c>
      <c r="O204" s="13"/>
      <c r="P204" s="13" t="s">
        <v>87</v>
      </c>
      <c r="Q204" s="13" t="s">
        <v>1310</v>
      </c>
      <c r="R204" s="58"/>
      <c r="S204" s="13" t="s">
        <v>84</v>
      </c>
      <c r="T204" s="13" t="s">
        <v>84</v>
      </c>
      <c r="U204" s="13" t="s">
        <v>84</v>
      </c>
      <c r="V204" s="13" t="s">
        <v>82</v>
      </c>
      <c r="W204" s="13" t="s">
        <v>82</v>
      </c>
      <c r="X204" s="13" t="s">
        <v>82</v>
      </c>
      <c r="Y204" s="13" t="s">
        <v>84</v>
      </c>
      <c r="Z204" s="13" t="s">
        <v>82</v>
      </c>
      <c r="AA204" s="13"/>
      <c r="AB204" s="13" t="s">
        <v>84</v>
      </c>
      <c r="AC204" s="13"/>
      <c r="AD204" s="13" t="s">
        <v>82</v>
      </c>
      <c r="AE204" s="13"/>
      <c r="AF204" s="13"/>
      <c r="AG204" s="13" t="s">
        <v>84</v>
      </c>
      <c r="AH204" s="13"/>
      <c r="AI204" s="13" t="s">
        <v>84</v>
      </c>
      <c r="AJ204" s="13"/>
      <c r="AK204" s="13" t="s">
        <v>3104</v>
      </c>
      <c r="AL204" s="13" t="s">
        <v>126</v>
      </c>
      <c r="AM204" s="13" t="s">
        <v>111</v>
      </c>
      <c r="AN204" s="13"/>
      <c r="AO204" s="13" t="s">
        <v>80</v>
      </c>
      <c r="AP204" s="58"/>
      <c r="AQ204" s="13" t="s">
        <v>84</v>
      </c>
      <c r="AR204" s="13" t="s">
        <v>82</v>
      </c>
      <c r="AS204" s="13" t="s">
        <v>84</v>
      </c>
      <c r="AT204" s="13" t="s">
        <v>82</v>
      </c>
      <c r="AU204" s="13"/>
      <c r="AV204" s="58"/>
      <c r="AW204" s="13" t="s">
        <v>80</v>
      </c>
      <c r="AX204" s="13" t="s">
        <v>80</v>
      </c>
      <c r="AY204" s="13" t="s">
        <v>80</v>
      </c>
      <c r="AZ204" s="13" t="s">
        <v>80</v>
      </c>
      <c r="BA204" s="13"/>
      <c r="BB204" s="13" t="s">
        <v>84</v>
      </c>
      <c r="BC204" s="13" t="s">
        <v>80</v>
      </c>
      <c r="BD204" s="13" t="s">
        <v>93</v>
      </c>
      <c r="BE204" s="13" t="s">
        <v>93</v>
      </c>
      <c r="BF204" s="13" t="s">
        <v>112</v>
      </c>
      <c r="BG204" s="13" t="s">
        <v>84</v>
      </c>
      <c r="BH204" s="13" t="s">
        <v>82</v>
      </c>
      <c r="BI204" s="13"/>
      <c r="BJ204" s="13" t="s">
        <v>84</v>
      </c>
      <c r="BK204" s="13" t="s">
        <v>80</v>
      </c>
      <c r="BL204" s="13">
        <v>4</v>
      </c>
      <c r="BM204" s="13">
        <v>4</v>
      </c>
      <c r="BN204" s="13">
        <v>1</v>
      </c>
      <c r="BO204" s="13">
        <v>1</v>
      </c>
      <c r="BP204" s="13">
        <v>3</v>
      </c>
      <c r="BQ204" s="13">
        <v>3</v>
      </c>
      <c r="BR204" s="58"/>
      <c r="BS204" s="13" t="s">
        <v>97</v>
      </c>
      <c r="BT204" s="13"/>
      <c r="BU204" s="13" t="s">
        <v>246</v>
      </c>
      <c r="BV204" s="13"/>
      <c r="BW204" s="58"/>
      <c r="BX204" s="13" t="s">
        <v>80</v>
      </c>
      <c r="BY204" s="13"/>
      <c r="BZ204" s="13" t="s">
        <v>80</v>
      </c>
      <c r="CA204" s="13"/>
      <c r="CB204" s="13" t="s">
        <v>80</v>
      </c>
      <c r="CC204" s="13"/>
      <c r="CD204" s="13" t="s">
        <v>80</v>
      </c>
      <c r="CE204" s="13"/>
      <c r="CF204" s="13"/>
      <c r="CG204" s="13"/>
      <c r="CH204" s="58"/>
      <c r="CI204" s="13" t="s">
        <v>84</v>
      </c>
      <c r="CJ204" s="13"/>
      <c r="CK204" s="13" t="s">
        <v>84</v>
      </c>
      <c r="CL204" s="13"/>
      <c r="CM204" s="13" t="s">
        <v>82</v>
      </c>
      <c r="CN204" s="13"/>
      <c r="CO204" s="13"/>
      <c r="CP204" s="13"/>
      <c r="CQ204" s="13" t="s">
        <v>97</v>
      </c>
      <c r="CR204" s="13" t="s">
        <v>84</v>
      </c>
      <c r="CS204" s="13" t="s">
        <v>97</v>
      </c>
      <c r="CT204" s="13"/>
      <c r="CU204" s="13" t="s">
        <v>246</v>
      </c>
      <c r="CV204" s="13"/>
      <c r="CW204" s="13" t="s">
        <v>82</v>
      </c>
      <c r="CX204" s="13"/>
      <c r="CY204" s="13" t="s">
        <v>81</v>
      </c>
      <c r="CZ204" s="13"/>
      <c r="DA204" s="13" t="s">
        <v>82</v>
      </c>
      <c r="DB204" s="13"/>
      <c r="DC204" s="13" t="s">
        <v>84</v>
      </c>
      <c r="DD204" s="13" t="s">
        <v>82</v>
      </c>
      <c r="DE204" s="58"/>
      <c r="DF204" s="58"/>
      <c r="DG204" s="13">
        <v>1</v>
      </c>
      <c r="DH204" s="13">
        <v>2</v>
      </c>
      <c r="DI204" s="13">
        <v>1</v>
      </c>
      <c r="DJ204" s="13">
        <v>2</v>
      </c>
      <c r="DK204" s="13">
        <v>1</v>
      </c>
      <c r="DL204" s="13">
        <v>2</v>
      </c>
      <c r="DM204" s="13">
        <v>1</v>
      </c>
      <c r="DN204" s="13">
        <v>2</v>
      </c>
      <c r="DO204" s="13">
        <v>1</v>
      </c>
      <c r="DP204" s="13">
        <v>2</v>
      </c>
      <c r="DQ204" s="13">
        <v>1</v>
      </c>
      <c r="DR204" s="13">
        <v>2</v>
      </c>
      <c r="DS204" s="13" t="s">
        <v>97</v>
      </c>
      <c r="DT204" s="13" t="s">
        <v>106</v>
      </c>
      <c r="DU204" s="13"/>
      <c r="DV204" s="13" t="s">
        <v>84</v>
      </c>
      <c r="DW204" s="13" t="s">
        <v>100</v>
      </c>
      <c r="DX204" s="13" t="s">
        <v>81</v>
      </c>
      <c r="DY204" s="13"/>
      <c r="DZ204" s="13" t="s">
        <v>93</v>
      </c>
      <c r="EA204" s="13"/>
      <c r="EB204" s="13" t="s">
        <v>84</v>
      </c>
      <c r="EC204" s="13"/>
      <c r="ED204" s="13"/>
      <c r="EE204" s="13"/>
      <c r="EF204" s="13" t="s">
        <v>84</v>
      </c>
      <c r="EG204" s="13" t="s">
        <v>84</v>
      </c>
      <c r="EH204" s="13" t="s">
        <v>82</v>
      </c>
      <c r="EI204" s="13"/>
      <c r="EJ204" s="13" t="s">
        <v>3105</v>
      </c>
      <c r="EK204" s="13" t="s">
        <v>3106</v>
      </c>
      <c r="EL204" s="13" t="s">
        <v>3107</v>
      </c>
      <c r="EM204" s="9">
        <v>1101.45</v>
      </c>
      <c r="EN204" s="9">
        <v>6.57</v>
      </c>
      <c r="EQ204" s="9">
        <v>18.190000000000001</v>
      </c>
      <c r="EW204" s="9">
        <v>20.98</v>
      </c>
      <c r="FF204" s="9">
        <v>101.04</v>
      </c>
      <c r="FJ204" s="9">
        <v>20.29</v>
      </c>
      <c r="FP204" s="9">
        <v>16.78</v>
      </c>
      <c r="FV204" s="9">
        <v>72.16</v>
      </c>
      <c r="GC204" s="9">
        <v>164.14</v>
      </c>
      <c r="GT204" s="9">
        <v>14.88</v>
      </c>
      <c r="GX204" s="9">
        <v>27.59</v>
      </c>
      <c r="HB204" s="9">
        <v>638.83000000000004</v>
      </c>
      <c r="HQ204" s="62">
        <f t="shared" si="17"/>
        <v>1101.45</v>
      </c>
      <c r="HR204" s="62">
        <f t="shared" si="18"/>
        <v>18.357500000000002</v>
      </c>
    </row>
    <row r="205" spans="1:226" s="9" customFormat="1" ht="12.75" x14ac:dyDescent="0.2">
      <c r="A205" s="11">
        <v>264</v>
      </c>
      <c r="B205" s="9">
        <v>303</v>
      </c>
      <c r="C205" s="9" t="s">
        <v>83</v>
      </c>
      <c r="D205" s="9">
        <v>11</v>
      </c>
      <c r="E205" s="9" t="s">
        <v>79</v>
      </c>
      <c r="F205" s="9">
        <v>1686500292</v>
      </c>
      <c r="G205" s="9" t="s">
        <v>81</v>
      </c>
      <c r="H205" s="9" t="s">
        <v>84</v>
      </c>
      <c r="I205" s="13" t="s">
        <v>107</v>
      </c>
      <c r="J205" s="13"/>
      <c r="K205" s="58"/>
      <c r="L205" s="58"/>
      <c r="M205" s="13" t="s">
        <v>1294</v>
      </c>
      <c r="N205" s="13" t="s">
        <v>618</v>
      </c>
      <c r="O205" s="13"/>
      <c r="P205" s="13" t="s">
        <v>87</v>
      </c>
      <c r="Q205" s="13" t="s">
        <v>1296</v>
      </c>
      <c r="R205" s="58"/>
      <c r="S205" s="13" t="s">
        <v>84</v>
      </c>
      <c r="T205" s="13" t="s">
        <v>84</v>
      </c>
      <c r="U205" s="13" t="s">
        <v>84</v>
      </c>
      <c r="V205" s="13" t="s">
        <v>82</v>
      </c>
      <c r="W205" s="13" t="s">
        <v>82</v>
      </c>
      <c r="X205" s="13" t="s">
        <v>84</v>
      </c>
      <c r="Y205" s="13" t="s">
        <v>82</v>
      </c>
      <c r="Z205" s="13" t="s">
        <v>82</v>
      </c>
      <c r="AA205" s="13"/>
      <c r="AB205" s="13" t="s">
        <v>82</v>
      </c>
      <c r="AC205" s="13"/>
      <c r="AD205" s="13" t="s">
        <v>82</v>
      </c>
      <c r="AE205" s="13"/>
      <c r="AF205" s="13"/>
      <c r="AG205" s="13" t="s">
        <v>84</v>
      </c>
      <c r="AH205" s="13"/>
      <c r="AI205" s="13" t="s">
        <v>84</v>
      </c>
      <c r="AJ205" s="13"/>
      <c r="AK205" s="13"/>
      <c r="AL205" s="13" t="s">
        <v>296</v>
      </c>
      <c r="AM205" s="13" t="s">
        <v>91</v>
      </c>
      <c r="AN205" s="13"/>
      <c r="AO205" s="13" t="s">
        <v>80</v>
      </c>
      <c r="AP205" s="58"/>
      <c r="AQ205" s="13" t="s">
        <v>80</v>
      </c>
      <c r="AR205" s="13" t="s">
        <v>80</v>
      </c>
      <c r="AS205" s="13" t="s">
        <v>80</v>
      </c>
      <c r="AT205" s="13" t="s">
        <v>80</v>
      </c>
      <c r="AU205" s="13"/>
      <c r="AV205" s="58"/>
      <c r="AW205" s="13" t="s">
        <v>84</v>
      </c>
      <c r="AX205" s="13" t="s">
        <v>84</v>
      </c>
      <c r="AY205" s="13" t="s">
        <v>84</v>
      </c>
      <c r="AZ205" s="13" t="s">
        <v>84</v>
      </c>
      <c r="BA205" s="13"/>
      <c r="BB205" s="13" t="s">
        <v>84</v>
      </c>
      <c r="BC205" s="13" t="s">
        <v>80</v>
      </c>
      <c r="BD205" s="13" t="s">
        <v>113</v>
      </c>
      <c r="BE205" s="13" t="s">
        <v>93</v>
      </c>
      <c r="BF205" s="13" t="s">
        <v>112</v>
      </c>
      <c r="BG205" s="13" t="s">
        <v>84</v>
      </c>
      <c r="BH205" s="13" t="s">
        <v>84</v>
      </c>
      <c r="BI205" s="13" t="s">
        <v>3108</v>
      </c>
      <c r="BJ205" s="13" t="s">
        <v>84</v>
      </c>
      <c r="BK205" s="13" t="s">
        <v>80</v>
      </c>
      <c r="BL205" s="13">
        <v>3</v>
      </c>
      <c r="BM205" s="13">
        <v>3</v>
      </c>
      <c r="BN205" s="13">
        <v>2</v>
      </c>
      <c r="BO205" s="13">
        <v>2</v>
      </c>
      <c r="BP205" s="13">
        <v>2</v>
      </c>
      <c r="BQ205" s="13">
        <v>1</v>
      </c>
      <c r="BR205" s="58"/>
      <c r="BS205" s="13" t="s">
        <v>97</v>
      </c>
      <c r="BT205" s="13"/>
      <c r="BU205" s="13" t="s">
        <v>246</v>
      </c>
      <c r="BV205" s="13"/>
      <c r="BW205" s="58"/>
      <c r="BX205" s="13" t="s">
        <v>80</v>
      </c>
      <c r="BY205" s="13"/>
      <c r="BZ205" s="13" t="s">
        <v>80</v>
      </c>
      <c r="CA205" s="13"/>
      <c r="CB205" s="13" t="s">
        <v>80</v>
      </c>
      <c r="CC205" s="13"/>
      <c r="CD205" s="13" t="s">
        <v>80</v>
      </c>
      <c r="CE205" s="13"/>
      <c r="CF205" s="13"/>
      <c r="CG205" s="13"/>
      <c r="CH205" s="58"/>
      <c r="CI205" s="13" t="s">
        <v>84</v>
      </c>
      <c r="CJ205" s="13"/>
      <c r="CK205" s="13" t="s">
        <v>82</v>
      </c>
      <c r="CL205" s="13"/>
      <c r="CM205" s="13" t="s">
        <v>82</v>
      </c>
      <c r="CN205" s="13"/>
      <c r="CO205" s="13"/>
      <c r="CP205" s="13"/>
      <c r="CQ205" s="13" t="s">
        <v>99</v>
      </c>
      <c r="CR205" s="13" t="s">
        <v>80</v>
      </c>
      <c r="CS205" s="13" t="s">
        <v>1312</v>
      </c>
      <c r="CT205" s="13" t="s">
        <v>3109</v>
      </c>
      <c r="CU205" s="13" t="s">
        <v>81</v>
      </c>
      <c r="CV205" s="13"/>
      <c r="CW205" s="13" t="s">
        <v>82</v>
      </c>
      <c r="CX205" s="13"/>
      <c r="CY205" s="13" t="s">
        <v>81</v>
      </c>
      <c r="CZ205" s="13" t="s">
        <v>3110</v>
      </c>
      <c r="DA205" s="13" t="s">
        <v>84</v>
      </c>
      <c r="DB205" s="13" t="s">
        <v>3111</v>
      </c>
      <c r="DC205" s="13" t="s">
        <v>84</v>
      </c>
      <c r="DD205" s="13" t="s">
        <v>82</v>
      </c>
      <c r="DE205" s="58"/>
      <c r="DF205" s="58"/>
      <c r="DG205" s="13">
        <v>3</v>
      </c>
      <c r="DH205" s="13">
        <v>1</v>
      </c>
      <c r="DI205" s="13">
        <v>3</v>
      </c>
      <c r="DJ205" s="13">
        <v>1</v>
      </c>
      <c r="DK205" s="13">
        <v>1</v>
      </c>
      <c r="DL205" s="13">
        <v>1</v>
      </c>
      <c r="DM205" s="13">
        <v>1</v>
      </c>
      <c r="DN205" s="13">
        <v>2</v>
      </c>
      <c r="DO205" s="13">
        <v>2</v>
      </c>
      <c r="DP205" s="13">
        <v>2</v>
      </c>
      <c r="DQ205" s="13">
        <v>2</v>
      </c>
      <c r="DR205" s="13">
        <v>1</v>
      </c>
      <c r="DS205" s="13" t="s">
        <v>118</v>
      </c>
      <c r="DT205" s="13" t="s">
        <v>84</v>
      </c>
      <c r="DU205" s="13"/>
      <c r="DV205" s="13" t="s">
        <v>84</v>
      </c>
      <c r="DW205" s="13" t="s">
        <v>100</v>
      </c>
      <c r="DX205" s="13" t="s">
        <v>81</v>
      </c>
      <c r="DY205" s="13" t="s">
        <v>3112</v>
      </c>
      <c r="DZ205" s="13" t="s">
        <v>93</v>
      </c>
      <c r="EA205" s="13" t="s">
        <v>3113</v>
      </c>
      <c r="EB205" s="13" t="s">
        <v>82</v>
      </c>
      <c r="EC205" s="13"/>
      <c r="ED205" s="13" t="s">
        <v>81</v>
      </c>
      <c r="EE205" s="13" t="s">
        <v>3114</v>
      </c>
      <c r="EF205" s="13" t="s">
        <v>84</v>
      </c>
      <c r="EG205" s="13" t="s">
        <v>84</v>
      </c>
      <c r="EH205" s="13" t="s">
        <v>82</v>
      </c>
      <c r="EI205" s="13"/>
      <c r="EJ205" s="13" t="s">
        <v>3115</v>
      </c>
      <c r="EK205" s="13" t="s">
        <v>3116</v>
      </c>
      <c r="EL205" s="13" t="s">
        <v>3117</v>
      </c>
      <c r="EM205" s="9">
        <v>1175.71</v>
      </c>
      <c r="EN205" s="9">
        <v>22.74</v>
      </c>
      <c r="EQ205" s="9">
        <v>66</v>
      </c>
      <c r="EW205" s="9">
        <v>61.17</v>
      </c>
      <c r="FF205" s="9">
        <v>49.85</v>
      </c>
      <c r="FJ205" s="9">
        <v>20.83</v>
      </c>
      <c r="FP205" s="9">
        <v>37.090000000000003</v>
      </c>
      <c r="FV205" s="9">
        <v>144.22</v>
      </c>
      <c r="GC205" s="9">
        <v>381.93</v>
      </c>
      <c r="GT205" s="9">
        <v>22.13</v>
      </c>
      <c r="GX205" s="9">
        <v>108.01</v>
      </c>
      <c r="HB205" s="9">
        <v>261.74</v>
      </c>
      <c r="HQ205" s="62">
        <f t="shared" si="17"/>
        <v>1175.71</v>
      </c>
      <c r="HR205" s="62">
        <f t="shared" si="18"/>
        <v>19.595166666666668</v>
      </c>
    </row>
    <row r="206" spans="1:226" s="9" customFormat="1" ht="12.75" x14ac:dyDescent="0.2">
      <c r="A206" s="11">
        <v>265</v>
      </c>
      <c r="B206" s="9">
        <v>304</v>
      </c>
      <c r="C206" s="9" t="s">
        <v>83</v>
      </c>
      <c r="D206" s="9">
        <v>11</v>
      </c>
      <c r="E206" s="9" t="s">
        <v>79</v>
      </c>
      <c r="F206" s="9">
        <v>1383372511</v>
      </c>
      <c r="G206" s="9" t="s">
        <v>81</v>
      </c>
      <c r="H206" s="9" t="s">
        <v>84</v>
      </c>
      <c r="I206" s="13" t="s">
        <v>107</v>
      </c>
      <c r="J206" s="13"/>
      <c r="K206" s="58"/>
      <c r="L206" s="58"/>
      <c r="M206" s="13" t="s">
        <v>1319</v>
      </c>
      <c r="N206" s="13" t="s">
        <v>108</v>
      </c>
      <c r="O206" s="13"/>
      <c r="P206" s="13" t="s">
        <v>253</v>
      </c>
      <c r="Q206" s="13" t="s">
        <v>1358</v>
      </c>
      <c r="R206" s="58"/>
      <c r="S206" s="13" t="s">
        <v>84</v>
      </c>
      <c r="T206" s="13" t="s">
        <v>84</v>
      </c>
      <c r="U206" s="13" t="s">
        <v>84</v>
      </c>
      <c r="V206" s="13" t="s">
        <v>84</v>
      </c>
      <c r="W206" s="13" t="s">
        <v>84</v>
      </c>
      <c r="X206" s="13" t="s">
        <v>82</v>
      </c>
      <c r="Y206" s="13" t="s">
        <v>84</v>
      </c>
      <c r="Z206" s="13" t="s">
        <v>84</v>
      </c>
      <c r="AA206" s="13"/>
      <c r="AB206" s="13" t="s">
        <v>82</v>
      </c>
      <c r="AC206" s="13"/>
      <c r="AD206" s="13" t="s">
        <v>82</v>
      </c>
      <c r="AE206" s="13"/>
      <c r="AF206" s="13"/>
      <c r="AG206" s="13" t="s">
        <v>82</v>
      </c>
      <c r="AH206" s="13"/>
      <c r="AI206" s="13" t="s">
        <v>84</v>
      </c>
      <c r="AJ206" s="13"/>
      <c r="AK206" s="13" t="s">
        <v>3118</v>
      </c>
      <c r="AL206" s="13" t="s">
        <v>126</v>
      </c>
      <c r="AM206" s="13" t="s">
        <v>91</v>
      </c>
      <c r="AN206" s="13"/>
      <c r="AO206" s="13" t="s">
        <v>80</v>
      </c>
      <c r="AP206" s="58"/>
      <c r="AQ206" s="13" t="s">
        <v>80</v>
      </c>
      <c r="AR206" s="13" t="s">
        <v>80</v>
      </c>
      <c r="AS206" s="13" t="s">
        <v>80</v>
      </c>
      <c r="AT206" s="13" t="s">
        <v>80</v>
      </c>
      <c r="AU206" s="13"/>
      <c r="AV206" s="58"/>
      <c r="AW206" s="13" t="s">
        <v>84</v>
      </c>
      <c r="AX206" s="13" t="s">
        <v>84</v>
      </c>
      <c r="AY206" s="13" t="s">
        <v>84</v>
      </c>
      <c r="AZ206" s="13" t="s">
        <v>84</v>
      </c>
      <c r="BA206" s="13"/>
      <c r="BB206" s="13" t="s">
        <v>84</v>
      </c>
      <c r="BC206" s="13" t="s">
        <v>80</v>
      </c>
      <c r="BD206" s="13" t="s">
        <v>100</v>
      </c>
      <c r="BE206" s="13" t="s">
        <v>93</v>
      </c>
      <c r="BF206" s="13" t="s">
        <v>100</v>
      </c>
      <c r="BG206" s="13" t="s">
        <v>145</v>
      </c>
      <c r="BH206" s="13" t="s">
        <v>84</v>
      </c>
      <c r="BI206" s="13"/>
      <c r="BJ206" s="13" t="s">
        <v>84</v>
      </c>
      <c r="BK206" s="13" t="s">
        <v>80</v>
      </c>
      <c r="BL206" s="13">
        <v>3</v>
      </c>
      <c r="BM206" s="13">
        <v>3</v>
      </c>
      <c r="BN206" s="13">
        <v>3</v>
      </c>
      <c r="BO206" s="13">
        <v>3</v>
      </c>
      <c r="BP206" s="13">
        <v>5</v>
      </c>
      <c r="BQ206" s="13">
        <v>5</v>
      </c>
      <c r="BR206" s="58"/>
      <c r="BS206" s="13" t="s">
        <v>97</v>
      </c>
      <c r="BT206" s="13"/>
      <c r="BU206" s="13" t="s">
        <v>246</v>
      </c>
      <c r="BV206" s="13"/>
      <c r="BW206" s="58"/>
      <c r="BX206" s="13" t="s">
        <v>80</v>
      </c>
      <c r="BY206" s="13"/>
      <c r="BZ206" s="13" t="s">
        <v>80</v>
      </c>
      <c r="CA206" s="13"/>
      <c r="CB206" s="13" t="s">
        <v>80</v>
      </c>
      <c r="CC206" s="13"/>
      <c r="CD206" s="13" t="s">
        <v>80</v>
      </c>
      <c r="CE206" s="13"/>
      <c r="CF206" s="13"/>
      <c r="CG206" s="13"/>
      <c r="CH206" s="58"/>
      <c r="CI206" s="13" t="s">
        <v>84</v>
      </c>
      <c r="CJ206" s="13" t="s">
        <v>1456</v>
      </c>
      <c r="CK206" s="13" t="s">
        <v>82</v>
      </c>
      <c r="CL206" s="13"/>
      <c r="CM206" s="13" t="s">
        <v>82</v>
      </c>
      <c r="CN206" s="13"/>
      <c r="CO206" s="13"/>
      <c r="CP206" s="13"/>
      <c r="CQ206" s="13" t="s">
        <v>118</v>
      </c>
      <c r="CR206" s="13" t="s">
        <v>84</v>
      </c>
      <c r="CS206" s="13" t="s">
        <v>1312</v>
      </c>
      <c r="CT206" s="13"/>
      <c r="CU206" s="13" t="s">
        <v>81</v>
      </c>
      <c r="CV206" s="13"/>
      <c r="CW206" s="13" t="s">
        <v>82</v>
      </c>
      <c r="CX206" s="13"/>
      <c r="CY206" s="13" t="s">
        <v>81</v>
      </c>
      <c r="CZ206" s="13"/>
      <c r="DA206" s="13" t="s">
        <v>82</v>
      </c>
      <c r="DB206" s="13"/>
      <c r="DC206" s="13" t="s">
        <v>84</v>
      </c>
      <c r="DD206" s="13" t="s">
        <v>84</v>
      </c>
      <c r="DE206" s="58"/>
      <c r="DF206" s="58"/>
      <c r="DG206" s="13">
        <v>1</v>
      </c>
      <c r="DH206" s="13">
        <v>1</v>
      </c>
      <c r="DI206" s="13">
        <v>1</v>
      </c>
      <c r="DJ206" s="13">
        <v>1</v>
      </c>
      <c r="DK206" s="13">
        <v>1</v>
      </c>
      <c r="DL206" s="13">
        <v>1</v>
      </c>
      <c r="DM206" s="13">
        <v>1</v>
      </c>
      <c r="DN206" s="13">
        <v>1</v>
      </c>
      <c r="DO206" s="13">
        <v>3</v>
      </c>
      <c r="DP206" s="13">
        <v>1</v>
      </c>
      <c r="DQ206" s="13">
        <v>2</v>
      </c>
      <c r="DR206" s="13">
        <v>1</v>
      </c>
      <c r="DS206" s="13" t="s">
        <v>118</v>
      </c>
      <c r="DT206" s="13" t="s">
        <v>84</v>
      </c>
      <c r="DU206" s="13"/>
      <c r="DV206" s="13" t="s">
        <v>84</v>
      </c>
      <c r="DW206" s="13" t="s">
        <v>100</v>
      </c>
      <c r="DX206" s="13" t="s">
        <v>81</v>
      </c>
      <c r="DY206" s="13"/>
      <c r="DZ206" s="13" t="s">
        <v>113</v>
      </c>
      <c r="EA206" s="13"/>
      <c r="EB206" s="13" t="s">
        <v>84</v>
      </c>
      <c r="EC206" s="13"/>
      <c r="ED206" s="13"/>
      <c r="EE206" s="13"/>
      <c r="EF206" s="13" t="s">
        <v>84</v>
      </c>
      <c r="EG206" s="13" t="s">
        <v>84</v>
      </c>
      <c r="EH206" s="13" t="s">
        <v>82</v>
      </c>
      <c r="EI206" s="13"/>
      <c r="EJ206" s="13"/>
      <c r="EK206" s="13"/>
      <c r="EL206" s="13"/>
      <c r="EM206" s="9">
        <v>764.46</v>
      </c>
      <c r="EN206" s="9">
        <v>36.270000000000003</v>
      </c>
      <c r="EQ206" s="9">
        <v>55.41</v>
      </c>
      <c r="EW206" s="9">
        <v>42.53</v>
      </c>
      <c r="FF206" s="9">
        <v>63.86</v>
      </c>
      <c r="FJ206" s="9">
        <v>21.12</v>
      </c>
      <c r="FP206" s="9">
        <v>107.71</v>
      </c>
      <c r="FV206" s="9">
        <v>155.66</v>
      </c>
      <c r="GC206" s="9">
        <v>184.23</v>
      </c>
      <c r="GT206" s="9">
        <v>16.760000000000002</v>
      </c>
      <c r="GX206" s="9">
        <v>29.26</v>
      </c>
      <c r="HB206" s="9">
        <v>51.65</v>
      </c>
      <c r="HQ206" s="62">
        <f t="shared" si="17"/>
        <v>764.46</v>
      </c>
      <c r="HR206" s="62">
        <f t="shared" si="18"/>
        <v>12.741000000000001</v>
      </c>
    </row>
    <row r="207" spans="1:226" s="9" customFormat="1" ht="12.75" x14ac:dyDescent="0.2">
      <c r="A207" s="11">
        <v>266</v>
      </c>
      <c r="B207" s="9">
        <v>305</v>
      </c>
      <c r="C207" s="9" t="s">
        <v>83</v>
      </c>
      <c r="D207" s="9">
        <v>11</v>
      </c>
      <c r="E207" s="9" t="s">
        <v>79</v>
      </c>
      <c r="F207" s="9">
        <v>180863015</v>
      </c>
      <c r="G207" s="9" t="s">
        <v>81</v>
      </c>
      <c r="H207" s="9" t="s">
        <v>84</v>
      </c>
      <c r="I207" s="13" t="s">
        <v>105</v>
      </c>
      <c r="J207" s="13"/>
      <c r="K207" s="58"/>
      <c r="L207" s="58"/>
      <c r="M207" s="13" t="s">
        <v>1319</v>
      </c>
      <c r="N207" s="13" t="s">
        <v>618</v>
      </c>
      <c r="O207" s="13"/>
      <c r="P207" s="13" t="s">
        <v>87</v>
      </c>
      <c r="Q207" s="13" t="s">
        <v>1375</v>
      </c>
      <c r="R207" s="58"/>
      <c r="S207" s="13" t="s">
        <v>84</v>
      </c>
      <c r="T207" s="13" t="s">
        <v>84</v>
      </c>
      <c r="U207" s="13" t="s">
        <v>84</v>
      </c>
      <c r="V207" s="13" t="s">
        <v>82</v>
      </c>
      <c r="W207" s="13" t="s">
        <v>82</v>
      </c>
      <c r="X207" s="13" t="s">
        <v>84</v>
      </c>
      <c r="Y207" s="13" t="s">
        <v>84</v>
      </c>
      <c r="Z207" s="13" t="s">
        <v>82</v>
      </c>
      <c r="AA207" s="13"/>
      <c r="AB207" s="13" t="s">
        <v>82</v>
      </c>
      <c r="AC207" s="13"/>
      <c r="AD207" s="13" t="s">
        <v>82</v>
      </c>
      <c r="AE207" s="13"/>
      <c r="AF207" s="13"/>
      <c r="AG207" s="13" t="s">
        <v>84</v>
      </c>
      <c r="AH207" s="13"/>
      <c r="AI207" s="13" t="s">
        <v>145</v>
      </c>
      <c r="AJ207" s="13"/>
      <c r="AK207" s="13"/>
      <c r="AL207" s="13" t="s">
        <v>140</v>
      </c>
      <c r="AM207" s="13" t="s">
        <v>111</v>
      </c>
      <c r="AN207" s="13"/>
      <c r="AO207" s="13" t="s">
        <v>80</v>
      </c>
      <c r="AP207" s="58"/>
      <c r="AQ207" s="13" t="s">
        <v>84</v>
      </c>
      <c r="AR207" s="13" t="s">
        <v>84</v>
      </c>
      <c r="AS207" s="13" t="s">
        <v>84</v>
      </c>
      <c r="AT207" s="13" t="s">
        <v>84</v>
      </c>
      <c r="AU207" s="13"/>
      <c r="AV207" s="58"/>
      <c r="AW207" s="13" t="s">
        <v>80</v>
      </c>
      <c r="AX207" s="13" t="s">
        <v>80</v>
      </c>
      <c r="AY207" s="13" t="s">
        <v>80</v>
      </c>
      <c r="AZ207" s="13" t="s">
        <v>80</v>
      </c>
      <c r="BA207" s="13"/>
      <c r="BB207" s="13" t="s">
        <v>82</v>
      </c>
      <c r="BC207" s="13" t="s">
        <v>82</v>
      </c>
      <c r="BD207" s="13" t="s">
        <v>100</v>
      </c>
      <c r="BE207" s="13" t="s">
        <v>100</v>
      </c>
      <c r="BF207" s="13" t="s">
        <v>113</v>
      </c>
      <c r="BG207" s="13" t="s">
        <v>145</v>
      </c>
      <c r="BH207" s="13" t="s">
        <v>82</v>
      </c>
      <c r="BI207" s="13"/>
      <c r="BJ207" s="13" t="s">
        <v>84</v>
      </c>
      <c r="BK207" s="13" t="s">
        <v>80</v>
      </c>
      <c r="BL207" s="13">
        <v>3</v>
      </c>
      <c r="BM207" s="13">
        <v>3</v>
      </c>
      <c r="BN207" s="13">
        <v>3</v>
      </c>
      <c r="BO207" s="13">
        <v>3</v>
      </c>
      <c r="BP207" s="13">
        <v>3</v>
      </c>
      <c r="BQ207" s="13">
        <v>3</v>
      </c>
      <c r="BR207" s="58"/>
      <c r="BS207" s="13" t="s">
        <v>99</v>
      </c>
      <c r="BT207" s="13"/>
      <c r="BU207" s="13"/>
      <c r="BV207" s="13"/>
      <c r="BW207" s="58"/>
      <c r="BX207" s="13" t="s">
        <v>84</v>
      </c>
      <c r="BY207" s="13"/>
      <c r="BZ207" s="13" t="s">
        <v>82</v>
      </c>
      <c r="CA207" s="13"/>
      <c r="CB207" s="13" t="s">
        <v>82</v>
      </c>
      <c r="CC207" s="13"/>
      <c r="CD207" s="13" t="s">
        <v>82</v>
      </c>
      <c r="CE207" s="13"/>
      <c r="CF207" s="13"/>
      <c r="CG207" s="13"/>
      <c r="CH207" s="58"/>
      <c r="CI207" s="13" t="s">
        <v>82</v>
      </c>
      <c r="CJ207" s="13"/>
      <c r="CK207" s="13" t="s">
        <v>84</v>
      </c>
      <c r="CL207" s="13"/>
      <c r="CM207" s="13" t="s">
        <v>82</v>
      </c>
      <c r="CN207" s="13"/>
      <c r="CO207" s="13"/>
      <c r="CP207" s="13"/>
      <c r="CQ207" s="13" t="s">
        <v>118</v>
      </c>
      <c r="CR207" s="13" t="s">
        <v>84</v>
      </c>
      <c r="CS207" s="13" t="s">
        <v>97</v>
      </c>
      <c r="CT207" s="13"/>
      <c r="CU207" s="13" t="s">
        <v>246</v>
      </c>
      <c r="CV207" s="13"/>
      <c r="CW207" s="13" t="s">
        <v>82</v>
      </c>
      <c r="CX207" s="13"/>
      <c r="CY207" s="13" t="s">
        <v>246</v>
      </c>
      <c r="CZ207" s="13"/>
      <c r="DA207" s="13" t="s">
        <v>82</v>
      </c>
      <c r="DB207" s="13"/>
      <c r="DC207" s="13" t="s">
        <v>84</v>
      </c>
      <c r="DD207" s="13" t="s">
        <v>84</v>
      </c>
      <c r="DE207" s="58"/>
      <c r="DF207" s="58"/>
      <c r="DG207" s="13">
        <v>5</v>
      </c>
      <c r="DH207" s="13">
        <v>4</v>
      </c>
      <c r="DI207" s="13">
        <v>1</v>
      </c>
      <c r="DJ207" s="13">
        <v>5</v>
      </c>
      <c r="DK207" s="13">
        <v>1</v>
      </c>
      <c r="DL207" s="13">
        <v>5</v>
      </c>
      <c r="DM207" s="13">
        <v>1</v>
      </c>
      <c r="DN207" s="13">
        <v>5</v>
      </c>
      <c r="DO207" s="13">
        <v>1</v>
      </c>
      <c r="DP207" s="13">
        <v>5</v>
      </c>
      <c r="DQ207" s="13">
        <v>1</v>
      </c>
      <c r="DR207" s="13">
        <v>5</v>
      </c>
      <c r="DS207" s="13" t="s">
        <v>97</v>
      </c>
      <c r="DT207" s="13" t="s">
        <v>106</v>
      </c>
      <c r="DU207" s="13"/>
      <c r="DV207" s="13" t="s">
        <v>82</v>
      </c>
      <c r="DW207" s="13" t="s">
        <v>112</v>
      </c>
      <c r="DX207" s="13" t="s">
        <v>246</v>
      </c>
      <c r="DY207" s="13"/>
      <c r="DZ207" s="13" t="s">
        <v>93</v>
      </c>
      <c r="EA207" s="13"/>
      <c r="EB207" s="13" t="s">
        <v>84</v>
      </c>
      <c r="EC207" s="13"/>
      <c r="ED207" s="13"/>
      <c r="EE207" s="13"/>
      <c r="EF207" s="13" t="s">
        <v>84</v>
      </c>
      <c r="EG207" s="13" t="s">
        <v>84</v>
      </c>
      <c r="EH207" s="13" t="s">
        <v>82</v>
      </c>
      <c r="EI207" s="13"/>
      <c r="EJ207" s="13"/>
      <c r="EK207" s="13"/>
      <c r="EL207" s="13"/>
      <c r="EM207" s="9">
        <v>1219.51</v>
      </c>
      <c r="EN207" s="9">
        <v>51.86</v>
      </c>
      <c r="EQ207" s="9">
        <v>124.63</v>
      </c>
      <c r="EW207" s="9">
        <v>112.43</v>
      </c>
      <c r="FF207" s="9">
        <v>89.68</v>
      </c>
      <c r="FJ207" s="9">
        <v>33.21</v>
      </c>
      <c r="FP207" s="9">
        <v>73.06</v>
      </c>
      <c r="FV207" s="9">
        <v>105.35</v>
      </c>
      <c r="GC207" s="9">
        <v>428.77</v>
      </c>
      <c r="GT207" s="9">
        <v>31</v>
      </c>
      <c r="GX207" s="9">
        <v>39.590000000000003</v>
      </c>
      <c r="HB207" s="9">
        <v>129.93</v>
      </c>
      <c r="HQ207" s="62">
        <f t="shared" si="17"/>
        <v>1219.51</v>
      </c>
      <c r="HR207" s="62">
        <f t="shared" si="18"/>
        <v>20.325166666666668</v>
      </c>
    </row>
    <row r="208" spans="1:226" s="9" customFormat="1" ht="12.75" x14ac:dyDescent="0.2">
      <c r="A208" s="11">
        <v>267</v>
      </c>
      <c r="B208" s="9">
        <v>309</v>
      </c>
      <c r="C208" s="9" t="s">
        <v>83</v>
      </c>
      <c r="D208" s="9">
        <v>11</v>
      </c>
      <c r="E208" s="9" t="s">
        <v>79</v>
      </c>
      <c r="F208" s="9">
        <v>1410430968</v>
      </c>
      <c r="G208" s="9" t="s">
        <v>81</v>
      </c>
      <c r="H208" s="9" t="s">
        <v>84</v>
      </c>
      <c r="I208" s="13" t="s">
        <v>119</v>
      </c>
      <c r="J208" s="13" t="s">
        <v>3119</v>
      </c>
      <c r="K208" s="58"/>
      <c r="L208" s="58"/>
      <c r="M208" s="13" t="s">
        <v>1319</v>
      </c>
      <c r="N208" s="13" t="s">
        <v>618</v>
      </c>
      <c r="O208" s="13"/>
      <c r="P208" s="13" t="s">
        <v>253</v>
      </c>
      <c r="Q208" s="13" t="s">
        <v>1358</v>
      </c>
      <c r="R208" s="58"/>
      <c r="S208" s="13" t="s">
        <v>84</v>
      </c>
      <c r="T208" s="13" t="s">
        <v>84</v>
      </c>
      <c r="U208" s="13" t="s">
        <v>84</v>
      </c>
      <c r="V208" s="13" t="s">
        <v>82</v>
      </c>
      <c r="W208" s="13" t="s">
        <v>82</v>
      </c>
      <c r="X208" s="13" t="s">
        <v>82</v>
      </c>
      <c r="Y208" s="13" t="s">
        <v>84</v>
      </c>
      <c r="Z208" s="13" t="s">
        <v>84</v>
      </c>
      <c r="AA208" s="13"/>
      <c r="AB208" s="13" t="s">
        <v>82</v>
      </c>
      <c r="AC208" s="13"/>
      <c r="AD208" s="13" t="s">
        <v>82</v>
      </c>
      <c r="AE208" s="13"/>
      <c r="AF208" s="13"/>
      <c r="AG208" s="13" t="s">
        <v>82</v>
      </c>
      <c r="AH208" s="13" t="s">
        <v>3120</v>
      </c>
      <c r="AI208" s="13" t="s">
        <v>84</v>
      </c>
      <c r="AJ208" s="13"/>
      <c r="AK208" s="13" t="s">
        <v>3121</v>
      </c>
      <c r="AL208" s="13" t="s">
        <v>126</v>
      </c>
      <c r="AM208" s="13" t="s">
        <v>91</v>
      </c>
      <c r="AN208" s="13"/>
      <c r="AO208" s="13" t="s">
        <v>80</v>
      </c>
      <c r="AP208" s="58"/>
      <c r="AQ208" s="13" t="s">
        <v>80</v>
      </c>
      <c r="AR208" s="13" t="s">
        <v>80</v>
      </c>
      <c r="AS208" s="13" t="s">
        <v>80</v>
      </c>
      <c r="AT208" s="13" t="s">
        <v>80</v>
      </c>
      <c r="AU208" s="13"/>
      <c r="AV208" s="58"/>
      <c r="AW208" s="13" t="s">
        <v>84</v>
      </c>
      <c r="AX208" s="13" t="s">
        <v>82</v>
      </c>
      <c r="AY208" s="13" t="s">
        <v>82</v>
      </c>
      <c r="AZ208" s="13" t="s">
        <v>84</v>
      </c>
      <c r="BA208" s="13"/>
      <c r="BB208" s="13" t="s">
        <v>84</v>
      </c>
      <c r="BC208" s="13" t="s">
        <v>80</v>
      </c>
      <c r="BD208" s="13" t="s">
        <v>100</v>
      </c>
      <c r="BE208" s="13" t="s">
        <v>100</v>
      </c>
      <c r="BF208" s="13" t="s">
        <v>93</v>
      </c>
      <c r="BG208" s="13" t="s">
        <v>145</v>
      </c>
      <c r="BH208" s="13" t="s">
        <v>84</v>
      </c>
      <c r="BI208" s="13" t="s">
        <v>3122</v>
      </c>
      <c r="BJ208" s="13" t="s">
        <v>84</v>
      </c>
      <c r="BK208" s="13" t="s">
        <v>80</v>
      </c>
      <c r="BL208" s="13">
        <v>2</v>
      </c>
      <c r="BM208" s="13">
        <v>3</v>
      </c>
      <c r="BN208" s="13">
        <v>5</v>
      </c>
      <c r="BO208" s="13">
        <v>3</v>
      </c>
      <c r="BP208" s="13">
        <v>4</v>
      </c>
      <c r="BQ208" s="13">
        <v>4</v>
      </c>
      <c r="BR208" s="58"/>
      <c r="BS208" s="13" t="s">
        <v>99</v>
      </c>
      <c r="BT208" s="13"/>
      <c r="BU208" s="13"/>
      <c r="BV208" s="13"/>
      <c r="BW208" s="58"/>
      <c r="BX208" s="13" t="s">
        <v>84</v>
      </c>
      <c r="BY208" s="13" t="s">
        <v>3123</v>
      </c>
      <c r="BZ208" s="13" t="s">
        <v>82</v>
      </c>
      <c r="CA208" s="13"/>
      <c r="CB208" s="13" t="s">
        <v>82</v>
      </c>
      <c r="CC208" s="13"/>
      <c r="CD208" s="13" t="s">
        <v>82</v>
      </c>
      <c r="CE208" s="13"/>
      <c r="CF208" s="13"/>
      <c r="CG208" s="13"/>
      <c r="CH208" s="58"/>
      <c r="CI208" s="13" t="s">
        <v>82</v>
      </c>
      <c r="CJ208" s="13"/>
      <c r="CK208" s="13" t="s">
        <v>82</v>
      </c>
      <c r="CL208" s="13"/>
      <c r="CM208" s="13" t="s">
        <v>82</v>
      </c>
      <c r="CN208" s="13"/>
      <c r="CO208" s="13" t="s">
        <v>3124</v>
      </c>
      <c r="CP208" s="13" t="s">
        <v>3125</v>
      </c>
      <c r="CQ208" s="13" t="s">
        <v>118</v>
      </c>
      <c r="CR208" s="13" t="s">
        <v>84</v>
      </c>
      <c r="CS208" s="13" t="s">
        <v>1312</v>
      </c>
      <c r="CT208" s="13"/>
      <c r="CU208" s="13" t="s">
        <v>81</v>
      </c>
      <c r="CV208" s="13" t="s">
        <v>3126</v>
      </c>
      <c r="CW208" s="13" t="s">
        <v>82</v>
      </c>
      <c r="CX208" s="13"/>
      <c r="CY208" s="13" t="s">
        <v>81</v>
      </c>
      <c r="CZ208" s="13" t="s">
        <v>3127</v>
      </c>
      <c r="DA208" s="13" t="s">
        <v>82</v>
      </c>
      <c r="DB208" s="13"/>
      <c r="DC208" s="13" t="s">
        <v>84</v>
      </c>
      <c r="DD208" s="13" t="s">
        <v>84</v>
      </c>
      <c r="DE208" s="58"/>
      <c r="DF208" s="58"/>
      <c r="DG208" s="13">
        <v>1</v>
      </c>
      <c r="DH208" s="13">
        <v>3</v>
      </c>
      <c r="DI208" s="13">
        <v>1</v>
      </c>
      <c r="DJ208" s="13">
        <v>3</v>
      </c>
      <c r="DK208" s="13">
        <v>3</v>
      </c>
      <c r="DL208" s="13">
        <v>3</v>
      </c>
      <c r="DM208" s="13">
        <v>4</v>
      </c>
      <c r="DN208" s="13">
        <v>3</v>
      </c>
      <c r="DO208" s="13">
        <v>3</v>
      </c>
      <c r="DP208" s="13">
        <v>3</v>
      </c>
      <c r="DQ208" s="13">
        <v>2</v>
      </c>
      <c r="DR208" s="13">
        <v>3</v>
      </c>
      <c r="DS208" s="13" t="s">
        <v>118</v>
      </c>
      <c r="DT208" s="13" t="s">
        <v>82</v>
      </c>
      <c r="DU208" s="13" t="s">
        <v>3128</v>
      </c>
      <c r="DV208" s="13" t="s">
        <v>84</v>
      </c>
      <c r="DW208" s="13" t="s">
        <v>100</v>
      </c>
      <c r="DX208" s="13" t="s">
        <v>81</v>
      </c>
      <c r="DY208" s="13" t="s">
        <v>3129</v>
      </c>
      <c r="DZ208" s="13" t="s">
        <v>93</v>
      </c>
      <c r="EA208" s="13" t="s">
        <v>3130</v>
      </c>
      <c r="EB208" s="13" t="s">
        <v>82</v>
      </c>
      <c r="EC208" s="13"/>
      <c r="ED208" s="13" t="s">
        <v>81</v>
      </c>
      <c r="EE208" s="13" t="s">
        <v>3131</v>
      </c>
      <c r="EF208" s="13" t="s">
        <v>82</v>
      </c>
      <c r="EG208" s="13" t="s">
        <v>82</v>
      </c>
      <c r="EH208" s="13" t="s">
        <v>82</v>
      </c>
      <c r="EI208" s="13"/>
      <c r="EJ208" s="13" t="s">
        <v>3132</v>
      </c>
      <c r="EK208" s="13"/>
      <c r="EL208" s="13"/>
      <c r="EM208" s="9">
        <v>3301.99</v>
      </c>
      <c r="EN208" s="9">
        <v>32.65</v>
      </c>
      <c r="EQ208" s="9">
        <v>108.95</v>
      </c>
      <c r="EW208" s="9">
        <v>1194.0899999999999</v>
      </c>
      <c r="FF208" s="9">
        <v>101.95</v>
      </c>
      <c r="FJ208" s="9">
        <v>17.41</v>
      </c>
      <c r="FP208" s="9">
        <v>84.06</v>
      </c>
      <c r="FV208" s="9">
        <v>316.23</v>
      </c>
      <c r="GC208" s="9">
        <v>549.13</v>
      </c>
      <c r="GT208" s="9">
        <v>106.42</v>
      </c>
      <c r="GX208" s="9">
        <v>327.69</v>
      </c>
      <c r="HB208" s="9">
        <v>463.41</v>
      </c>
      <c r="HQ208" s="62">
        <f t="shared" si="17"/>
        <v>3301.99</v>
      </c>
      <c r="HR208" s="62">
        <f t="shared" si="18"/>
        <v>55.033166666666666</v>
      </c>
    </row>
    <row r="209" spans="1:236" s="9" customFormat="1" ht="12.75" x14ac:dyDescent="0.2">
      <c r="A209" s="11">
        <v>268</v>
      </c>
      <c r="B209" s="9">
        <v>310</v>
      </c>
      <c r="C209" s="9" t="s">
        <v>83</v>
      </c>
      <c r="D209" s="9">
        <v>11</v>
      </c>
      <c r="E209" s="9" t="s">
        <v>79</v>
      </c>
      <c r="F209" s="9">
        <v>1705137527</v>
      </c>
      <c r="G209" s="9" t="s">
        <v>81</v>
      </c>
      <c r="H209" s="9" t="s">
        <v>84</v>
      </c>
      <c r="I209" s="13" t="s">
        <v>324</v>
      </c>
      <c r="J209" s="13"/>
      <c r="K209" s="58"/>
      <c r="L209" s="58"/>
      <c r="M209" s="13" t="s">
        <v>1294</v>
      </c>
      <c r="N209" s="13" t="s">
        <v>108</v>
      </c>
      <c r="O209" s="13"/>
      <c r="P209" s="13" t="s">
        <v>290</v>
      </c>
      <c r="Q209" s="13" t="s">
        <v>1310</v>
      </c>
      <c r="R209" s="58"/>
      <c r="S209" s="13" t="s">
        <v>84</v>
      </c>
      <c r="T209" s="13" t="s">
        <v>84</v>
      </c>
      <c r="U209" s="13" t="s">
        <v>84</v>
      </c>
      <c r="V209" s="13" t="s">
        <v>82</v>
      </c>
      <c r="W209" s="13" t="s">
        <v>82</v>
      </c>
      <c r="X209" s="13" t="s">
        <v>82</v>
      </c>
      <c r="Y209" s="13" t="s">
        <v>82</v>
      </c>
      <c r="Z209" s="13" t="s">
        <v>82</v>
      </c>
      <c r="AA209" s="13"/>
      <c r="AB209" s="13" t="s">
        <v>84</v>
      </c>
      <c r="AC209" s="13" t="s">
        <v>3133</v>
      </c>
      <c r="AD209" s="13" t="s">
        <v>82</v>
      </c>
      <c r="AE209" s="13"/>
      <c r="AF209" s="13"/>
      <c r="AG209" s="13" t="s">
        <v>84</v>
      </c>
      <c r="AH209" s="13" t="s">
        <v>147</v>
      </c>
      <c r="AI209" s="13" t="s">
        <v>82</v>
      </c>
      <c r="AJ209" s="13"/>
      <c r="AK209" s="13"/>
      <c r="AL209" s="13" t="s">
        <v>90</v>
      </c>
      <c r="AM209" s="13" t="s">
        <v>91</v>
      </c>
      <c r="AN209" s="13"/>
      <c r="AO209" s="13" t="s">
        <v>80</v>
      </c>
      <c r="AP209" s="58"/>
      <c r="AQ209" s="13" t="s">
        <v>80</v>
      </c>
      <c r="AR209" s="13" t="s">
        <v>80</v>
      </c>
      <c r="AS209" s="13" t="s">
        <v>80</v>
      </c>
      <c r="AT209" s="13" t="s">
        <v>80</v>
      </c>
      <c r="AU209" s="13"/>
      <c r="AV209" s="58"/>
      <c r="AW209" s="13" t="s">
        <v>84</v>
      </c>
      <c r="AX209" s="13" t="s">
        <v>82</v>
      </c>
      <c r="AY209" s="13" t="s">
        <v>82</v>
      </c>
      <c r="AZ209" s="13" t="s">
        <v>82</v>
      </c>
      <c r="BA209" s="13"/>
      <c r="BB209" s="13" t="s">
        <v>84</v>
      </c>
      <c r="BC209" s="13" t="s">
        <v>80</v>
      </c>
      <c r="BD209" s="13" t="s">
        <v>113</v>
      </c>
      <c r="BE209" s="13" t="s">
        <v>93</v>
      </c>
      <c r="BF209" s="13" t="s">
        <v>112</v>
      </c>
      <c r="BG209" s="13" t="s">
        <v>84</v>
      </c>
      <c r="BH209" s="13" t="s">
        <v>84</v>
      </c>
      <c r="BI209" s="13" t="s">
        <v>3134</v>
      </c>
      <c r="BJ209" s="13" t="s">
        <v>84</v>
      </c>
      <c r="BK209" s="13" t="s">
        <v>80</v>
      </c>
      <c r="BL209" s="13">
        <v>3</v>
      </c>
      <c r="BM209" s="13">
        <v>1</v>
      </c>
      <c r="BN209" s="13">
        <v>2</v>
      </c>
      <c r="BO209" s="13">
        <v>1</v>
      </c>
      <c r="BP209" s="13">
        <v>3</v>
      </c>
      <c r="BQ209" s="13">
        <v>1</v>
      </c>
      <c r="BR209" s="58"/>
      <c r="BS209" s="13" t="s">
        <v>99</v>
      </c>
      <c r="BT209" s="13"/>
      <c r="BU209" s="13"/>
      <c r="BV209" s="13"/>
      <c r="BW209" s="58"/>
      <c r="BX209" s="13" t="s">
        <v>84</v>
      </c>
      <c r="BY209" s="13"/>
      <c r="BZ209" s="13" t="s">
        <v>82</v>
      </c>
      <c r="CA209" s="13"/>
      <c r="CB209" s="13" t="s">
        <v>82</v>
      </c>
      <c r="CC209" s="13"/>
      <c r="CD209" s="13" t="s">
        <v>82</v>
      </c>
      <c r="CE209" s="13"/>
      <c r="CF209" s="13"/>
      <c r="CG209" s="13"/>
      <c r="CH209" s="58"/>
      <c r="CI209" s="13" t="s">
        <v>84</v>
      </c>
      <c r="CJ209" s="13"/>
      <c r="CK209" s="13" t="s">
        <v>82</v>
      </c>
      <c r="CL209" s="13"/>
      <c r="CM209" s="13" t="s">
        <v>82</v>
      </c>
      <c r="CN209" s="13"/>
      <c r="CO209" s="13"/>
      <c r="CP209" s="13"/>
      <c r="CQ209" s="13" t="s">
        <v>99</v>
      </c>
      <c r="CR209" s="13" t="s">
        <v>80</v>
      </c>
      <c r="CS209" s="13" t="s">
        <v>97</v>
      </c>
      <c r="CT209" s="13"/>
      <c r="CU209" s="13" t="s">
        <v>246</v>
      </c>
      <c r="CV209" s="13"/>
      <c r="CW209" s="13" t="s">
        <v>82</v>
      </c>
      <c r="CX209" s="13"/>
      <c r="CY209" s="13" t="s">
        <v>81</v>
      </c>
      <c r="CZ209" s="13"/>
      <c r="DA209" s="13" t="s">
        <v>82</v>
      </c>
      <c r="DB209" s="13"/>
      <c r="DC209" s="13" t="s">
        <v>84</v>
      </c>
      <c r="DD209" s="13" t="s">
        <v>84</v>
      </c>
      <c r="DE209" s="58"/>
      <c r="DF209" s="58"/>
      <c r="DG209" s="13">
        <v>1</v>
      </c>
      <c r="DH209" s="13">
        <v>1</v>
      </c>
      <c r="DI209" s="13">
        <v>1</v>
      </c>
      <c r="DJ209" s="13">
        <v>1</v>
      </c>
      <c r="DK209" s="13">
        <v>1</v>
      </c>
      <c r="DL209" s="13">
        <v>1</v>
      </c>
      <c r="DM209" s="13">
        <v>1</v>
      </c>
      <c r="DN209" s="13">
        <v>1</v>
      </c>
      <c r="DO209" s="13">
        <v>1</v>
      </c>
      <c r="DP209" s="13">
        <v>1</v>
      </c>
      <c r="DQ209" s="13">
        <v>1</v>
      </c>
      <c r="DR209" s="13">
        <v>1</v>
      </c>
      <c r="DS209" s="13" t="s">
        <v>99</v>
      </c>
      <c r="DT209" s="13" t="s">
        <v>84</v>
      </c>
      <c r="DU209" s="13"/>
      <c r="DV209" s="13" t="s">
        <v>84</v>
      </c>
      <c r="DW209" s="13" t="s">
        <v>100</v>
      </c>
      <c r="DX209" s="13" t="s">
        <v>246</v>
      </c>
      <c r="DY209" s="13"/>
      <c r="DZ209" s="13" t="s">
        <v>113</v>
      </c>
      <c r="EA209" s="13"/>
      <c r="EB209" s="13" t="s">
        <v>82</v>
      </c>
      <c r="EC209" s="13"/>
      <c r="ED209" s="13" t="s">
        <v>81</v>
      </c>
      <c r="EE209" s="13"/>
      <c r="EF209" s="13" t="s">
        <v>82</v>
      </c>
      <c r="EG209" s="13" t="s">
        <v>84</v>
      </c>
      <c r="EH209" s="13" t="s">
        <v>84</v>
      </c>
      <c r="EI209" s="13"/>
      <c r="EJ209" s="13"/>
      <c r="EK209" s="13"/>
      <c r="EL209" s="13"/>
      <c r="EM209" s="9">
        <v>531.75</v>
      </c>
      <c r="EN209" s="9">
        <v>23.26</v>
      </c>
      <c r="EQ209" s="9">
        <v>48.21</v>
      </c>
      <c r="EW209" s="9">
        <v>116.67</v>
      </c>
      <c r="FF209" s="9">
        <v>23.62</v>
      </c>
      <c r="FJ209" s="9">
        <v>12.47</v>
      </c>
      <c r="FP209" s="9">
        <v>27.07</v>
      </c>
      <c r="FV209" s="9">
        <v>72.62</v>
      </c>
      <c r="GC209" s="9">
        <v>103.09</v>
      </c>
      <c r="GT209" s="9">
        <v>17.07</v>
      </c>
      <c r="GX209" s="9">
        <v>30.04</v>
      </c>
      <c r="HB209" s="9">
        <v>57.63</v>
      </c>
      <c r="HQ209" s="62">
        <f t="shared" si="17"/>
        <v>531.75</v>
      </c>
      <c r="HR209" s="62">
        <f t="shared" si="18"/>
        <v>8.8625000000000007</v>
      </c>
    </row>
    <row r="210" spans="1:236" s="9" customFormat="1" ht="12.75" x14ac:dyDescent="0.2">
      <c r="A210" s="11">
        <v>269</v>
      </c>
      <c r="B210" s="9">
        <v>311</v>
      </c>
      <c r="C210" s="9" t="s">
        <v>83</v>
      </c>
      <c r="D210" s="9">
        <v>11</v>
      </c>
      <c r="E210" s="9" t="s">
        <v>79</v>
      </c>
      <c r="F210" s="9">
        <v>1080507197</v>
      </c>
      <c r="G210" s="9" t="s">
        <v>81</v>
      </c>
      <c r="H210" s="9" t="s">
        <v>84</v>
      </c>
      <c r="I210" s="13" t="s">
        <v>119</v>
      </c>
      <c r="J210" s="13" t="s">
        <v>3135</v>
      </c>
      <c r="K210" s="58"/>
      <c r="L210" s="58"/>
      <c r="M210" s="13" t="s">
        <v>1294</v>
      </c>
      <c r="N210" s="13" t="s">
        <v>106</v>
      </c>
      <c r="O210" s="13" t="s">
        <v>3136</v>
      </c>
      <c r="P210" s="13" t="s">
        <v>87</v>
      </c>
      <c r="Q210" s="13" t="s">
        <v>1296</v>
      </c>
      <c r="R210" s="58"/>
      <c r="S210" s="13" t="s">
        <v>84</v>
      </c>
      <c r="T210" s="13" t="s">
        <v>84</v>
      </c>
      <c r="U210" s="13" t="s">
        <v>84</v>
      </c>
      <c r="V210" s="13" t="s">
        <v>82</v>
      </c>
      <c r="W210" s="13" t="s">
        <v>82</v>
      </c>
      <c r="X210" s="13" t="s">
        <v>82</v>
      </c>
      <c r="Y210" s="13" t="s">
        <v>82</v>
      </c>
      <c r="Z210" s="13" t="s">
        <v>82</v>
      </c>
      <c r="AA210" s="13"/>
      <c r="AB210" s="13" t="s">
        <v>82</v>
      </c>
      <c r="AC210" s="13"/>
      <c r="AD210" s="13" t="s">
        <v>82</v>
      </c>
      <c r="AE210" s="13"/>
      <c r="AF210" s="13"/>
      <c r="AG210" s="13" t="s">
        <v>82</v>
      </c>
      <c r="AH210" s="13" t="s">
        <v>82</v>
      </c>
      <c r="AI210" s="13" t="s">
        <v>145</v>
      </c>
      <c r="AJ210" s="13" t="s">
        <v>3137</v>
      </c>
      <c r="AK210" s="13"/>
      <c r="AL210" s="13" t="s">
        <v>641</v>
      </c>
      <c r="AM210" s="13" t="s">
        <v>111</v>
      </c>
      <c r="AN210" s="13"/>
      <c r="AO210" s="13" t="s">
        <v>80</v>
      </c>
      <c r="AP210" s="58"/>
      <c r="AQ210" s="13" t="s">
        <v>84</v>
      </c>
      <c r="AR210" s="13" t="s">
        <v>82</v>
      </c>
      <c r="AS210" s="13" t="s">
        <v>84</v>
      </c>
      <c r="AT210" s="13" t="s">
        <v>84</v>
      </c>
      <c r="AU210" s="13"/>
      <c r="AV210" s="58"/>
      <c r="AW210" s="13" t="s">
        <v>80</v>
      </c>
      <c r="AX210" s="13" t="s">
        <v>80</v>
      </c>
      <c r="AY210" s="13" t="s">
        <v>80</v>
      </c>
      <c r="AZ210" s="13" t="s">
        <v>80</v>
      </c>
      <c r="BA210" s="13"/>
      <c r="BB210" s="13" t="s">
        <v>84</v>
      </c>
      <c r="BC210" s="13" t="s">
        <v>80</v>
      </c>
      <c r="BD210" s="13" t="s">
        <v>93</v>
      </c>
      <c r="BE210" s="13" t="s">
        <v>340</v>
      </c>
      <c r="BF210" s="13" t="s">
        <v>112</v>
      </c>
      <c r="BG210" s="13" t="s">
        <v>82</v>
      </c>
      <c r="BH210" s="13" t="s">
        <v>84</v>
      </c>
      <c r="BI210" s="13" t="s">
        <v>3138</v>
      </c>
      <c r="BJ210" s="13" t="s">
        <v>84</v>
      </c>
      <c r="BK210" s="13" t="s">
        <v>80</v>
      </c>
      <c r="BL210" s="13">
        <v>3</v>
      </c>
      <c r="BM210" s="13">
        <v>3</v>
      </c>
      <c r="BN210" s="13">
        <v>1</v>
      </c>
      <c r="BO210" s="13">
        <v>1</v>
      </c>
      <c r="BP210" s="13">
        <v>3</v>
      </c>
      <c r="BQ210" s="13">
        <v>3</v>
      </c>
      <c r="BR210" s="58"/>
      <c r="BS210" s="13" t="s">
        <v>119</v>
      </c>
      <c r="BT210" s="13" t="s">
        <v>3139</v>
      </c>
      <c r="BU210" s="13" t="s">
        <v>246</v>
      </c>
      <c r="BV210" s="13" t="s">
        <v>3140</v>
      </c>
      <c r="BW210" s="58"/>
      <c r="BX210" s="13" t="s">
        <v>82</v>
      </c>
      <c r="BY210" s="13"/>
      <c r="BZ210" s="13" t="s">
        <v>82</v>
      </c>
      <c r="CA210" s="13"/>
      <c r="CB210" s="13" t="s">
        <v>82</v>
      </c>
      <c r="CC210" s="13"/>
      <c r="CD210" s="13" t="s">
        <v>82</v>
      </c>
      <c r="CE210" s="13"/>
      <c r="CF210" s="13" t="s">
        <v>3141</v>
      </c>
      <c r="CG210" s="13" t="s">
        <v>3142</v>
      </c>
      <c r="CH210" s="58"/>
      <c r="CI210" s="13" t="s">
        <v>82</v>
      </c>
      <c r="CJ210" s="13"/>
      <c r="CK210" s="13" t="s">
        <v>82</v>
      </c>
      <c r="CL210" s="13"/>
      <c r="CM210" s="13" t="s">
        <v>82</v>
      </c>
      <c r="CN210" s="13"/>
      <c r="CO210" s="13" t="s">
        <v>3141</v>
      </c>
      <c r="CP210" s="13" t="s">
        <v>3141</v>
      </c>
      <c r="CQ210" s="13" t="s">
        <v>97</v>
      </c>
      <c r="CR210" s="13" t="s">
        <v>82</v>
      </c>
      <c r="CS210" s="13"/>
      <c r="CT210" s="13"/>
      <c r="CU210" s="13"/>
      <c r="CV210" s="13"/>
      <c r="CW210" s="13" t="s">
        <v>82</v>
      </c>
      <c r="CX210" s="13"/>
      <c r="CY210" s="13" t="s">
        <v>246</v>
      </c>
      <c r="CZ210" s="13" t="s">
        <v>3143</v>
      </c>
      <c r="DA210" s="13" t="s">
        <v>82</v>
      </c>
      <c r="DB210" s="13"/>
      <c r="DC210" s="13" t="s">
        <v>82</v>
      </c>
      <c r="DD210" s="13" t="s">
        <v>82</v>
      </c>
      <c r="DE210" s="58"/>
      <c r="DF210" s="58"/>
      <c r="DG210" s="13">
        <v>3</v>
      </c>
      <c r="DH210" s="13">
        <v>3</v>
      </c>
      <c r="DI210" s="13">
        <v>3</v>
      </c>
      <c r="DJ210" s="13">
        <v>3</v>
      </c>
      <c r="DK210" s="13">
        <v>3</v>
      </c>
      <c r="DL210" s="13">
        <v>3</v>
      </c>
      <c r="DM210" s="13">
        <v>3</v>
      </c>
      <c r="DN210" s="13">
        <v>3</v>
      </c>
      <c r="DO210" s="13">
        <v>3</v>
      </c>
      <c r="DP210" s="13">
        <v>3</v>
      </c>
      <c r="DQ210" s="13">
        <v>3</v>
      </c>
      <c r="DR210" s="13">
        <v>3</v>
      </c>
      <c r="DS210" s="13" t="s">
        <v>99</v>
      </c>
      <c r="DT210" s="13" t="s">
        <v>84</v>
      </c>
      <c r="DU210" s="13"/>
      <c r="DV210" s="13" t="s">
        <v>84</v>
      </c>
      <c r="DW210" s="13" t="s">
        <v>100</v>
      </c>
      <c r="DX210" s="13" t="s">
        <v>246</v>
      </c>
      <c r="DY210" s="13" t="s">
        <v>3144</v>
      </c>
      <c r="DZ210" s="13" t="s">
        <v>113</v>
      </c>
      <c r="EA210" s="13" t="s">
        <v>3145</v>
      </c>
      <c r="EB210" s="13" t="s">
        <v>82</v>
      </c>
      <c r="EC210" s="13"/>
      <c r="ED210" s="13" t="s">
        <v>246</v>
      </c>
      <c r="EE210" s="13" t="s">
        <v>3146</v>
      </c>
      <c r="EF210" s="13" t="s">
        <v>84</v>
      </c>
      <c r="EG210" s="13" t="s">
        <v>84</v>
      </c>
      <c r="EH210" s="13" t="s">
        <v>84</v>
      </c>
      <c r="EI210" s="13" t="s">
        <v>3147</v>
      </c>
      <c r="EJ210" s="13" t="s">
        <v>3148</v>
      </c>
      <c r="EK210" s="13" t="s">
        <v>3149</v>
      </c>
      <c r="EL210" s="13" t="s">
        <v>3148</v>
      </c>
      <c r="EM210" s="9">
        <v>1320.73</v>
      </c>
      <c r="EN210" s="9">
        <v>29.72</v>
      </c>
      <c r="EQ210" s="9">
        <v>150.26</v>
      </c>
      <c r="EW210" s="9">
        <v>57.61</v>
      </c>
      <c r="FF210" s="9">
        <v>104.43</v>
      </c>
      <c r="FJ210" s="9">
        <v>26.88</v>
      </c>
      <c r="FP210" s="9">
        <v>64.459999999999994</v>
      </c>
      <c r="FV210" s="9">
        <v>277.16000000000003</v>
      </c>
      <c r="GC210" s="9">
        <v>283.06</v>
      </c>
      <c r="GT210" s="9">
        <v>20.5</v>
      </c>
      <c r="GX210" s="9">
        <v>93.54</v>
      </c>
      <c r="HB210" s="9">
        <v>213.11</v>
      </c>
      <c r="HQ210" s="62">
        <f t="shared" si="17"/>
        <v>1320.73</v>
      </c>
      <c r="HR210" s="62">
        <f t="shared" si="18"/>
        <v>22.012166666666666</v>
      </c>
    </row>
    <row r="211" spans="1:236" s="9" customFormat="1" ht="12.75" x14ac:dyDescent="0.2">
      <c r="A211" s="11">
        <v>270</v>
      </c>
      <c r="B211" s="9">
        <v>312</v>
      </c>
      <c r="C211" s="9" t="s">
        <v>83</v>
      </c>
      <c r="D211" s="9">
        <v>11</v>
      </c>
      <c r="E211" s="9" t="s">
        <v>79</v>
      </c>
      <c r="F211" s="9">
        <v>2048760777</v>
      </c>
      <c r="G211" s="9" t="s">
        <v>81</v>
      </c>
      <c r="H211" s="9" t="s">
        <v>84</v>
      </c>
      <c r="I211" s="13" t="s">
        <v>324</v>
      </c>
      <c r="J211" s="13"/>
      <c r="K211" s="58"/>
      <c r="L211" s="58"/>
      <c r="M211" s="13" t="s">
        <v>1319</v>
      </c>
      <c r="N211" s="13" t="s">
        <v>86</v>
      </c>
      <c r="O211" s="13"/>
      <c r="P211" s="13" t="s">
        <v>87</v>
      </c>
      <c r="Q211" s="13" t="s">
        <v>1375</v>
      </c>
      <c r="R211" s="58"/>
      <c r="S211" s="13" t="s">
        <v>84</v>
      </c>
      <c r="T211" s="13" t="s">
        <v>84</v>
      </c>
      <c r="U211" s="13" t="s">
        <v>84</v>
      </c>
      <c r="V211" s="13" t="s">
        <v>84</v>
      </c>
      <c r="W211" s="13" t="s">
        <v>82</v>
      </c>
      <c r="X211" s="13" t="s">
        <v>82</v>
      </c>
      <c r="Y211" s="13" t="s">
        <v>82</v>
      </c>
      <c r="Z211" s="13" t="s">
        <v>82</v>
      </c>
      <c r="AA211" s="13"/>
      <c r="AB211" s="13" t="s">
        <v>84</v>
      </c>
      <c r="AC211" s="13" t="s">
        <v>3150</v>
      </c>
      <c r="AD211" s="13" t="s">
        <v>82</v>
      </c>
      <c r="AE211" s="13"/>
      <c r="AF211" s="13"/>
      <c r="AG211" s="13" t="s">
        <v>84</v>
      </c>
      <c r="AH211" s="13" t="s">
        <v>3151</v>
      </c>
      <c r="AI211" s="13" t="s">
        <v>84</v>
      </c>
      <c r="AJ211" s="13"/>
      <c r="AK211" s="13" t="s">
        <v>3152</v>
      </c>
      <c r="AL211" s="13" t="s">
        <v>140</v>
      </c>
      <c r="AM211" s="13" t="s">
        <v>91</v>
      </c>
      <c r="AN211" s="13"/>
      <c r="AO211" s="13" t="s">
        <v>80</v>
      </c>
      <c r="AP211" s="58"/>
      <c r="AQ211" s="13" t="s">
        <v>80</v>
      </c>
      <c r="AR211" s="13" t="s">
        <v>80</v>
      </c>
      <c r="AS211" s="13" t="s">
        <v>80</v>
      </c>
      <c r="AT211" s="13" t="s">
        <v>80</v>
      </c>
      <c r="AU211" s="13"/>
      <c r="AV211" s="58"/>
      <c r="AW211" s="13" t="s">
        <v>84</v>
      </c>
      <c r="AX211" s="13" t="s">
        <v>84</v>
      </c>
      <c r="AY211" s="13" t="s">
        <v>84</v>
      </c>
      <c r="AZ211" s="13" t="s">
        <v>84</v>
      </c>
      <c r="BA211" s="13"/>
      <c r="BB211" s="13" t="s">
        <v>84</v>
      </c>
      <c r="BC211" s="13" t="s">
        <v>80</v>
      </c>
      <c r="BD211" s="13" t="s">
        <v>100</v>
      </c>
      <c r="BE211" s="13" t="s">
        <v>113</v>
      </c>
      <c r="BF211" s="13" t="s">
        <v>340</v>
      </c>
      <c r="BG211" s="13" t="s">
        <v>82</v>
      </c>
      <c r="BH211" s="13" t="s">
        <v>84</v>
      </c>
      <c r="BI211" s="13" t="s">
        <v>3153</v>
      </c>
      <c r="BJ211" s="13" t="s">
        <v>84</v>
      </c>
      <c r="BK211" s="13" t="s">
        <v>80</v>
      </c>
      <c r="BL211" s="13">
        <v>5</v>
      </c>
      <c r="BM211" s="13">
        <v>4</v>
      </c>
      <c r="BN211" s="13">
        <v>4</v>
      </c>
      <c r="BO211" s="13">
        <v>4</v>
      </c>
      <c r="BP211" s="13">
        <v>4</v>
      </c>
      <c r="BQ211" s="13">
        <v>4</v>
      </c>
      <c r="BR211" s="58"/>
      <c r="BS211" s="13" t="s">
        <v>99</v>
      </c>
      <c r="BT211" s="13"/>
      <c r="BU211" s="13"/>
      <c r="BV211" s="13"/>
      <c r="BW211" s="58"/>
      <c r="BX211" s="13" t="s">
        <v>84</v>
      </c>
      <c r="BY211" s="13" t="s">
        <v>3154</v>
      </c>
      <c r="BZ211" s="13" t="s">
        <v>82</v>
      </c>
      <c r="CA211" s="13"/>
      <c r="CB211" s="13" t="s">
        <v>84</v>
      </c>
      <c r="CC211" s="13" t="s">
        <v>3155</v>
      </c>
      <c r="CD211" s="13" t="s">
        <v>82</v>
      </c>
      <c r="CE211" s="13"/>
      <c r="CF211" s="13"/>
      <c r="CG211" s="13"/>
      <c r="CH211" s="58"/>
      <c r="CI211" s="13" t="s">
        <v>82</v>
      </c>
      <c r="CJ211" s="13"/>
      <c r="CK211" s="13" t="s">
        <v>82</v>
      </c>
      <c r="CL211" s="13"/>
      <c r="CM211" s="13" t="s">
        <v>84</v>
      </c>
      <c r="CN211" s="13" t="s">
        <v>3156</v>
      </c>
      <c r="CO211" s="13"/>
      <c r="CP211" s="13"/>
      <c r="CQ211" s="13" t="s">
        <v>99</v>
      </c>
      <c r="CR211" s="13" t="s">
        <v>80</v>
      </c>
      <c r="CS211" s="13" t="s">
        <v>97</v>
      </c>
      <c r="CT211" s="13"/>
      <c r="CU211" s="13" t="s">
        <v>246</v>
      </c>
      <c r="CV211" s="13"/>
      <c r="CW211" s="13" t="s">
        <v>82</v>
      </c>
      <c r="CX211" s="13"/>
      <c r="CY211" s="13" t="s">
        <v>246</v>
      </c>
      <c r="CZ211" s="13"/>
      <c r="DA211" s="13" t="s">
        <v>82</v>
      </c>
      <c r="DB211" s="13"/>
      <c r="DC211" s="13" t="s">
        <v>84</v>
      </c>
      <c r="DD211" s="13" t="s">
        <v>84</v>
      </c>
      <c r="DE211" s="58"/>
      <c r="DF211" s="58"/>
      <c r="DG211" s="13">
        <v>2</v>
      </c>
      <c r="DH211" s="13">
        <v>2</v>
      </c>
      <c r="DI211" s="13">
        <v>3</v>
      </c>
      <c r="DJ211" s="13">
        <v>1</v>
      </c>
      <c r="DK211" s="13">
        <v>1</v>
      </c>
      <c r="DL211" s="13">
        <v>3</v>
      </c>
      <c r="DM211" s="13">
        <v>1</v>
      </c>
      <c r="DN211" s="13">
        <v>1</v>
      </c>
      <c r="DO211" s="13">
        <v>4</v>
      </c>
      <c r="DP211" s="13">
        <v>3</v>
      </c>
      <c r="DQ211" s="13">
        <v>2</v>
      </c>
      <c r="DR211" s="13">
        <v>2</v>
      </c>
      <c r="DS211" s="13" t="s">
        <v>118</v>
      </c>
      <c r="DT211" s="13" t="s">
        <v>84</v>
      </c>
      <c r="DU211" s="13"/>
      <c r="DV211" s="13" t="s">
        <v>82</v>
      </c>
      <c r="DW211" s="13" t="s">
        <v>112</v>
      </c>
      <c r="DX211" s="13" t="s">
        <v>81</v>
      </c>
      <c r="DY211" s="13" t="s">
        <v>3157</v>
      </c>
      <c r="DZ211" s="13" t="s">
        <v>100</v>
      </c>
      <c r="EA211" s="13" t="s">
        <v>3158</v>
      </c>
      <c r="EB211" s="13" t="s">
        <v>82</v>
      </c>
      <c r="EC211" s="13"/>
      <c r="ED211" s="13" t="s">
        <v>81</v>
      </c>
      <c r="EE211" s="13" t="s">
        <v>3159</v>
      </c>
      <c r="EF211" s="13" t="s">
        <v>84</v>
      </c>
      <c r="EG211" s="13" t="s">
        <v>82</v>
      </c>
      <c r="EH211" s="13" t="s">
        <v>82</v>
      </c>
      <c r="EI211" s="13"/>
      <c r="EJ211" s="13" t="s">
        <v>3160</v>
      </c>
      <c r="EK211" s="13" t="s">
        <v>3161</v>
      </c>
      <c r="EL211" s="13" t="s">
        <v>3162</v>
      </c>
      <c r="EM211" s="9">
        <v>779.85</v>
      </c>
      <c r="EN211" s="9">
        <v>6.8</v>
      </c>
      <c r="EQ211" s="9">
        <v>81.08</v>
      </c>
      <c r="EW211" s="9">
        <v>80.06</v>
      </c>
      <c r="FF211" s="9">
        <v>25.71</v>
      </c>
      <c r="FJ211" s="9">
        <v>13.74</v>
      </c>
      <c r="FP211" s="9">
        <v>32.340000000000003</v>
      </c>
      <c r="FV211" s="9">
        <v>100.2</v>
      </c>
      <c r="GC211" s="9">
        <v>193.89</v>
      </c>
      <c r="GT211" s="9">
        <v>13.31</v>
      </c>
      <c r="GX211" s="9">
        <v>51.93</v>
      </c>
      <c r="HB211" s="9">
        <v>180.79</v>
      </c>
      <c r="HQ211" s="62">
        <f t="shared" si="17"/>
        <v>779.85</v>
      </c>
      <c r="HR211" s="62">
        <f t="shared" si="18"/>
        <v>12.9975</v>
      </c>
    </row>
    <row r="212" spans="1:236" s="9" customFormat="1" ht="12.75" x14ac:dyDescent="0.2">
      <c r="A212" s="11">
        <v>271</v>
      </c>
      <c r="B212" s="9">
        <v>316</v>
      </c>
      <c r="C212" s="9" t="s">
        <v>83</v>
      </c>
      <c r="D212" s="9">
        <v>11</v>
      </c>
      <c r="E212" s="9" t="s">
        <v>79</v>
      </c>
      <c r="F212" s="9">
        <v>1393424017</v>
      </c>
      <c r="G212" s="9" t="s">
        <v>81</v>
      </c>
      <c r="H212" s="9" t="s">
        <v>84</v>
      </c>
      <c r="I212" s="13" t="s">
        <v>161</v>
      </c>
      <c r="J212" s="13"/>
      <c r="K212" s="58"/>
      <c r="L212" s="58"/>
      <c r="M212" s="13" t="s">
        <v>1319</v>
      </c>
      <c r="N212" s="13" t="s">
        <v>86</v>
      </c>
      <c r="O212" s="13"/>
      <c r="P212" s="13" t="s">
        <v>87</v>
      </c>
      <c r="Q212" s="13" t="s">
        <v>1296</v>
      </c>
      <c r="R212" s="58"/>
      <c r="S212" s="13" t="s">
        <v>84</v>
      </c>
      <c r="T212" s="13" t="s">
        <v>84</v>
      </c>
      <c r="U212" s="13" t="s">
        <v>82</v>
      </c>
      <c r="V212" s="13" t="s">
        <v>82</v>
      </c>
      <c r="W212" s="13" t="s">
        <v>82</v>
      </c>
      <c r="X212" s="13" t="s">
        <v>82</v>
      </c>
      <c r="Y212" s="13" t="s">
        <v>82</v>
      </c>
      <c r="Z212" s="13" t="s">
        <v>82</v>
      </c>
      <c r="AA212" s="13"/>
      <c r="AB212" s="13" t="s">
        <v>82</v>
      </c>
      <c r="AC212" s="13"/>
      <c r="AD212" s="13" t="s">
        <v>82</v>
      </c>
      <c r="AE212" s="13"/>
      <c r="AF212" s="13"/>
      <c r="AG212" s="13" t="s">
        <v>84</v>
      </c>
      <c r="AH212" s="13"/>
      <c r="AI212" s="13" t="s">
        <v>82</v>
      </c>
      <c r="AJ212" s="13" t="s">
        <v>3163</v>
      </c>
      <c r="AK212" s="13"/>
      <c r="AL212" s="13" t="s">
        <v>90</v>
      </c>
      <c r="AM212" s="13" t="s">
        <v>91</v>
      </c>
      <c r="AN212" s="13"/>
      <c r="AO212" s="13" t="s">
        <v>80</v>
      </c>
      <c r="AP212" s="58"/>
      <c r="AQ212" s="13" t="s">
        <v>80</v>
      </c>
      <c r="AR212" s="13" t="s">
        <v>80</v>
      </c>
      <c r="AS212" s="13" t="s">
        <v>80</v>
      </c>
      <c r="AT212" s="13" t="s">
        <v>80</v>
      </c>
      <c r="AU212" s="13"/>
      <c r="AV212" s="58"/>
      <c r="AW212" s="13" t="s">
        <v>84</v>
      </c>
      <c r="AX212" s="13" t="s">
        <v>82</v>
      </c>
      <c r="AY212" s="13" t="s">
        <v>82</v>
      </c>
      <c r="AZ212" s="13" t="s">
        <v>82</v>
      </c>
      <c r="BA212" s="13"/>
      <c r="BB212" s="13" t="s">
        <v>84</v>
      </c>
      <c r="BC212" s="13" t="s">
        <v>80</v>
      </c>
      <c r="BD212" s="13" t="s">
        <v>93</v>
      </c>
      <c r="BE212" s="13" t="s">
        <v>93</v>
      </c>
      <c r="BF212" s="13" t="s">
        <v>100</v>
      </c>
      <c r="BG212" s="13" t="s">
        <v>84</v>
      </c>
      <c r="BH212" s="13" t="s">
        <v>84</v>
      </c>
      <c r="BI212" s="13" t="s">
        <v>3164</v>
      </c>
      <c r="BJ212" s="13" t="s">
        <v>84</v>
      </c>
      <c r="BK212" s="13" t="s">
        <v>80</v>
      </c>
      <c r="BL212" s="13">
        <v>5</v>
      </c>
      <c r="BM212" s="13">
        <v>5</v>
      </c>
      <c r="BN212" s="13">
        <v>1</v>
      </c>
      <c r="BO212" s="13">
        <v>1</v>
      </c>
      <c r="BP212" s="13">
        <v>5</v>
      </c>
      <c r="BQ212" s="13">
        <v>5</v>
      </c>
      <c r="BR212" s="58"/>
      <c r="BS212" s="13" t="s">
        <v>99</v>
      </c>
      <c r="BT212" s="13"/>
      <c r="BU212" s="13"/>
      <c r="BV212" s="13"/>
      <c r="BW212" s="58"/>
      <c r="BX212" s="13" t="s">
        <v>82</v>
      </c>
      <c r="BY212" s="13"/>
      <c r="BZ212" s="13" t="s">
        <v>84</v>
      </c>
      <c r="CA212" s="13"/>
      <c r="CB212" s="13" t="s">
        <v>82</v>
      </c>
      <c r="CC212" s="13"/>
      <c r="CD212" s="13" t="s">
        <v>84</v>
      </c>
      <c r="CE212" s="13" t="s">
        <v>3165</v>
      </c>
      <c r="CF212" s="13"/>
      <c r="CG212" s="13"/>
      <c r="CH212" s="58"/>
      <c r="CI212" s="13" t="s">
        <v>84</v>
      </c>
      <c r="CJ212" s="13" t="s">
        <v>3166</v>
      </c>
      <c r="CK212" s="13" t="s">
        <v>82</v>
      </c>
      <c r="CL212" s="13"/>
      <c r="CM212" s="13" t="s">
        <v>82</v>
      </c>
      <c r="CN212" s="13"/>
      <c r="CO212" s="13"/>
      <c r="CP212" s="13"/>
      <c r="CQ212" s="13" t="s">
        <v>99</v>
      </c>
      <c r="CR212" s="13" t="s">
        <v>80</v>
      </c>
      <c r="CS212" s="13" t="s">
        <v>1312</v>
      </c>
      <c r="CT212" s="13"/>
      <c r="CU212" s="13" t="s">
        <v>81</v>
      </c>
      <c r="CV212" s="13"/>
      <c r="CW212" s="13" t="s">
        <v>82</v>
      </c>
      <c r="CX212" s="13"/>
      <c r="CY212" s="13" t="s">
        <v>246</v>
      </c>
      <c r="CZ212" s="13"/>
      <c r="DA212" s="13" t="s">
        <v>84</v>
      </c>
      <c r="DB212" s="13" t="s">
        <v>3167</v>
      </c>
      <c r="DC212" s="13" t="s">
        <v>84</v>
      </c>
      <c r="DD212" s="13" t="s">
        <v>84</v>
      </c>
      <c r="DE212" s="58"/>
      <c r="DF212" s="58"/>
      <c r="DG212" s="13">
        <v>1</v>
      </c>
      <c r="DH212" s="13">
        <v>4</v>
      </c>
      <c r="DI212" s="13">
        <v>1</v>
      </c>
      <c r="DJ212" s="13">
        <v>4</v>
      </c>
      <c r="DK212" s="13">
        <v>2</v>
      </c>
      <c r="DL212" s="13">
        <v>4</v>
      </c>
      <c r="DM212" s="13">
        <v>1</v>
      </c>
      <c r="DN212" s="13">
        <v>4</v>
      </c>
      <c r="DO212" s="13">
        <v>1</v>
      </c>
      <c r="DP212" s="13">
        <v>3</v>
      </c>
      <c r="DQ212" s="13">
        <v>1</v>
      </c>
      <c r="DR212" s="13">
        <v>3</v>
      </c>
      <c r="DS212" s="13" t="s">
        <v>99</v>
      </c>
      <c r="DT212" s="13" t="s">
        <v>106</v>
      </c>
      <c r="DU212" s="13"/>
      <c r="DV212" s="13" t="s">
        <v>84</v>
      </c>
      <c r="DW212" s="13" t="s">
        <v>93</v>
      </c>
      <c r="DX212" s="13" t="s">
        <v>246</v>
      </c>
      <c r="DY212" s="13" t="s">
        <v>3168</v>
      </c>
      <c r="DZ212" s="13" t="s">
        <v>93</v>
      </c>
      <c r="EA212" s="13" t="s">
        <v>3169</v>
      </c>
      <c r="EB212" s="13" t="s">
        <v>84</v>
      </c>
      <c r="EC212" s="13" t="s">
        <v>3170</v>
      </c>
      <c r="ED212" s="13"/>
      <c r="EE212" s="13"/>
      <c r="EF212" s="13" t="s">
        <v>84</v>
      </c>
      <c r="EG212" s="13" t="s">
        <v>82</v>
      </c>
      <c r="EH212" s="13" t="s">
        <v>82</v>
      </c>
      <c r="EI212" s="13"/>
      <c r="EJ212" s="13"/>
      <c r="EK212" s="13" t="s">
        <v>3171</v>
      </c>
      <c r="EL212" s="13"/>
      <c r="EM212" s="9">
        <v>1051.68</v>
      </c>
      <c r="EN212" s="9">
        <v>5.94</v>
      </c>
      <c r="EQ212" s="9">
        <v>17.18</v>
      </c>
      <c r="EW212" s="9">
        <v>14.14</v>
      </c>
      <c r="FF212" s="9">
        <v>113.49</v>
      </c>
      <c r="FJ212" s="9">
        <v>10.64</v>
      </c>
      <c r="FP212" s="9">
        <v>25.38</v>
      </c>
      <c r="FV212" s="9">
        <v>129.93</v>
      </c>
      <c r="GC212" s="9">
        <v>326.04000000000002</v>
      </c>
      <c r="GT212" s="9">
        <v>20.329999999999998</v>
      </c>
      <c r="GX212" s="9">
        <v>37.53</v>
      </c>
      <c r="HB212" s="9">
        <v>351.08</v>
      </c>
      <c r="HQ212" s="62">
        <f t="shared" si="17"/>
        <v>1051.68</v>
      </c>
      <c r="HR212" s="62">
        <f t="shared" si="18"/>
        <v>17.528000000000002</v>
      </c>
    </row>
    <row r="213" spans="1:236" s="9" customFormat="1" ht="12.75" x14ac:dyDescent="0.2">
      <c r="A213" s="11">
        <v>272</v>
      </c>
      <c r="B213" s="9">
        <v>317</v>
      </c>
      <c r="C213" s="9" t="s">
        <v>83</v>
      </c>
      <c r="D213" s="9">
        <v>11</v>
      </c>
      <c r="E213" s="9" t="s">
        <v>79</v>
      </c>
      <c r="F213" s="9">
        <v>1781393289</v>
      </c>
      <c r="G213" s="9" t="s">
        <v>81</v>
      </c>
      <c r="H213" s="9" t="s">
        <v>84</v>
      </c>
      <c r="I213" s="13" t="s">
        <v>119</v>
      </c>
      <c r="J213" s="13" t="s">
        <v>3172</v>
      </c>
      <c r="K213" s="58"/>
      <c r="L213" s="58"/>
      <c r="M213" s="13" t="s">
        <v>1294</v>
      </c>
      <c r="N213" s="13" t="s">
        <v>618</v>
      </c>
      <c r="O213" s="13"/>
      <c r="P213" s="13" t="s">
        <v>87</v>
      </c>
      <c r="Q213" s="13" t="s">
        <v>1296</v>
      </c>
      <c r="R213" s="58"/>
      <c r="S213" s="13" t="s">
        <v>84</v>
      </c>
      <c r="T213" s="13" t="s">
        <v>84</v>
      </c>
      <c r="U213" s="13" t="s">
        <v>84</v>
      </c>
      <c r="V213" s="13" t="s">
        <v>82</v>
      </c>
      <c r="W213" s="13" t="s">
        <v>82</v>
      </c>
      <c r="X213" s="13" t="s">
        <v>84</v>
      </c>
      <c r="Y213" s="13" t="s">
        <v>82</v>
      </c>
      <c r="Z213" s="13" t="s">
        <v>84</v>
      </c>
      <c r="AA213" s="13"/>
      <c r="AB213" s="13" t="s">
        <v>82</v>
      </c>
      <c r="AC213" s="13"/>
      <c r="AD213" s="13" t="s">
        <v>84</v>
      </c>
      <c r="AE213" s="13" t="s">
        <v>3173</v>
      </c>
      <c r="AF213" s="13"/>
      <c r="AG213" s="13" t="s">
        <v>80</v>
      </c>
      <c r="AH213" s="13"/>
      <c r="AI213" s="13" t="s">
        <v>84</v>
      </c>
      <c r="AJ213" s="13"/>
      <c r="AK213" s="13" t="s">
        <v>3174</v>
      </c>
      <c r="AL213" s="13" t="s">
        <v>126</v>
      </c>
      <c r="AM213" s="13" t="s">
        <v>111</v>
      </c>
      <c r="AN213" s="13"/>
      <c r="AO213" s="13" t="s">
        <v>80</v>
      </c>
      <c r="AP213" s="58"/>
      <c r="AQ213" s="13" t="s">
        <v>84</v>
      </c>
      <c r="AR213" s="13" t="s">
        <v>84</v>
      </c>
      <c r="AS213" s="13" t="s">
        <v>84</v>
      </c>
      <c r="AT213" s="13" t="s">
        <v>84</v>
      </c>
      <c r="AU213" s="13"/>
      <c r="AV213" s="58"/>
      <c r="AW213" s="13" t="s">
        <v>80</v>
      </c>
      <c r="AX213" s="13" t="s">
        <v>80</v>
      </c>
      <c r="AY213" s="13" t="s">
        <v>80</v>
      </c>
      <c r="AZ213" s="13" t="s">
        <v>80</v>
      </c>
      <c r="BA213" s="13"/>
      <c r="BB213" s="13" t="s">
        <v>84</v>
      </c>
      <c r="BC213" s="13" t="s">
        <v>80</v>
      </c>
      <c r="BD213" s="13" t="s">
        <v>100</v>
      </c>
      <c r="BE213" s="13" t="s">
        <v>100</v>
      </c>
      <c r="BF213" s="13" t="s">
        <v>112</v>
      </c>
      <c r="BG213" s="13" t="s">
        <v>82</v>
      </c>
      <c r="BH213" s="13" t="s">
        <v>84</v>
      </c>
      <c r="BI213" s="13" t="s">
        <v>3175</v>
      </c>
      <c r="BJ213" s="13" t="s">
        <v>84</v>
      </c>
      <c r="BK213" s="13" t="s">
        <v>80</v>
      </c>
      <c r="BL213" s="13">
        <v>2</v>
      </c>
      <c r="BM213" s="13">
        <v>1</v>
      </c>
      <c r="BN213" s="13">
        <v>2</v>
      </c>
      <c r="BO213" s="13">
        <v>1</v>
      </c>
      <c r="BP213" s="13">
        <v>3</v>
      </c>
      <c r="BQ213" s="13">
        <v>1</v>
      </c>
      <c r="BR213" s="58"/>
      <c r="BS213" s="13" t="s">
        <v>118</v>
      </c>
      <c r="BT213" s="13"/>
      <c r="BU213" s="13"/>
      <c r="BV213" s="13"/>
      <c r="BW213" s="58"/>
      <c r="BX213" s="13" t="s">
        <v>84</v>
      </c>
      <c r="BY213" s="13"/>
      <c r="BZ213" s="13" t="s">
        <v>84</v>
      </c>
      <c r="CA213" s="13"/>
      <c r="CB213" s="13" t="s">
        <v>82</v>
      </c>
      <c r="CC213" s="13"/>
      <c r="CD213" s="13" t="s">
        <v>84</v>
      </c>
      <c r="CE213" s="13"/>
      <c r="CF213" s="13"/>
      <c r="CG213" s="13"/>
      <c r="CH213" s="58"/>
      <c r="CI213" s="13" t="s">
        <v>84</v>
      </c>
      <c r="CJ213" s="13"/>
      <c r="CK213" s="13" t="s">
        <v>84</v>
      </c>
      <c r="CL213" s="13"/>
      <c r="CM213" s="13" t="s">
        <v>82</v>
      </c>
      <c r="CN213" s="13"/>
      <c r="CO213" s="13"/>
      <c r="CP213" s="13"/>
      <c r="CQ213" s="13" t="s">
        <v>118</v>
      </c>
      <c r="CR213" s="13" t="s">
        <v>82</v>
      </c>
      <c r="CS213" s="13" t="s">
        <v>702</v>
      </c>
      <c r="CT213" s="13" t="s">
        <v>3176</v>
      </c>
      <c r="CU213" s="13"/>
      <c r="CV213" s="13"/>
      <c r="CW213" s="13" t="s">
        <v>84</v>
      </c>
      <c r="CX213" s="13" t="s">
        <v>3177</v>
      </c>
      <c r="CY213" s="13"/>
      <c r="CZ213" s="13"/>
      <c r="DA213" s="13" t="s">
        <v>82</v>
      </c>
      <c r="DB213" s="13"/>
      <c r="DC213" s="13" t="s">
        <v>84</v>
      </c>
      <c r="DD213" s="13" t="s">
        <v>84</v>
      </c>
      <c r="DE213" s="58"/>
      <c r="DF213" s="58"/>
      <c r="DG213" s="13">
        <v>1</v>
      </c>
      <c r="DH213" s="13">
        <v>1</v>
      </c>
      <c r="DI213" s="13">
        <v>2</v>
      </c>
      <c r="DJ213" s="13">
        <v>1</v>
      </c>
      <c r="DK213" s="13">
        <v>3</v>
      </c>
      <c r="DL213" s="13">
        <v>2</v>
      </c>
      <c r="DM213" s="13">
        <v>1</v>
      </c>
      <c r="DN213" s="13">
        <v>1</v>
      </c>
      <c r="DO213" s="13">
        <v>2</v>
      </c>
      <c r="DP213" s="13">
        <v>1</v>
      </c>
      <c r="DQ213" s="13">
        <v>2</v>
      </c>
      <c r="DR213" s="13">
        <v>1</v>
      </c>
      <c r="DS213" s="13" t="s">
        <v>99</v>
      </c>
      <c r="DT213" s="13" t="s">
        <v>82</v>
      </c>
      <c r="DU213" s="13"/>
      <c r="DV213" s="13" t="s">
        <v>84</v>
      </c>
      <c r="DW213" s="13" t="s">
        <v>113</v>
      </c>
      <c r="DX213" s="13" t="s">
        <v>81</v>
      </c>
      <c r="DY213" s="13"/>
      <c r="DZ213" s="13" t="s">
        <v>113</v>
      </c>
      <c r="EA213" s="13"/>
      <c r="EB213" s="13" t="s">
        <v>82</v>
      </c>
      <c r="EC213" s="13"/>
      <c r="ED213" s="13" t="s">
        <v>81</v>
      </c>
      <c r="EE213" s="13"/>
      <c r="EF213" s="13" t="s">
        <v>84</v>
      </c>
      <c r="EG213" s="13" t="s">
        <v>84</v>
      </c>
      <c r="EH213" s="13" t="s">
        <v>82</v>
      </c>
      <c r="EI213" s="13"/>
      <c r="EJ213" s="13"/>
      <c r="EK213" s="13" t="s">
        <v>3178</v>
      </c>
      <c r="EL213" s="13"/>
      <c r="EM213" s="9">
        <v>980.99</v>
      </c>
      <c r="EN213" s="9">
        <v>30.96</v>
      </c>
      <c r="EQ213" s="9">
        <v>70.94</v>
      </c>
      <c r="EW213" s="9">
        <v>86.24</v>
      </c>
      <c r="FF213" s="9">
        <v>58.84</v>
      </c>
      <c r="FJ213" s="9">
        <v>16.39</v>
      </c>
      <c r="FP213" s="9">
        <v>43.53</v>
      </c>
      <c r="FV213" s="9">
        <v>100.62</v>
      </c>
      <c r="GC213" s="9">
        <v>366.64</v>
      </c>
      <c r="GT213" s="9">
        <v>14.3</v>
      </c>
      <c r="GX213" s="9">
        <v>21.87</v>
      </c>
      <c r="HB213" s="9">
        <v>170.66</v>
      </c>
      <c r="HQ213" s="62">
        <f t="shared" si="17"/>
        <v>980.99</v>
      </c>
      <c r="HR213" s="62">
        <f t="shared" si="18"/>
        <v>16.349833333333333</v>
      </c>
    </row>
    <row r="214" spans="1:236" ht="12.95" customHeight="1" x14ac:dyDescent="0.2">
      <c r="A214" s="11">
        <v>273</v>
      </c>
      <c r="B214" s="9">
        <v>318</v>
      </c>
      <c r="C214" s="9" t="s">
        <v>83</v>
      </c>
      <c r="D214" s="9">
        <v>11</v>
      </c>
      <c r="E214" s="9" t="s">
        <v>79</v>
      </c>
      <c r="F214" s="9">
        <v>1842906231</v>
      </c>
      <c r="G214" s="9" t="s">
        <v>81</v>
      </c>
      <c r="H214" s="9" t="s">
        <v>84</v>
      </c>
      <c r="I214" s="13" t="s">
        <v>119</v>
      </c>
      <c r="J214" s="13" t="s">
        <v>3579</v>
      </c>
      <c r="M214" s="13" t="s">
        <v>1294</v>
      </c>
      <c r="N214" s="13" t="s">
        <v>106</v>
      </c>
      <c r="O214" s="13"/>
      <c r="P214" s="13" t="s">
        <v>253</v>
      </c>
      <c r="Q214" s="13" t="s">
        <v>1296</v>
      </c>
      <c r="S214" s="13" t="s">
        <v>84</v>
      </c>
      <c r="T214" s="13" t="s">
        <v>84</v>
      </c>
      <c r="U214" s="13" t="s">
        <v>84</v>
      </c>
      <c r="V214" s="13" t="s">
        <v>82</v>
      </c>
      <c r="W214" s="13" t="s">
        <v>82</v>
      </c>
      <c r="X214" s="13" t="s">
        <v>82</v>
      </c>
      <c r="Y214" s="13" t="s">
        <v>82</v>
      </c>
      <c r="Z214" s="13" t="s">
        <v>84</v>
      </c>
      <c r="AA214" s="13"/>
      <c r="AB214" s="13" t="s">
        <v>82</v>
      </c>
      <c r="AC214" s="13"/>
      <c r="AD214" s="13" t="s">
        <v>82</v>
      </c>
      <c r="AE214" s="13"/>
      <c r="AF214" s="13"/>
      <c r="AG214" s="13" t="s">
        <v>82</v>
      </c>
      <c r="AH214" s="13"/>
      <c r="AI214" s="13" t="s">
        <v>145</v>
      </c>
      <c r="AJ214" s="13" t="s">
        <v>3580</v>
      </c>
      <c r="AK214" s="13"/>
      <c r="AL214" s="13" t="s">
        <v>126</v>
      </c>
      <c r="AM214" s="13" t="s">
        <v>111</v>
      </c>
      <c r="AN214" s="13"/>
      <c r="AO214" s="13" t="s">
        <v>80</v>
      </c>
      <c r="AQ214" s="13" t="s">
        <v>84</v>
      </c>
      <c r="AR214" s="13" t="s">
        <v>84</v>
      </c>
      <c r="AS214" s="13" t="s">
        <v>84</v>
      </c>
      <c r="AT214" s="13" t="s">
        <v>84</v>
      </c>
      <c r="AU214" s="13"/>
      <c r="AW214" s="13" t="s">
        <v>80</v>
      </c>
      <c r="AX214" s="13" t="s">
        <v>80</v>
      </c>
      <c r="AY214" s="13" t="s">
        <v>80</v>
      </c>
      <c r="AZ214" s="13" t="s">
        <v>80</v>
      </c>
      <c r="BA214" s="13"/>
      <c r="BB214" s="13" t="s">
        <v>84</v>
      </c>
      <c r="BC214" s="13" t="s">
        <v>80</v>
      </c>
      <c r="BD214" s="13" t="s">
        <v>113</v>
      </c>
      <c r="BE214" s="13" t="s">
        <v>100</v>
      </c>
      <c r="BF214" s="13" t="s">
        <v>340</v>
      </c>
      <c r="BG214" s="13" t="s">
        <v>84</v>
      </c>
      <c r="BH214" s="13" t="s">
        <v>84</v>
      </c>
      <c r="BI214" s="13" t="s">
        <v>3581</v>
      </c>
      <c r="BJ214" s="13" t="s">
        <v>84</v>
      </c>
      <c r="BK214" s="13" t="s">
        <v>80</v>
      </c>
      <c r="BL214" s="13">
        <v>4</v>
      </c>
      <c r="BM214" s="13">
        <v>4</v>
      </c>
      <c r="BN214" s="13">
        <v>3</v>
      </c>
      <c r="BO214" s="13">
        <v>4</v>
      </c>
      <c r="BP214" s="13">
        <v>3</v>
      </c>
      <c r="BQ214" s="13">
        <v>3</v>
      </c>
      <c r="BS214" s="13" t="s">
        <v>118</v>
      </c>
      <c r="BT214" s="13"/>
      <c r="BU214" s="13"/>
      <c r="BV214" s="13"/>
      <c r="BX214" s="13" t="s">
        <v>84</v>
      </c>
      <c r="BY214" s="13"/>
      <c r="BZ214" s="13" t="s">
        <v>84</v>
      </c>
      <c r="CA214" s="13"/>
      <c r="CB214" s="13" t="s">
        <v>82</v>
      </c>
      <c r="CC214" s="13"/>
      <c r="CD214" s="13" t="s">
        <v>84</v>
      </c>
      <c r="CE214" s="13"/>
      <c r="CF214" s="13"/>
      <c r="CG214" s="13"/>
      <c r="CI214" s="13" t="s">
        <v>84</v>
      </c>
      <c r="CJ214" s="13"/>
      <c r="CK214" s="13" t="s">
        <v>82</v>
      </c>
      <c r="CL214" s="13"/>
      <c r="CM214" s="13" t="s">
        <v>84</v>
      </c>
      <c r="CN214" s="13"/>
      <c r="CO214" s="13"/>
      <c r="CP214" s="13"/>
      <c r="CQ214" s="13" t="s">
        <v>99</v>
      </c>
      <c r="CR214" s="13" t="s">
        <v>80</v>
      </c>
      <c r="CS214" s="13" t="s">
        <v>99</v>
      </c>
      <c r="CT214" s="13"/>
      <c r="CU214" s="13"/>
      <c r="CV214" s="13"/>
      <c r="CW214" s="13" t="s">
        <v>84</v>
      </c>
      <c r="CX214" s="13" t="s">
        <v>3582</v>
      </c>
      <c r="CY214" s="13"/>
      <c r="CZ214" s="13"/>
      <c r="DA214" s="13" t="s">
        <v>84</v>
      </c>
      <c r="DB214" s="13"/>
      <c r="DC214" s="13" t="s">
        <v>84</v>
      </c>
      <c r="DD214" s="13" t="s">
        <v>84</v>
      </c>
      <c r="DG214" s="13">
        <v>5</v>
      </c>
      <c r="DH214" s="13">
        <v>1</v>
      </c>
      <c r="DI214" s="13">
        <v>4</v>
      </c>
      <c r="DJ214" s="13">
        <v>3</v>
      </c>
      <c r="DK214" s="13">
        <v>3</v>
      </c>
      <c r="DL214" s="13">
        <v>3</v>
      </c>
      <c r="DM214" s="13">
        <v>5</v>
      </c>
      <c r="DN214" s="13">
        <v>3</v>
      </c>
      <c r="DO214" s="13">
        <v>4</v>
      </c>
      <c r="DP214" s="13">
        <v>3</v>
      </c>
      <c r="DQ214" s="13">
        <v>5</v>
      </c>
      <c r="DR214" s="13">
        <v>3</v>
      </c>
      <c r="DS214" s="13" t="s">
        <v>99</v>
      </c>
      <c r="DT214" s="13" t="s">
        <v>84</v>
      </c>
      <c r="DU214" s="13"/>
      <c r="DV214" s="13" t="s">
        <v>84</v>
      </c>
      <c r="DW214" s="13" t="s">
        <v>100</v>
      </c>
      <c r="DX214" s="13" t="s">
        <v>81</v>
      </c>
      <c r="DY214" s="13"/>
      <c r="DZ214" s="13" t="s">
        <v>93</v>
      </c>
      <c r="EA214" s="13"/>
      <c r="EB214" s="13" t="s">
        <v>84</v>
      </c>
      <c r="EC214" s="13" t="s">
        <v>3583</v>
      </c>
      <c r="ED214" s="13"/>
      <c r="EE214" s="13"/>
      <c r="EF214" s="13" t="s">
        <v>82</v>
      </c>
      <c r="EG214" s="13" t="s">
        <v>84</v>
      </c>
      <c r="EH214" s="13" t="s">
        <v>84</v>
      </c>
      <c r="EI214" s="13" t="s">
        <v>3584</v>
      </c>
      <c r="EJ214" s="13" t="s">
        <v>3585</v>
      </c>
      <c r="EK214" s="13"/>
      <c r="EL214" s="13"/>
      <c r="EM214" s="9">
        <v>1243.23</v>
      </c>
      <c r="EN214" s="9">
        <v>123.59</v>
      </c>
      <c r="EO214" s="9"/>
      <c r="EP214" s="9"/>
      <c r="EQ214" s="9">
        <v>127.7</v>
      </c>
      <c r="ER214" s="9"/>
      <c r="ES214" s="9"/>
      <c r="ET214" s="9"/>
      <c r="EU214" s="9"/>
      <c r="EV214" s="9"/>
      <c r="EW214" s="9">
        <v>71.650000000000006</v>
      </c>
      <c r="EX214" s="9"/>
      <c r="EY214" s="9"/>
      <c r="EZ214" s="9"/>
      <c r="FA214" s="9"/>
      <c r="FB214" s="9"/>
      <c r="FC214" s="9"/>
      <c r="FD214" s="9"/>
      <c r="FE214" s="9"/>
      <c r="FF214" s="9">
        <v>32.61</v>
      </c>
      <c r="FG214" s="9"/>
      <c r="FH214" s="9"/>
      <c r="FI214" s="9"/>
      <c r="FJ214" s="9">
        <v>28.73</v>
      </c>
      <c r="FK214" s="9"/>
      <c r="FL214" s="9"/>
      <c r="FM214" s="9"/>
      <c r="FN214" s="9"/>
      <c r="FO214" s="9"/>
      <c r="FP214" s="9">
        <v>81.42</v>
      </c>
      <c r="FQ214" s="9"/>
      <c r="FR214" s="9"/>
      <c r="FS214" s="9"/>
      <c r="FT214" s="9"/>
      <c r="FU214" s="9"/>
      <c r="FV214" s="9">
        <v>121.45</v>
      </c>
      <c r="FW214" s="9"/>
      <c r="FX214" s="9"/>
      <c r="FY214" s="9"/>
      <c r="FZ214" s="9"/>
      <c r="GA214" s="9"/>
      <c r="GB214" s="9"/>
      <c r="GC214" s="9">
        <v>342.98</v>
      </c>
      <c r="GD214" s="9"/>
      <c r="GE214" s="9"/>
      <c r="GF214" s="9"/>
      <c r="GG214" s="9"/>
      <c r="GH214" s="9"/>
      <c r="GI214" s="9"/>
      <c r="GJ214" s="9"/>
      <c r="GK214" s="9"/>
      <c r="GL214" s="9"/>
      <c r="GM214" s="9"/>
      <c r="GN214" s="9"/>
      <c r="GO214" s="9"/>
      <c r="GP214" s="9"/>
      <c r="GQ214" s="9"/>
      <c r="GR214" s="9"/>
      <c r="GS214" s="9"/>
      <c r="GT214" s="9">
        <v>19.39</v>
      </c>
      <c r="GU214" s="9"/>
      <c r="GV214" s="9"/>
      <c r="GW214" s="9"/>
      <c r="GX214" s="9">
        <v>26.94</v>
      </c>
      <c r="GY214" s="9"/>
      <c r="GZ214" s="9"/>
      <c r="HA214" s="9"/>
      <c r="HB214" s="9">
        <v>266.77</v>
      </c>
      <c r="HC214" s="9"/>
      <c r="HD214" s="9"/>
      <c r="HE214" s="9"/>
      <c r="HF214" s="9"/>
      <c r="HG214" s="9"/>
      <c r="HH214" s="9"/>
      <c r="HI214" s="9"/>
      <c r="HJ214" s="9"/>
      <c r="HK214" s="9"/>
      <c r="HL214" s="9"/>
      <c r="HM214" s="9"/>
      <c r="HN214" s="9"/>
      <c r="HO214" s="9"/>
      <c r="HP214" s="9"/>
      <c r="HQ214" s="62">
        <f t="shared" si="17"/>
        <v>1243.23</v>
      </c>
      <c r="HR214" s="62">
        <f t="shared" si="18"/>
        <v>20.720500000000001</v>
      </c>
      <c r="HS214" s="9"/>
      <c r="HT214" s="9"/>
      <c r="HW214" s="9"/>
      <c r="HX214" s="9"/>
      <c r="HY214" s="9"/>
      <c r="HZ214" s="9"/>
      <c r="IA214" s="9"/>
      <c r="IB214" s="9"/>
    </row>
    <row r="215" spans="1:236" ht="12.95" customHeight="1" x14ac:dyDescent="0.2">
      <c r="A215" s="11">
        <v>274</v>
      </c>
      <c r="B215" s="9">
        <v>321</v>
      </c>
      <c r="C215" s="9" t="s">
        <v>83</v>
      </c>
      <c r="D215" s="9">
        <v>11</v>
      </c>
      <c r="E215" s="9" t="s">
        <v>79</v>
      </c>
      <c r="F215" s="9">
        <v>1395179536</v>
      </c>
      <c r="G215" s="9" t="s">
        <v>81</v>
      </c>
      <c r="H215" s="9" t="s">
        <v>84</v>
      </c>
      <c r="I215" s="13" t="s">
        <v>363</v>
      </c>
      <c r="J215" s="13"/>
      <c r="M215" s="13" t="s">
        <v>1294</v>
      </c>
      <c r="N215" s="13" t="s">
        <v>106</v>
      </c>
      <c r="O215" s="13"/>
      <c r="P215" s="13" t="s">
        <v>195</v>
      </c>
      <c r="Q215" s="13" t="s">
        <v>1296</v>
      </c>
      <c r="S215" s="13" t="s">
        <v>84</v>
      </c>
      <c r="T215" s="13" t="s">
        <v>84</v>
      </c>
      <c r="U215" s="13" t="s">
        <v>84</v>
      </c>
      <c r="V215" s="13" t="s">
        <v>82</v>
      </c>
      <c r="W215" s="13" t="s">
        <v>82</v>
      </c>
      <c r="X215" s="13" t="s">
        <v>82</v>
      </c>
      <c r="Y215" s="13" t="s">
        <v>84</v>
      </c>
      <c r="Z215" s="13" t="s">
        <v>82</v>
      </c>
      <c r="AA215" s="13"/>
      <c r="AB215" s="13" t="s">
        <v>82</v>
      </c>
      <c r="AC215" s="13"/>
      <c r="AD215" s="13" t="s">
        <v>82</v>
      </c>
      <c r="AE215" s="13"/>
      <c r="AF215" s="13"/>
      <c r="AG215" s="13" t="s">
        <v>82</v>
      </c>
      <c r="AH215" s="13"/>
      <c r="AI215" s="13" t="s">
        <v>84</v>
      </c>
      <c r="AJ215" s="13"/>
      <c r="AK215" s="13" t="s">
        <v>3586</v>
      </c>
      <c r="AL215" s="13" t="s">
        <v>126</v>
      </c>
      <c r="AM215" s="13" t="s">
        <v>91</v>
      </c>
      <c r="AN215" s="13"/>
      <c r="AO215" s="13" t="s">
        <v>80</v>
      </c>
      <c r="AQ215" s="13" t="s">
        <v>80</v>
      </c>
      <c r="AR215" s="13" t="s">
        <v>80</v>
      </c>
      <c r="AS215" s="13" t="s">
        <v>80</v>
      </c>
      <c r="AT215" s="13" t="s">
        <v>80</v>
      </c>
      <c r="AU215" s="13"/>
      <c r="AW215" s="13" t="s">
        <v>84</v>
      </c>
      <c r="AX215" s="13" t="s">
        <v>84</v>
      </c>
      <c r="AY215" s="13" t="s">
        <v>84</v>
      </c>
      <c r="AZ215" s="13" t="s">
        <v>84</v>
      </c>
      <c r="BA215" s="13"/>
      <c r="BB215" s="13" t="s">
        <v>84</v>
      </c>
      <c r="BC215" s="13" t="s">
        <v>80</v>
      </c>
      <c r="BD215" s="13" t="s">
        <v>93</v>
      </c>
      <c r="BE215" s="13" t="s">
        <v>93</v>
      </c>
      <c r="BF215" s="13" t="s">
        <v>100</v>
      </c>
      <c r="BG215" s="13" t="s">
        <v>84</v>
      </c>
      <c r="BH215" s="13" t="s">
        <v>84</v>
      </c>
      <c r="BI215" s="13" t="s">
        <v>3587</v>
      </c>
      <c r="BJ215" s="13" t="s">
        <v>84</v>
      </c>
      <c r="BK215" s="13" t="s">
        <v>80</v>
      </c>
      <c r="BL215" s="13">
        <v>2</v>
      </c>
      <c r="BM215" s="13">
        <v>1</v>
      </c>
      <c r="BN215" s="13">
        <v>3</v>
      </c>
      <c r="BO215" s="13">
        <v>2</v>
      </c>
      <c r="BP215" s="13">
        <v>4</v>
      </c>
      <c r="BQ215" s="13">
        <v>2</v>
      </c>
      <c r="BS215" s="13" t="s">
        <v>99</v>
      </c>
      <c r="BT215" s="13"/>
      <c r="BU215" s="13"/>
      <c r="BV215" s="13"/>
      <c r="BX215" s="13" t="s">
        <v>84</v>
      </c>
      <c r="BY215" s="13"/>
      <c r="BZ215" s="13" t="s">
        <v>84</v>
      </c>
      <c r="CA215" s="13"/>
      <c r="CB215" s="13" t="s">
        <v>82</v>
      </c>
      <c r="CC215" s="13"/>
      <c r="CD215" s="13" t="s">
        <v>84</v>
      </c>
      <c r="CE215" s="13"/>
      <c r="CF215" s="13"/>
      <c r="CG215" s="13"/>
      <c r="CI215" s="13" t="s">
        <v>82</v>
      </c>
      <c r="CJ215" s="13"/>
      <c r="CK215" s="13" t="s">
        <v>82</v>
      </c>
      <c r="CL215" s="13"/>
      <c r="CM215" s="13" t="s">
        <v>84</v>
      </c>
      <c r="CN215" s="13"/>
      <c r="CO215" s="13"/>
      <c r="CP215" s="13"/>
      <c r="CQ215" s="13" t="s">
        <v>99</v>
      </c>
      <c r="CR215" s="13" t="s">
        <v>80</v>
      </c>
      <c r="CS215" s="13" t="s">
        <v>99</v>
      </c>
      <c r="CT215" s="13"/>
      <c r="CU215" s="13"/>
      <c r="CV215" s="13"/>
      <c r="CW215" s="13" t="s">
        <v>84</v>
      </c>
      <c r="CX215" s="13" t="s">
        <v>3588</v>
      </c>
      <c r="CY215" s="13"/>
      <c r="CZ215" s="13"/>
      <c r="DA215" s="13" t="s">
        <v>82</v>
      </c>
      <c r="DB215" s="13"/>
      <c r="DC215" s="13" t="s">
        <v>84</v>
      </c>
      <c r="DD215" s="13" t="s">
        <v>84</v>
      </c>
      <c r="DG215" s="13">
        <v>1</v>
      </c>
      <c r="DH215" s="13">
        <v>2</v>
      </c>
      <c r="DI215" s="13">
        <v>1</v>
      </c>
      <c r="DJ215" s="13">
        <v>2</v>
      </c>
      <c r="DK215" s="13">
        <v>1</v>
      </c>
      <c r="DL215" s="13">
        <v>2</v>
      </c>
      <c r="DM215" s="13">
        <v>1</v>
      </c>
      <c r="DN215" s="13">
        <v>2</v>
      </c>
      <c r="DO215" s="13">
        <v>3</v>
      </c>
      <c r="DP215" s="13">
        <v>1</v>
      </c>
      <c r="DQ215" s="13">
        <v>2</v>
      </c>
      <c r="DR215" s="13">
        <v>2</v>
      </c>
      <c r="DS215" s="13" t="s">
        <v>99</v>
      </c>
      <c r="DT215" s="13" t="s">
        <v>84</v>
      </c>
      <c r="DU215" s="13"/>
      <c r="DV215" s="13" t="s">
        <v>84</v>
      </c>
      <c r="DW215" s="13" t="s">
        <v>93</v>
      </c>
      <c r="DX215" s="13" t="s">
        <v>81</v>
      </c>
      <c r="DY215" s="13"/>
      <c r="DZ215" s="13" t="s">
        <v>113</v>
      </c>
      <c r="EA215" s="13" t="s">
        <v>3589</v>
      </c>
      <c r="EB215" s="13" t="s">
        <v>84</v>
      </c>
      <c r="EC215" s="13"/>
      <c r="ED215" s="13"/>
      <c r="EE215" s="13"/>
      <c r="EF215" s="13" t="s">
        <v>84</v>
      </c>
      <c r="EG215" s="13" t="s">
        <v>82</v>
      </c>
      <c r="EH215" s="13" t="s">
        <v>84</v>
      </c>
      <c r="EI215" s="13" t="s">
        <v>3590</v>
      </c>
      <c r="EJ215" s="13" t="s">
        <v>3591</v>
      </c>
      <c r="EK215" s="13" t="s">
        <v>3592</v>
      </c>
      <c r="EL215" s="13" t="s">
        <v>3593</v>
      </c>
      <c r="EM215" s="9">
        <v>4120.45</v>
      </c>
      <c r="EN215" s="9">
        <v>23.56</v>
      </c>
      <c r="EO215" s="9"/>
      <c r="EP215" s="9"/>
      <c r="EQ215" s="9">
        <v>87.57</v>
      </c>
      <c r="ER215" s="9"/>
      <c r="ES215" s="9"/>
      <c r="ET215" s="9"/>
      <c r="EU215" s="9"/>
      <c r="EV215" s="9"/>
      <c r="EW215" s="9">
        <v>67.52</v>
      </c>
      <c r="EX215" s="9"/>
      <c r="EY215" s="9"/>
      <c r="EZ215" s="9"/>
      <c r="FA215" s="9"/>
      <c r="FB215" s="9"/>
      <c r="FC215" s="9"/>
      <c r="FD215" s="9"/>
      <c r="FE215" s="9"/>
      <c r="FF215" s="9">
        <v>416.33</v>
      </c>
      <c r="FG215" s="9"/>
      <c r="FH215" s="9"/>
      <c r="FI215" s="9"/>
      <c r="FJ215" s="9">
        <v>62.62</v>
      </c>
      <c r="FK215" s="9"/>
      <c r="FL215" s="9"/>
      <c r="FM215" s="9"/>
      <c r="FN215" s="9"/>
      <c r="FO215" s="9"/>
      <c r="FP215" s="9">
        <v>135.30000000000001</v>
      </c>
      <c r="FQ215" s="9"/>
      <c r="FR215" s="9"/>
      <c r="FS215" s="9"/>
      <c r="FT215" s="9"/>
      <c r="FU215" s="9"/>
      <c r="FV215" s="9">
        <v>758.87</v>
      </c>
      <c r="FW215" s="9"/>
      <c r="FX215" s="9"/>
      <c r="FY215" s="9"/>
      <c r="FZ215" s="9"/>
      <c r="GA215" s="9"/>
      <c r="GB215" s="9"/>
      <c r="GC215" s="9">
        <v>819.83</v>
      </c>
      <c r="GD215" s="9"/>
      <c r="GE215" s="9"/>
      <c r="GF215" s="9"/>
      <c r="GG215" s="9"/>
      <c r="GH215" s="9"/>
      <c r="GI215" s="9"/>
      <c r="GJ215" s="9"/>
      <c r="GK215" s="9"/>
      <c r="GL215" s="9"/>
      <c r="GM215" s="9"/>
      <c r="GN215" s="9"/>
      <c r="GO215" s="9"/>
      <c r="GP215" s="9"/>
      <c r="GQ215" s="9"/>
      <c r="GR215" s="9"/>
      <c r="GS215" s="9"/>
      <c r="GT215" s="9">
        <v>18.98</v>
      </c>
      <c r="GU215" s="9"/>
      <c r="GV215" s="9"/>
      <c r="GW215" s="9"/>
      <c r="GX215" s="9">
        <v>323.12</v>
      </c>
      <c r="GY215" s="9"/>
      <c r="GZ215" s="9"/>
      <c r="HA215" s="9"/>
      <c r="HB215" s="9">
        <v>1406.75</v>
      </c>
      <c r="HC215" s="9"/>
      <c r="HD215" s="9"/>
      <c r="HE215" s="9"/>
      <c r="HF215" s="9"/>
      <c r="HG215" s="9"/>
      <c r="HH215" s="9"/>
      <c r="HI215" s="9"/>
      <c r="HJ215" s="9"/>
      <c r="HK215" s="9"/>
      <c r="HL215" s="9"/>
      <c r="HM215" s="9"/>
      <c r="HN215" s="9"/>
      <c r="HO215" s="9"/>
      <c r="HP215" s="9"/>
      <c r="HQ215" s="62">
        <f t="shared" si="17"/>
        <v>4120.45</v>
      </c>
      <c r="HR215" s="62">
        <f t="shared" si="18"/>
        <v>68.674166666666665</v>
      </c>
      <c r="HS215" s="9"/>
      <c r="HT215" s="9"/>
      <c r="HW215" s="9"/>
      <c r="HX215" s="9"/>
      <c r="HY215" s="9"/>
      <c r="HZ215" s="9"/>
      <c r="IA215" s="9"/>
      <c r="IB215" s="9"/>
    </row>
    <row r="216" spans="1:236" ht="12.95" customHeight="1" x14ac:dyDescent="0.2">
      <c r="A216" s="11">
        <v>275</v>
      </c>
      <c r="B216" s="9">
        <v>322</v>
      </c>
      <c r="C216" s="9" t="s">
        <v>83</v>
      </c>
      <c r="D216" s="9">
        <v>11</v>
      </c>
      <c r="E216" s="9" t="s">
        <v>79</v>
      </c>
      <c r="F216" s="9">
        <v>1410855235</v>
      </c>
      <c r="G216" s="9" t="s">
        <v>81</v>
      </c>
      <c r="H216" s="9" t="s">
        <v>84</v>
      </c>
      <c r="I216" s="13" t="s">
        <v>363</v>
      </c>
      <c r="J216" s="13"/>
      <c r="M216" s="13" t="s">
        <v>1319</v>
      </c>
      <c r="N216" s="13" t="s">
        <v>618</v>
      </c>
      <c r="O216" s="13"/>
      <c r="P216" s="13" t="s">
        <v>87</v>
      </c>
      <c r="Q216" s="13" t="s">
        <v>1296</v>
      </c>
      <c r="S216" s="13" t="s">
        <v>84</v>
      </c>
      <c r="T216" s="13" t="s">
        <v>84</v>
      </c>
      <c r="U216" s="13" t="s">
        <v>82</v>
      </c>
      <c r="V216" s="13" t="s">
        <v>82</v>
      </c>
      <c r="W216" s="13" t="s">
        <v>82</v>
      </c>
      <c r="X216" s="13" t="s">
        <v>82</v>
      </c>
      <c r="Y216" s="13" t="s">
        <v>84</v>
      </c>
      <c r="Z216" s="13" t="s">
        <v>84</v>
      </c>
      <c r="AA216" s="13"/>
      <c r="AB216" s="13" t="s">
        <v>84</v>
      </c>
      <c r="AC216" s="13" t="s">
        <v>3594</v>
      </c>
      <c r="AD216" s="13" t="s">
        <v>82</v>
      </c>
      <c r="AE216" s="13"/>
      <c r="AF216" s="13"/>
      <c r="AG216" s="13" t="s">
        <v>84</v>
      </c>
      <c r="AH216" s="13"/>
      <c r="AI216" s="13" t="s">
        <v>84</v>
      </c>
      <c r="AJ216" s="13"/>
      <c r="AK216" s="13" t="s">
        <v>3595</v>
      </c>
      <c r="AL216" s="13" t="s">
        <v>126</v>
      </c>
      <c r="AM216" s="13" t="s">
        <v>91</v>
      </c>
      <c r="AN216" s="13"/>
      <c r="AO216" s="13" t="s">
        <v>80</v>
      </c>
      <c r="AQ216" s="13" t="s">
        <v>80</v>
      </c>
      <c r="AR216" s="13" t="s">
        <v>80</v>
      </c>
      <c r="AS216" s="13" t="s">
        <v>80</v>
      </c>
      <c r="AT216" s="13" t="s">
        <v>80</v>
      </c>
      <c r="AU216" s="13"/>
      <c r="AW216" s="13" t="s">
        <v>84</v>
      </c>
      <c r="AX216" s="13" t="s">
        <v>82</v>
      </c>
      <c r="AY216" s="13" t="s">
        <v>84</v>
      </c>
      <c r="AZ216" s="13" t="s">
        <v>84</v>
      </c>
      <c r="BA216" s="13"/>
      <c r="BB216" s="13" t="s">
        <v>84</v>
      </c>
      <c r="BC216" s="13" t="s">
        <v>80</v>
      </c>
      <c r="BD216" s="13" t="s">
        <v>100</v>
      </c>
      <c r="BE216" s="13" t="s">
        <v>100</v>
      </c>
      <c r="BF216" s="13" t="s">
        <v>112</v>
      </c>
      <c r="BG216" s="13" t="s">
        <v>84</v>
      </c>
      <c r="BH216" s="13" t="s">
        <v>84</v>
      </c>
      <c r="BI216" s="13" t="s">
        <v>3596</v>
      </c>
      <c r="BJ216" s="13" t="s">
        <v>84</v>
      </c>
      <c r="BK216" s="13" t="s">
        <v>80</v>
      </c>
      <c r="BL216" s="13">
        <v>2</v>
      </c>
      <c r="BM216" s="13">
        <v>1</v>
      </c>
      <c r="BN216" s="13">
        <v>2</v>
      </c>
      <c r="BO216" s="13">
        <v>1</v>
      </c>
      <c r="BP216" s="13">
        <v>2</v>
      </c>
      <c r="BQ216" s="13">
        <v>1</v>
      </c>
      <c r="BS216" s="13" t="s">
        <v>118</v>
      </c>
      <c r="BT216" s="13"/>
      <c r="BU216" s="13"/>
      <c r="BV216" s="13"/>
      <c r="BX216" s="13" t="s">
        <v>84</v>
      </c>
      <c r="BY216" s="13"/>
      <c r="BZ216" s="13" t="s">
        <v>84</v>
      </c>
      <c r="CA216" s="13"/>
      <c r="CB216" s="13" t="s">
        <v>82</v>
      </c>
      <c r="CC216" s="13"/>
      <c r="CD216" s="13" t="s">
        <v>82</v>
      </c>
      <c r="CE216" s="13"/>
      <c r="CF216" s="13"/>
      <c r="CG216" s="13"/>
      <c r="CI216" s="13" t="s">
        <v>84</v>
      </c>
      <c r="CJ216" s="13"/>
      <c r="CK216" s="13" t="s">
        <v>84</v>
      </c>
      <c r="CL216" s="13"/>
      <c r="CM216" s="13" t="s">
        <v>82</v>
      </c>
      <c r="CN216" s="13"/>
      <c r="CO216" s="13"/>
      <c r="CP216" s="13"/>
      <c r="CQ216" s="13" t="s">
        <v>118</v>
      </c>
      <c r="CR216" s="13" t="s">
        <v>84</v>
      </c>
      <c r="CS216" s="13" t="s">
        <v>1312</v>
      </c>
      <c r="CT216" s="13"/>
      <c r="CU216" s="13" t="s">
        <v>81</v>
      </c>
      <c r="CV216" s="13"/>
      <c r="CW216" s="13" t="s">
        <v>82</v>
      </c>
      <c r="CX216" s="13"/>
      <c r="CY216" s="13" t="s">
        <v>246</v>
      </c>
      <c r="CZ216" s="13"/>
      <c r="DA216" s="13" t="s">
        <v>82</v>
      </c>
      <c r="DB216" s="13"/>
      <c r="DC216" s="13" t="s">
        <v>84</v>
      </c>
      <c r="DD216" s="13" t="s">
        <v>82</v>
      </c>
      <c r="DG216" s="13">
        <v>3</v>
      </c>
      <c r="DH216" s="13">
        <v>1</v>
      </c>
      <c r="DI216" s="13">
        <v>2</v>
      </c>
      <c r="DJ216" s="13">
        <v>1</v>
      </c>
      <c r="DK216" s="13">
        <v>4</v>
      </c>
      <c r="DL216" s="13">
        <v>2</v>
      </c>
      <c r="DM216" s="13">
        <v>3</v>
      </c>
      <c r="DN216" s="13">
        <v>2</v>
      </c>
      <c r="DO216" s="13">
        <v>3</v>
      </c>
      <c r="DP216" s="13">
        <v>1</v>
      </c>
      <c r="DQ216" s="13">
        <v>3</v>
      </c>
      <c r="DR216" s="13">
        <v>1</v>
      </c>
      <c r="DS216" s="13" t="s">
        <v>118</v>
      </c>
      <c r="DT216" s="13" t="s">
        <v>106</v>
      </c>
      <c r="DU216" s="13"/>
      <c r="DV216" s="13" t="s">
        <v>84</v>
      </c>
      <c r="DW216" s="13" t="s">
        <v>113</v>
      </c>
      <c r="DX216" s="13" t="s">
        <v>81</v>
      </c>
      <c r="DY216" s="13"/>
      <c r="DZ216" s="13" t="s">
        <v>113</v>
      </c>
      <c r="EA216" s="13" t="s">
        <v>3597</v>
      </c>
      <c r="EB216" s="13" t="s">
        <v>82</v>
      </c>
      <c r="EC216" s="13"/>
      <c r="ED216" s="13" t="s">
        <v>81</v>
      </c>
      <c r="EE216" s="13"/>
      <c r="EF216" s="13" t="s">
        <v>84</v>
      </c>
      <c r="EG216" s="13" t="s">
        <v>82</v>
      </c>
      <c r="EH216" s="13" t="s">
        <v>82</v>
      </c>
      <c r="EI216" s="13"/>
      <c r="EJ216" s="13" t="s">
        <v>3598</v>
      </c>
      <c r="EK216" s="13" t="s">
        <v>3599</v>
      </c>
      <c r="EL216" s="13" t="s">
        <v>3600</v>
      </c>
      <c r="EM216" s="9">
        <v>1892.98</v>
      </c>
      <c r="EN216" s="9">
        <v>12.39</v>
      </c>
      <c r="EO216" s="9"/>
      <c r="EP216" s="9"/>
      <c r="EQ216" s="9">
        <v>97.78</v>
      </c>
      <c r="ER216" s="9"/>
      <c r="ES216" s="9"/>
      <c r="ET216" s="9"/>
      <c r="EU216" s="9"/>
      <c r="EV216" s="9"/>
      <c r="EW216" s="9">
        <v>204.9</v>
      </c>
      <c r="EX216" s="9"/>
      <c r="EY216" s="9"/>
      <c r="EZ216" s="9"/>
      <c r="FA216" s="9"/>
      <c r="FB216" s="9"/>
      <c r="FC216" s="9"/>
      <c r="FD216" s="9"/>
      <c r="FE216" s="9"/>
      <c r="FF216" s="9">
        <v>257.83999999999997</v>
      </c>
      <c r="FG216" s="9"/>
      <c r="FH216" s="9"/>
      <c r="FI216" s="9"/>
      <c r="FJ216" s="9">
        <v>22.59</v>
      </c>
      <c r="FK216" s="9"/>
      <c r="FL216" s="9"/>
      <c r="FM216" s="9"/>
      <c r="FN216" s="9"/>
      <c r="FO216" s="9"/>
      <c r="FP216" s="9">
        <v>87.57</v>
      </c>
      <c r="FQ216" s="9"/>
      <c r="FR216" s="9"/>
      <c r="FS216" s="9"/>
      <c r="FT216" s="9"/>
      <c r="FU216" s="9"/>
      <c r="FV216" s="9">
        <v>234.87</v>
      </c>
      <c r="FW216" s="9"/>
      <c r="FX216" s="9"/>
      <c r="FY216" s="9"/>
      <c r="FZ216" s="9"/>
      <c r="GA216" s="9"/>
      <c r="GB216" s="9"/>
      <c r="GC216" s="9">
        <v>488.33</v>
      </c>
      <c r="GD216" s="9"/>
      <c r="GE216" s="9"/>
      <c r="GF216" s="9"/>
      <c r="GG216" s="9"/>
      <c r="GH216" s="9"/>
      <c r="GI216" s="9"/>
      <c r="GJ216" s="9"/>
      <c r="GK216" s="9"/>
      <c r="GL216" s="9"/>
      <c r="GM216" s="9"/>
      <c r="GN216" s="9"/>
      <c r="GO216" s="9"/>
      <c r="GP216" s="9"/>
      <c r="GQ216" s="9"/>
      <c r="GR216" s="9"/>
      <c r="GS216" s="9"/>
      <c r="GT216" s="9">
        <v>22.14</v>
      </c>
      <c r="GU216" s="9"/>
      <c r="GV216" s="9"/>
      <c r="GW216" s="9"/>
      <c r="GX216" s="9">
        <v>26.31</v>
      </c>
      <c r="GY216" s="9"/>
      <c r="GZ216" s="9"/>
      <c r="HA216" s="9"/>
      <c r="HB216" s="9">
        <v>438.26</v>
      </c>
      <c r="HC216" s="9"/>
      <c r="HD216" s="9"/>
      <c r="HE216" s="9"/>
      <c r="HF216" s="9"/>
      <c r="HG216" s="9"/>
      <c r="HH216" s="9"/>
      <c r="HI216" s="9"/>
      <c r="HJ216" s="9"/>
      <c r="HK216" s="9"/>
      <c r="HL216" s="9"/>
      <c r="HM216" s="9"/>
      <c r="HN216" s="9"/>
      <c r="HO216" s="9"/>
      <c r="HQ216" s="62">
        <f t="shared" si="17"/>
        <v>1892.98</v>
      </c>
      <c r="HR216" s="62">
        <f t="shared" si="18"/>
        <v>31.549666666666667</v>
      </c>
    </row>
    <row r="217" spans="1:236" s="9" customFormat="1" ht="12.75" x14ac:dyDescent="0.2">
      <c r="A217" s="11">
        <v>276</v>
      </c>
      <c r="B217" s="9">
        <v>324</v>
      </c>
      <c r="C217" s="9" t="s">
        <v>83</v>
      </c>
      <c r="D217" s="9">
        <v>11</v>
      </c>
      <c r="E217" s="9" t="s">
        <v>79</v>
      </c>
      <c r="F217" s="9">
        <v>1080957171</v>
      </c>
      <c r="G217" s="9" t="s">
        <v>81</v>
      </c>
      <c r="H217" s="9" t="s">
        <v>84</v>
      </c>
      <c r="I217" s="9" t="s">
        <v>107</v>
      </c>
      <c r="K217" s="58"/>
      <c r="L217" s="58"/>
      <c r="M217" s="9" t="s">
        <v>1319</v>
      </c>
      <c r="N217" s="9" t="s">
        <v>108</v>
      </c>
      <c r="P217" s="9" t="s">
        <v>87</v>
      </c>
      <c r="Q217" s="9" t="s">
        <v>1358</v>
      </c>
      <c r="R217" s="58"/>
      <c r="S217" s="9" t="s">
        <v>84</v>
      </c>
      <c r="T217" s="9" t="s">
        <v>84</v>
      </c>
      <c r="U217" s="9" t="s">
        <v>84</v>
      </c>
      <c r="V217" s="9" t="s">
        <v>82</v>
      </c>
      <c r="W217" s="9" t="s">
        <v>82</v>
      </c>
      <c r="X217" s="9" t="s">
        <v>82</v>
      </c>
      <c r="Y217" s="9" t="s">
        <v>84</v>
      </c>
      <c r="Z217" s="9" t="s">
        <v>82</v>
      </c>
      <c r="AB217" s="9" t="s">
        <v>82</v>
      </c>
      <c r="AD217" s="9" t="s">
        <v>82</v>
      </c>
      <c r="AG217" s="9" t="s">
        <v>82</v>
      </c>
      <c r="AI217" s="9" t="s">
        <v>84</v>
      </c>
      <c r="AK217" s="9" t="s">
        <v>4004</v>
      </c>
      <c r="AL217" s="9" t="s">
        <v>126</v>
      </c>
      <c r="AM217" s="9" t="s">
        <v>91</v>
      </c>
      <c r="AO217" s="9" t="s">
        <v>80</v>
      </c>
      <c r="AP217" s="58"/>
      <c r="AQ217" s="9" t="s">
        <v>80</v>
      </c>
      <c r="AR217" s="9" t="s">
        <v>80</v>
      </c>
      <c r="AS217" s="9" t="s">
        <v>80</v>
      </c>
      <c r="AT217" s="9" t="s">
        <v>80</v>
      </c>
      <c r="AV217" s="58"/>
      <c r="AW217" s="9" t="s">
        <v>84</v>
      </c>
      <c r="AX217" s="9" t="s">
        <v>84</v>
      </c>
      <c r="AY217" s="9" t="s">
        <v>84</v>
      </c>
      <c r="AZ217" s="9" t="s">
        <v>84</v>
      </c>
      <c r="BB217" s="9" t="s">
        <v>84</v>
      </c>
      <c r="BC217" s="9" t="s">
        <v>80</v>
      </c>
      <c r="BD217" s="9" t="s">
        <v>113</v>
      </c>
      <c r="BE217" s="9" t="s">
        <v>113</v>
      </c>
      <c r="BF217" s="9" t="s">
        <v>100</v>
      </c>
      <c r="BG217" s="9" t="s">
        <v>145</v>
      </c>
      <c r="BH217" s="9" t="s">
        <v>84</v>
      </c>
      <c r="BJ217" s="9" t="s">
        <v>84</v>
      </c>
      <c r="BK217" s="9" t="s">
        <v>80</v>
      </c>
      <c r="BL217" s="9">
        <v>5</v>
      </c>
      <c r="BM217" s="9">
        <v>5</v>
      </c>
      <c r="BN217" s="9">
        <v>3</v>
      </c>
      <c r="BO217" s="9">
        <v>3</v>
      </c>
      <c r="BP217" s="9">
        <v>5</v>
      </c>
      <c r="BQ217" s="9">
        <v>4</v>
      </c>
      <c r="BR217" s="58"/>
      <c r="BS217" s="9" t="s">
        <v>97</v>
      </c>
      <c r="BU217" s="9" t="s">
        <v>246</v>
      </c>
      <c r="BW217" s="58"/>
      <c r="BX217" s="9" t="s">
        <v>80</v>
      </c>
      <c r="BZ217" s="9" t="s">
        <v>80</v>
      </c>
      <c r="CB217" s="9" t="s">
        <v>80</v>
      </c>
      <c r="CD217" s="9" t="s">
        <v>80</v>
      </c>
      <c r="CH217" s="58"/>
      <c r="CI217" s="9" t="s">
        <v>82</v>
      </c>
      <c r="CK217" s="9" t="s">
        <v>84</v>
      </c>
      <c r="CM217" s="9" t="s">
        <v>82</v>
      </c>
      <c r="CQ217" s="9" t="s">
        <v>118</v>
      </c>
      <c r="CR217" s="9" t="s">
        <v>84</v>
      </c>
      <c r="CS217" s="9" t="s">
        <v>1312</v>
      </c>
      <c r="CU217" s="9" t="s">
        <v>81</v>
      </c>
      <c r="CW217" s="9" t="s">
        <v>82</v>
      </c>
      <c r="CY217" s="9" t="s">
        <v>246</v>
      </c>
      <c r="CZ217" s="9" t="s">
        <v>4005</v>
      </c>
      <c r="DA217" s="9" t="s">
        <v>82</v>
      </c>
      <c r="DC217" s="9" t="s">
        <v>84</v>
      </c>
      <c r="DD217" s="9" t="s">
        <v>84</v>
      </c>
      <c r="DE217" s="58"/>
      <c r="DF217" s="58"/>
      <c r="DG217" s="9">
        <v>4</v>
      </c>
      <c r="DH217" s="9">
        <v>2</v>
      </c>
      <c r="DI217" s="9">
        <v>4</v>
      </c>
      <c r="DJ217" s="9">
        <v>2</v>
      </c>
      <c r="DK217" s="9">
        <v>2</v>
      </c>
      <c r="DL217" s="9">
        <v>3</v>
      </c>
      <c r="DM217" s="9">
        <v>1</v>
      </c>
      <c r="DN217" s="9">
        <v>5</v>
      </c>
      <c r="DO217" s="9">
        <v>4</v>
      </c>
      <c r="DP217" s="9">
        <v>4</v>
      </c>
      <c r="DQ217" s="9">
        <v>3</v>
      </c>
      <c r="DR217" s="9">
        <v>3</v>
      </c>
      <c r="DS217" s="9" t="s">
        <v>97</v>
      </c>
      <c r="DT217" s="9" t="s">
        <v>84</v>
      </c>
      <c r="DV217" s="9" t="s">
        <v>84</v>
      </c>
      <c r="DW217" s="9" t="s">
        <v>100</v>
      </c>
      <c r="DX217" s="9" t="s">
        <v>81</v>
      </c>
      <c r="DY217" s="9" t="s">
        <v>4006</v>
      </c>
      <c r="DZ217" s="9" t="s">
        <v>113</v>
      </c>
      <c r="EA217" s="9" t="s">
        <v>145</v>
      </c>
      <c r="EB217" s="9" t="s">
        <v>84</v>
      </c>
      <c r="EF217" s="9" t="s">
        <v>84</v>
      </c>
      <c r="EG217" s="9" t="s">
        <v>84</v>
      </c>
      <c r="EH217" s="9" t="s">
        <v>82</v>
      </c>
      <c r="EJ217" s="9" t="s">
        <v>4007</v>
      </c>
      <c r="EK217" s="9" t="s">
        <v>4008</v>
      </c>
      <c r="EL217" s="9" t="s">
        <v>4009</v>
      </c>
      <c r="EM217" s="9">
        <v>4726.24</v>
      </c>
      <c r="EN217" s="9">
        <v>36.659999999999997</v>
      </c>
      <c r="EQ217" s="9">
        <v>103.44</v>
      </c>
      <c r="EW217" s="9">
        <v>102.83</v>
      </c>
      <c r="FF217" s="9">
        <v>90.03</v>
      </c>
      <c r="FJ217" s="9">
        <v>81.31</v>
      </c>
      <c r="FP217" s="9">
        <v>83.36</v>
      </c>
      <c r="FV217" s="9">
        <v>354.99</v>
      </c>
      <c r="GC217" s="9">
        <v>541.42999999999995</v>
      </c>
      <c r="GT217" s="9">
        <v>18.91</v>
      </c>
      <c r="GX217" s="9">
        <v>247.44</v>
      </c>
      <c r="HB217" s="9">
        <v>3065.84</v>
      </c>
      <c r="HQ217" s="62">
        <f t="shared" si="17"/>
        <v>4726.24</v>
      </c>
      <c r="HR217" s="62">
        <f t="shared" si="18"/>
        <v>78.770666666666656</v>
      </c>
    </row>
    <row r="218" spans="1:236" ht="12.95" customHeight="1" x14ac:dyDescent="0.2">
      <c r="B218" s="11" t="s">
        <v>1914</v>
      </c>
    </row>
  </sheetData>
  <conditionalFormatting sqref="H1:H1048576">
    <cfRule type="cellIs" dxfId="2" priority="1" operator="equal">
      <formula>"No"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B9432-261B-4E1C-93CC-1F5A965FB342}">
  <dimension ref="A1:BX525"/>
  <sheetViews>
    <sheetView topLeftCell="K1" zoomScale="70" zoomScaleNormal="70" workbookViewId="0">
      <pane ySplit="1" topLeftCell="A2" activePane="bottomLeft" state="frozen"/>
      <selection pane="bottomLeft" activeCell="L1" sqref="L1"/>
    </sheetView>
  </sheetViews>
  <sheetFormatPr defaultRowHeight="12.75" x14ac:dyDescent="0.2"/>
  <cols>
    <col min="2" max="2" width="19.140625" customWidth="1"/>
    <col min="3" max="3" width="47.42578125" bestFit="1" customWidth="1"/>
    <col min="5" max="5" width="12.7109375" customWidth="1"/>
    <col min="6" max="6" width="24.5703125" style="12" customWidth="1"/>
    <col min="7" max="7" width="13.42578125" customWidth="1"/>
    <col min="8" max="8" width="26.5703125" style="5" customWidth="1"/>
    <col min="9" max="9" width="11.85546875" style="4" customWidth="1"/>
    <col min="10" max="10" width="12.42578125" style="4" bestFit="1" customWidth="1"/>
    <col min="11" max="11" width="12.7109375" customWidth="1"/>
    <col min="12" max="12" width="9.140625" customWidth="1"/>
    <col min="13" max="13" width="20.85546875" customWidth="1"/>
    <col min="14" max="14" width="23.42578125" customWidth="1"/>
    <col min="16" max="16" width="15.42578125" customWidth="1"/>
    <col min="17" max="17" width="12.28515625" customWidth="1"/>
    <col min="18" max="25" width="6.5703125" customWidth="1"/>
    <col min="27" max="27" width="19.28515625" customWidth="1"/>
    <col min="28" max="28" width="14" customWidth="1"/>
    <col min="29" max="29" width="7.42578125" customWidth="1"/>
    <col min="30" max="30" width="7" customWidth="1"/>
    <col min="31" max="31" width="6.28515625" customWidth="1"/>
    <col min="32" max="32" width="7.140625" customWidth="1"/>
    <col min="33" max="33" width="6.7109375" customWidth="1"/>
    <col min="34" max="34" width="6.5703125" customWidth="1"/>
    <col min="35" max="35" width="6.28515625" customWidth="1"/>
    <col min="36" max="36" width="7.140625" customWidth="1"/>
    <col min="38" max="38" width="18.7109375" customWidth="1"/>
    <col min="39" max="39" width="14.28515625" customWidth="1"/>
    <col min="40" max="40" width="6.7109375" customWidth="1"/>
    <col min="41" max="43" width="5.7109375" customWidth="1"/>
    <col min="44" max="44" width="6.42578125" customWidth="1"/>
    <col min="45" max="46" width="6.5703125" customWidth="1"/>
    <col min="47" max="47" width="6.140625" customWidth="1"/>
    <col min="48" max="48" width="13.42578125" customWidth="1"/>
    <col min="49" max="49" width="16.85546875" customWidth="1"/>
    <col min="50" max="50" width="15" customWidth="1"/>
    <col min="51" max="58" width="6.140625" customWidth="1"/>
    <col min="59" max="59" width="12.140625" customWidth="1"/>
    <col min="60" max="60" width="13" customWidth="1"/>
    <col min="61" max="61" width="11.85546875" style="42" customWidth="1"/>
    <col min="62" max="62" width="13.28515625" customWidth="1"/>
    <col min="63" max="63" width="11.7109375" customWidth="1"/>
    <col min="64" max="64" width="13.7109375" bestFit="1" customWidth="1"/>
    <col min="65" max="65" width="11.7109375" customWidth="1"/>
  </cols>
  <sheetData>
    <row r="1" spans="1:76" s="2" customFormat="1" ht="63.75" x14ac:dyDescent="0.2">
      <c r="B1" s="2" t="s">
        <v>611</v>
      </c>
      <c r="C1" s="22" t="s">
        <v>611</v>
      </c>
      <c r="D1" s="2" t="s">
        <v>612</v>
      </c>
      <c r="E1" s="2" t="s">
        <v>613</v>
      </c>
      <c r="F1" s="37" t="s">
        <v>1919</v>
      </c>
      <c r="G1" s="2" t="s">
        <v>614</v>
      </c>
      <c r="H1" s="23" t="s">
        <v>615</v>
      </c>
      <c r="I1" s="3" t="s">
        <v>1920</v>
      </c>
      <c r="J1" s="3" t="s">
        <v>617</v>
      </c>
      <c r="K1" s="3" t="s">
        <v>617</v>
      </c>
      <c r="M1" s="8" t="s">
        <v>611</v>
      </c>
      <c r="N1" s="8"/>
      <c r="O1" s="8"/>
      <c r="P1" s="8" t="s">
        <v>1919</v>
      </c>
      <c r="Q1" s="8" t="s">
        <v>3570</v>
      </c>
      <c r="R1" s="8" t="s">
        <v>105</v>
      </c>
      <c r="S1" s="8" t="s">
        <v>324</v>
      </c>
      <c r="T1" s="8" t="s">
        <v>309</v>
      </c>
      <c r="U1" s="8" t="s">
        <v>443</v>
      </c>
      <c r="V1" s="8" t="s">
        <v>107</v>
      </c>
      <c r="W1" s="8" t="s">
        <v>3959</v>
      </c>
      <c r="X1" s="8" t="s">
        <v>377</v>
      </c>
      <c r="Y1" s="8" t="s">
        <v>161</v>
      </c>
      <c r="Z1" s="8"/>
      <c r="AA1" s="8" t="s">
        <v>614</v>
      </c>
      <c r="AB1" s="8" t="s">
        <v>3570</v>
      </c>
      <c r="AC1" s="8" t="s">
        <v>105</v>
      </c>
      <c r="AD1" s="8" t="s">
        <v>324</v>
      </c>
      <c r="AE1" s="8" t="s">
        <v>309</v>
      </c>
      <c r="AF1" s="8" t="s">
        <v>443</v>
      </c>
      <c r="AG1" s="8" t="s">
        <v>107</v>
      </c>
      <c r="AH1" s="8" t="s">
        <v>3959</v>
      </c>
      <c r="AI1" s="8" t="s">
        <v>377</v>
      </c>
      <c r="AJ1" s="8" t="s">
        <v>161</v>
      </c>
      <c r="AK1" s="8"/>
      <c r="AL1" s="8" t="s">
        <v>616</v>
      </c>
      <c r="AM1" s="8" t="s">
        <v>3570</v>
      </c>
      <c r="AN1" s="8" t="s">
        <v>105</v>
      </c>
      <c r="AO1" s="8" t="s">
        <v>324</v>
      </c>
      <c r="AP1" s="8" t="s">
        <v>309</v>
      </c>
      <c r="AQ1" s="8" t="s">
        <v>443</v>
      </c>
      <c r="AR1" s="8" t="s">
        <v>107</v>
      </c>
      <c r="AS1" s="8" t="s">
        <v>3959</v>
      </c>
      <c r="AT1" s="8" t="s">
        <v>377</v>
      </c>
      <c r="AU1" s="8" t="s">
        <v>161</v>
      </c>
      <c r="AV1" s="8"/>
      <c r="AW1" s="8" t="s">
        <v>617</v>
      </c>
      <c r="AX1" s="8" t="s">
        <v>3570</v>
      </c>
      <c r="AY1" s="8" t="s">
        <v>105</v>
      </c>
      <c r="AZ1" s="8" t="s">
        <v>324</v>
      </c>
      <c r="BA1" s="8" t="s">
        <v>309</v>
      </c>
      <c r="BB1" s="8" t="s">
        <v>443</v>
      </c>
      <c r="BC1" s="8" t="s">
        <v>107</v>
      </c>
      <c r="BD1" s="8" t="s">
        <v>3959</v>
      </c>
      <c r="BE1" s="8" t="s">
        <v>377</v>
      </c>
      <c r="BF1" s="8" t="s">
        <v>161</v>
      </c>
      <c r="BG1" s="8"/>
      <c r="BH1" s="57" t="str">
        <f t="shared" ref="BH1:BH64" si="0">I1</f>
        <v>number of employees</v>
      </c>
      <c r="BI1" s="57" t="str">
        <f t="shared" ref="BI1:BI64" si="1">J1</f>
        <v>users per month</v>
      </c>
      <c r="BJ1" s="8" t="s">
        <v>616</v>
      </c>
      <c r="BK1" s="8" t="s">
        <v>617</v>
      </c>
      <c r="BL1" s="8" t="s">
        <v>2479</v>
      </c>
      <c r="BM1" s="8" t="s">
        <v>2480</v>
      </c>
      <c r="BN1" s="37"/>
      <c r="BO1" s="37"/>
      <c r="BP1" s="37"/>
      <c r="BQ1" s="37"/>
      <c r="BR1" s="37"/>
      <c r="BS1" s="37"/>
      <c r="BT1" s="37"/>
      <c r="BU1" s="37"/>
      <c r="BV1" s="37"/>
      <c r="BW1" s="37"/>
      <c r="BX1" s="37"/>
    </row>
    <row r="2" spans="1:76" x14ac:dyDescent="0.2">
      <c r="A2">
        <v>1</v>
      </c>
      <c r="B2" t="s">
        <v>85</v>
      </c>
      <c r="D2" t="s">
        <v>84</v>
      </c>
      <c r="E2" t="s">
        <v>84</v>
      </c>
      <c r="F2" s="6" t="str">
        <f>IF(AND($D2="Yes",$E2="Yes"),"both",IF(AND($D2="Yes",$E2="No"),"staff",IF(AND($D2="No",$E2="Yes"),"users work","staff")))</f>
        <v>both</v>
      </c>
      <c r="G2" t="s">
        <v>86</v>
      </c>
      <c r="I2" s="4" t="s">
        <v>87</v>
      </c>
      <c r="J2" s="40" t="s">
        <v>620</v>
      </c>
      <c r="K2" s="4">
        <v>40</v>
      </c>
      <c r="M2" t="s">
        <v>629</v>
      </c>
      <c r="N2">
        <f>COUNTIF(B$2:B496,"antibodies")</f>
        <v>1</v>
      </c>
      <c r="P2" t="s">
        <v>1922</v>
      </c>
      <c r="Q2">
        <f>COUNTIF($F$2:$F$496,"*staff*")</f>
        <v>73</v>
      </c>
      <c r="R2">
        <f>COUNTIFS($F$2:$F$496,"*staff*",'1'!$B$2:$B$496,"*flow cytometry*")</f>
        <v>3</v>
      </c>
      <c r="S2">
        <f>COUNTIFS($F$2:$F$496,"*staff*",'1'!$B$2:$B$496,"*genomics*")</f>
        <v>15</v>
      </c>
      <c r="T2">
        <f>COUNTIFS($F$2:$F$496,"*staff*",'1'!$B$2:$B$496,"*histology*")</f>
        <v>2</v>
      </c>
      <c r="U2">
        <f>COUNTIFS($F$2:$F$496,"*staff*",'1'!$B$2:$B$496,"*metabolomics*")</f>
        <v>3</v>
      </c>
      <c r="V2">
        <f>COUNTIFS($F$2:$F$496,"*staff*",'1'!$B$2:$B$496,"*microscopy*")</f>
        <v>5</v>
      </c>
      <c r="W2">
        <f>COUNTIFS($F$2:$F$496,"*staff*",'1'!$B$2:$B$496,"*mouse*")</f>
        <v>6</v>
      </c>
      <c r="X2">
        <f>COUNTIFS($F$2:$F$496,"*staff*",'1'!$B$2:$B$496,"*protein expression*")</f>
        <v>3</v>
      </c>
      <c r="Y2">
        <f>COUNTIFS($F$2:$F$496,"*staff*",'1'!$B$2:$B$496,"*proteomics*")</f>
        <v>23</v>
      </c>
      <c r="AA2" t="s">
        <v>138</v>
      </c>
      <c r="AB2">
        <f>COUNTIF($G$2:$G$496,"*1MB")</f>
        <v>8</v>
      </c>
      <c r="AC2">
        <f>COUNTIFS($G$2:$G$496,"*1MB",'1'!$B$2:$B$496,"*flow cytometry*")</f>
        <v>0</v>
      </c>
      <c r="AD2">
        <f>COUNTIFS($G$2:$G$496,"*1MB",'1'!$B$2:$B$496,"*genomics*")</f>
        <v>1</v>
      </c>
      <c r="AE2">
        <f>COUNTIFS($G$2:$G$496,"*1MB",'1'!$B$2:$B$496,"*histology*")</f>
        <v>0</v>
      </c>
      <c r="AF2">
        <f>COUNTIFS($G$2:$G$496,"*1MB",'1'!$B$2:$B$496,"*metabolomics*")</f>
        <v>0</v>
      </c>
      <c r="AG2">
        <f>COUNTIFS($G$2:$G$496,"*1MB",'1'!$B$2:$B$496,"*microscopy*")</f>
        <v>0</v>
      </c>
      <c r="AH2">
        <f>COUNTIFS($G$2:$G$496,"*1MB",'1'!$B$2:$B$496,"*mouse*")</f>
        <v>1</v>
      </c>
      <c r="AI2">
        <f>COUNTIFS($G$2:$G$496,"*1MB",'1'!$B$2:$B$496,"*protein expression*")</f>
        <v>1</v>
      </c>
      <c r="AJ2">
        <f>COUNTIFS($G$2:$G$496,"*1MB",'1'!$B$2:$B$496,"*proteomics*")</f>
        <v>0</v>
      </c>
      <c r="AL2" t="s">
        <v>87</v>
      </c>
      <c r="AM2">
        <f>COUNTIF($I$2:$I$496,"1-4")</f>
        <v>182</v>
      </c>
      <c r="AN2">
        <f>COUNTIFS($I$2:$I$496,"1-4",'1'!$B$2:$B$496,"*flow cytometry*")</f>
        <v>41</v>
      </c>
      <c r="AO2">
        <f>COUNTIFS($I$2:$I$496,"1-4",'1'!$B$2:$B$496,"*genomics*")</f>
        <v>13</v>
      </c>
      <c r="AP2">
        <f>COUNTIFS($I$2:$I$496,"1-4",'1'!$B$2:$B$496,"*histology*")</f>
        <v>8</v>
      </c>
      <c r="AQ2">
        <f>COUNTIFS($I$2:$I$496,"1-4",'1'!$B$2:$B$496,"*metabolomics*")</f>
        <v>5</v>
      </c>
      <c r="AR2">
        <f>COUNTIFS($I$2:$I$496,"1-4",'1'!$B$2:$B$496,"*microscopy*")</f>
        <v>48</v>
      </c>
      <c r="AS2">
        <f>COUNTIFS($I$2:$I$496,"1-4",'1'!$B$2:$B$496,"*mouse*")</f>
        <v>11</v>
      </c>
      <c r="AT2">
        <f>COUNTIFS($I$2:$I$496,"1-4",'1'!$B$2:$B$496,"*protein expression*")</f>
        <v>6</v>
      </c>
      <c r="AU2">
        <f>COUNTIFS($I$2:$I$496,"1-4",'1'!$B$2:$B$496,"*proteomics*")</f>
        <v>20</v>
      </c>
      <c r="AW2" t="s">
        <v>619</v>
      </c>
      <c r="AX2">
        <f>COUNTIF($J$2:$J$496,"*1-20*")</f>
        <v>128</v>
      </c>
      <c r="AY2">
        <f>COUNTIFS($J$2:$J$496,"*1-20*",'1'!$B$2:$B$496,"*flow cytometry*")</f>
        <v>9</v>
      </c>
      <c r="AZ2">
        <f>COUNTIFS($J$2:$J$496,"*1-20*",'1'!$B$2:$B$496,"*genomics*")</f>
        <v>16</v>
      </c>
      <c r="BA2">
        <f>COUNTIFS($J$2:$J$496,"*1-20*",'1'!$B$2:$B$496,"*histology*")</f>
        <v>5</v>
      </c>
      <c r="BB2">
        <f>COUNTIFS($J$2:$J$496,"*1-20*",'1'!$B$2:$B$496,"*metabolomics*")</f>
        <v>6</v>
      </c>
      <c r="BC2">
        <f>COUNTIFS($J$2:$J$496,"*1-20*",'1'!$B$2:$B$496,"*microscopy*")</f>
        <v>21</v>
      </c>
      <c r="BD2">
        <f>COUNTIFS($J$2:$J$496,"*1-20*",'1'!$B$2:$B$496,"*mouse*")</f>
        <v>10</v>
      </c>
      <c r="BE2">
        <f>COUNTIFS($J$2:$J$496,"*1-20*",'1'!$B$2:$B$496,"*protein expression*")</f>
        <v>6</v>
      </c>
      <c r="BF2">
        <f>COUNTIFS($J$2:$J$496,"*1-20*",'1'!$B$2:$B$496,"*proteomics*")</f>
        <v>23</v>
      </c>
      <c r="BH2" s="17" t="str">
        <f t="shared" si="0"/>
        <v>1-4</v>
      </c>
      <c r="BI2" s="41" t="str">
        <f t="shared" si="1"/>
        <v>21-40</v>
      </c>
      <c r="BJ2" s="18">
        <f>IF(BH2="1-4",1,IF(BH2="5-8",5,IF(BH2="9-12",9,IF(BH2="13-16",13,IF(BH2="&gt;16",17)))))</f>
        <v>1</v>
      </c>
      <c r="BK2" s="18">
        <f>IF(BI2="1-20",1,IF(BI2="21-40",21,IF(BI2="41-60",41,IF(BI2="61-80",61,IF(BI2="81-100",81,IF(BI2="&gt; 100",101))))))</f>
        <v>21</v>
      </c>
      <c r="BL2" t="str">
        <f t="shared" ref="BL2:BL65" si="2">B2</f>
        <v>crystallography</v>
      </c>
      <c r="BM2" s="5" t="str">
        <f t="shared" ref="BM2:BM33" si="3">IF(F2="staff","staff",IF(F2="users work","user",IF(F2="both","both")))</f>
        <v>both</v>
      </c>
    </row>
    <row r="3" spans="1:76" x14ac:dyDescent="0.2">
      <c r="A3">
        <v>2</v>
      </c>
      <c r="B3" t="s">
        <v>107</v>
      </c>
      <c r="D3" t="s">
        <v>84</v>
      </c>
      <c r="E3" t="s">
        <v>84</v>
      </c>
      <c r="F3" s="6" t="str">
        <f t="shared" ref="F3:F61" si="4">IF(AND($D3="Yes",$E3="Yes"),"both",IF(AND($D3="Yes",$E3="No"),"staff",IF(AND($D3="No",$E3="Yes"),"users work","staff")))</f>
        <v>both</v>
      </c>
      <c r="G3" t="s">
        <v>108</v>
      </c>
      <c r="I3" s="4" t="s">
        <v>87</v>
      </c>
      <c r="J3" s="40" t="s">
        <v>619</v>
      </c>
      <c r="K3" s="4" t="s">
        <v>109</v>
      </c>
      <c r="M3" t="s">
        <v>402</v>
      </c>
      <c r="N3">
        <f>COUNTIF(B$2:B496,"bioinformatics")</f>
        <v>6</v>
      </c>
      <c r="P3" t="s">
        <v>118</v>
      </c>
      <c r="Q3">
        <f>COUNTIF($F$2:$F$496,"*both*")</f>
        <v>175</v>
      </c>
      <c r="R3">
        <f>COUNTIFS($F$2:$F$496,"*both*",'1'!$B$2:$B$496,"*flow cytometry*")</f>
        <v>40</v>
      </c>
      <c r="S3">
        <f>COUNTIFS($F$2:$F$496,"*both*",'1'!$B$2:$B$496,"*genomics*")</f>
        <v>17</v>
      </c>
      <c r="T3">
        <f>COUNTIFS($F$2:$F$496,"*both*",'1'!$B$2:$B$496,"*histology*")</f>
        <v>8</v>
      </c>
      <c r="U3">
        <f>COUNTIFS($F$2:$F$496,"*both*",'1'!$B$2:$B$496,"*metabolomics*")</f>
        <v>4</v>
      </c>
      <c r="V3">
        <f>COUNTIFS($F$2:$F$496,"*both*",'1'!$B$2:$B$496,"*microscopy*")</f>
        <v>49</v>
      </c>
      <c r="W3">
        <f>COUNTIFS($F$2:$F$496,"*both*",'1'!$B$2:$B$496,"*mouse*")</f>
        <v>7</v>
      </c>
      <c r="X3">
        <f>COUNTIFS($F$2:$F$496,"*both*",'1'!$B$2:$B$496,"*protein expression*")</f>
        <v>5</v>
      </c>
      <c r="Y3">
        <f>COUNTIFS($F$2:$F$496,"*both*",'1'!$B$2:$B$496,"*proteomics*")</f>
        <v>12</v>
      </c>
      <c r="AA3" t="s">
        <v>86</v>
      </c>
      <c r="AB3">
        <f>COUNTIF($G$2:$G$496,"1-1000 MB")</f>
        <v>40</v>
      </c>
      <c r="AC3">
        <f>COUNTIFS($G$2:$G$496,"1-1000 MB",'1'!$B$2:$B$496,"*flow cytometry*")</f>
        <v>8</v>
      </c>
      <c r="AD3">
        <f>COUNTIFS($G$2:$G$496,"1-1000 MB",'1'!$B$2:$B$496,"*genomics*")</f>
        <v>5</v>
      </c>
      <c r="AE3">
        <f>COUNTIFS($G$2:$G$496,"1-1000 MB",'1'!$B$2:$B$496,"*histology*")</f>
        <v>1</v>
      </c>
      <c r="AF3">
        <f>COUNTIFS($G$2:$G$496,"1-1000 MB",'1'!$B$2:$B$496,"*metabolomics*")</f>
        <v>2</v>
      </c>
      <c r="AG3">
        <f>COUNTIFS($G$2:$G$496,"1-1000 MB",'1'!$B$2:$B$496,"*microscopy*")</f>
        <v>3</v>
      </c>
      <c r="AH3">
        <f>COUNTIFS($G$2:$G$496,"1-1000 MB",'1'!$B$2:$B$496,"*mouse*")</f>
        <v>2</v>
      </c>
      <c r="AI3">
        <f>COUNTIFS($G$2:$G$496,"1-1000 MB",'1'!$B$2:$B$496,"*protein expression*")</f>
        <v>3</v>
      </c>
      <c r="AJ3">
        <f>COUNTIFS($G$2:$G$496,"1-1000 MB",'1'!$B$2:$B$496,"*proteomics*")</f>
        <v>1</v>
      </c>
      <c r="AL3" t="s">
        <v>253</v>
      </c>
      <c r="AM3">
        <f>COUNTIF($I$2:$I$496,"5-8")</f>
        <v>54</v>
      </c>
      <c r="AN3">
        <f>COUNTIFS($I$2:$I$496,"5-8",'1'!$B$2:$B$496,"*flow cytometry*")</f>
        <v>6</v>
      </c>
      <c r="AO3">
        <f>COUNTIFS($I$2:$I$496,"5-8",'1'!$B$2:$B$496,"*genomics*")</f>
        <v>12</v>
      </c>
      <c r="AP3">
        <f>COUNTIFS($I$2:$I$496,"5-8",'1'!$B$2:$B$496,"*histology*")</f>
        <v>1</v>
      </c>
      <c r="AQ3">
        <f>COUNTIFS($I$2:$I$496,"5-8",'1'!$B$2:$B$496,"*metabolomics*")</f>
        <v>3</v>
      </c>
      <c r="AR3">
        <f>COUNTIFS($I$2:$I$496,"5-8",'1'!$B$2:$B$496,"*microscopy*")</f>
        <v>10</v>
      </c>
      <c r="AS3">
        <f>COUNTIFS($I$2:$I$496,"5-8",'1'!$B$2:$B$496,"*mouse*")</f>
        <v>3</v>
      </c>
      <c r="AT3">
        <f>COUNTIFS($I$2:$I$496,"5-8",'1'!$B$2:$B$496,"*protein expression*")</f>
        <v>2</v>
      </c>
      <c r="AU3">
        <f>COUNTIFS($I$2:$I$496,"5-8",'1'!$B$2:$B$496,"*proteomics*")</f>
        <v>9</v>
      </c>
      <c r="AW3" t="s">
        <v>620</v>
      </c>
      <c r="AX3">
        <f>COUNTIF($J$2:$J$496,"*21-40*")</f>
        <v>64</v>
      </c>
      <c r="AY3">
        <f>COUNTIFS($J$2:$J$496,"*21-40*",'1'!$B$2:$B$496,"*flow cytometry*")</f>
        <v>12</v>
      </c>
      <c r="AZ3">
        <f>COUNTIFS($J$2:$J$496,"*21-40*",'1'!$B$2:$B$496,"*genomics*")</f>
        <v>9</v>
      </c>
      <c r="BA3">
        <f>COUNTIFS($J$2:$J$496,"*21-40*",'1'!$B$2:$B$496,"*histology*")</f>
        <v>2</v>
      </c>
      <c r="BB3">
        <f>COUNTIFS($J$2:$J$496,"*21-40*",'1'!$B$2:$B$496,"*metabolomics*")</f>
        <v>1</v>
      </c>
      <c r="BC3">
        <f>COUNTIFS($J$2:$J$496,"*21-40*",'1'!$B$2:$B$496,"*microscopy*")</f>
        <v>11</v>
      </c>
      <c r="BD3">
        <f>COUNTIFS($J$2:$J$496,"*21-40*",'1'!$B$2:$B$496,"*mouse*")</f>
        <v>6</v>
      </c>
      <c r="BE3">
        <f>COUNTIFS($J$2:$J$496,"*21-40*",'1'!$B$2:$B$496,"*protein expression*")</f>
        <v>1</v>
      </c>
      <c r="BF3">
        <f>COUNTIFS($J$2:$J$496,"*21-40*",'1'!$B$2:$B$496,"*proteomics*")</f>
        <v>9</v>
      </c>
      <c r="BH3" s="17" t="str">
        <f t="shared" si="0"/>
        <v>1-4</v>
      </c>
      <c r="BI3" s="41" t="str">
        <f t="shared" si="1"/>
        <v>1-20</v>
      </c>
      <c r="BJ3" s="18">
        <f t="shared" ref="BJ3:BJ66" si="5">IF(BH3="1-4",1,IF(BH3="5-8",5,IF(BH3="9-12",9,IF(BH3="13-16",13,IF(BH3="&gt;16",17)))))</f>
        <v>1</v>
      </c>
      <c r="BK3" s="18">
        <f t="shared" ref="BK3:BK61" si="6">IF(BI3="1-20",1,IF(BI3="21-40",21,IF(BI3="41-60",41,IF(BI3="61-80",61,IF(BI3="81-100",81,IF(BI3="&gt; 100",101))))))</f>
        <v>1</v>
      </c>
      <c r="BL3" t="str">
        <f t="shared" si="2"/>
        <v>microscopy</v>
      </c>
      <c r="BM3" s="5" t="str">
        <f t="shared" si="3"/>
        <v>both</v>
      </c>
    </row>
    <row r="4" spans="1:76" x14ac:dyDescent="0.2">
      <c r="A4">
        <v>3</v>
      </c>
      <c r="B4" t="s">
        <v>119</v>
      </c>
      <c r="C4" t="s">
        <v>120</v>
      </c>
      <c r="D4" t="s">
        <v>84</v>
      </c>
      <c r="E4" t="s">
        <v>84</v>
      </c>
      <c r="F4" s="6" t="str">
        <f t="shared" si="4"/>
        <v>both</v>
      </c>
      <c r="G4" t="s">
        <v>86</v>
      </c>
      <c r="H4" s="5" t="s">
        <v>121</v>
      </c>
      <c r="I4" s="4" t="s">
        <v>87</v>
      </c>
      <c r="J4" s="40" t="s">
        <v>619</v>
      </c>
      <c r="K4" s="4">
        <v>20</v>
      </c>
      <c r="M4" t="s">
        <v>336</v>
      </c>
      <c r="N4">
        <f>COUNTIF(B$2:B497,"cell culture")</f>
        <v>5</v>
      </c>
      <c r="P4" t="s">
        <v>1923</v>
      </c>
      <c r="Q4">
        <f>COUNTIF($F$2:$F$496,"*users work*")</f>
        <v>28</v>
      </c>
      <c r="R4">
        <f>COUNTIFS($F$2:$F$496,"*users work*",'1'!$B$2:$B$496,"*flow cytometry*")</f>
        <v>7</v>
      </c>
      <c r="S4">
        <f>COUNTIFS($F$2:$F$496,"*users work*",'1'!$B$2:$B$496,"*genomics*")</f>
        <v>1</v>
      </c>
      <c r="T4">
        <f>COUNTIFS($F$2:$F$496,"*users work*",'1'!$B$2:$B$496,"*histology*")</f>
        <v>1</v>
      </c>
      <c r="U4">
        <f>COUNTIFS($F$2:$F$496,"*users work*",'1'!$B$2:$B$496,"*metabolomics*")</f>
        <v>1</v>
      </c>
      <c r="V4">
        <f>COUNTIFS($F$2:$F$496,"*users work*",'1'!$B$2:$B$496,"*microscopy*")</f>
        <v>9</v>
      </c>
      <c r="W4">
        <f>COUNTIFS($F$2:$F$496,"*users work*",'1'!$B$2:$B$496,"*mouse*")</f>
        <v>3</v>
      </c>
      <c r="X4">
        <f>COUNTIFS($F$2:$F$496,"*users work*",'1'!$B$2:$B$496,"*protein expression*")</f>
        <v>0</v>
      </c>
      <c r="Y4">
        <f>COUNTIFS($F$2:$F$496,"*users work*",'1'!$B$2:$B$496,"*proteomics*")</f>
        <v>0</v>
      </c>
      <c r="AA4" t="s">
        <v>618</v>
      </c>
      <c r="AB4">
        <f>COUNTIF($G$2:$G$496,"1-1000 GB")</f>
        <v>100</v>
      </c>
      <c r="AC4">
        <f>COUNTIFS($G$2:$G$496,"1-1000 GB",'1'!$B$2:$B$496,"*flow cytometry*")</f>
        <v>25</v>
      </c>
      <c r="AD4">
        <f>COUNTIFS($G$2:$G$496,"1-1000 GB",'1'!$B$2:$B$496,"*genomics*")</f>
        <v>8</v>
      </c>
      <c r="AE4">
        <f>COUNTIFS($G$2:$G$496,"1-1000 GB",'1'!$B$2:$B$496,"*histology*")</f>
        <v>1</v>
      </c>
      <c r="AF4">
        <f>COUNTIFS($G$2:$G$496,"1-1000 GB",'1'!$B$2:$B$496,"*metabolomics*")</f>
        <v>4</v>
      </c>
      <c r="AG4">
        <f>COUNTIFS($G$2:$G$496,"1-1000 GB",'1'!$B$2:$B$496,"*microscopy*")</f>
        <v>24</v>
      </c>
      <c r="AH4">
        <f>COUNTIFS($G$2:$G$496,"1-1000 GB",'1'!$B$2:$B$496,"*mouse*")</f>
        <v>4</v>
      </c>
      <c r="AI4">
        <f>COUNTIFS($G$2:$G$496,"1-1000 GB",'1'!$B$2:$B$496,"*protein expression*")</f>
        <v>2</v>
      </c>
      <c r="AJ4">
        <f>COUNTIFS($G$2:$G$496,"1-1000 GB",'1'!$B$2:$B$496,"*proteomics*")</f>
        <v>18</v>
      </c>
      <c r="AL4" t="s">
        <v>290</v>
      </c>
      <c r="AM4">
        <f>COUNTIF($I$2:$I$496,"9-12")</f>
        <v>17</v>
      </c>
      <c r="AN4">
        <f>COUNTIFS($I$2:$I$496,"9-12",'1'!$B$2:$B$496,"*flow cytometry*")</f>
        <v>2</v>
      </c>
      <c r="AO4">
        <f>COUNTIFS($I$2:$I$496,"9-12",'1'!$B$2:$B$496,"*genomics*")</f>
        <v>3</v>
      </c>
      <c r="AP4">
        <f>COUNTIFS($I$2:$I$496,"9-12",'1'!$B$2:$B$496,"*histology*")</f>
        <v>2</v>
      </c>
      <c r="AQ4">
        <f>COUNTIFS($I$2:$I$496,"9-12",'1'!$B$2:$B$496,"*metabolomics*")</f>
        <v>0</v>
      </c>
      <c r="AR4">
        <f>COUNTIFS($I$2:$I$496,"9-12",'1'!$B$2:$B$496,"*microscopy*")</f>
        <v>1</v>
      </c>
      <c r="AS4">
        <f>COUNTIFS($I$2:$I$496,"9-12",'1'!$B$2:$B$496,"*mouse*")</f>
        <v>0</v>
      </c>
      <c r="AT4">
        <f>COUNTIFS($I$2:$I$496,"9-12",'1'!$B$2:$B$496,"*protein expression*")</f>
        <v>0</v>
      </c>
      <c r="AU4">
        <f>COUNTIFS($I$2:$I$496,"9-12",'1'!$B$2:$B$496,"*proteomics*")</f>
        <v>4</v>
      </c>
      <c r="AW4" t="s">
        <v>621</v>
      </c>
      <c r="AX4">
        <f>COUNTIF($J$2:$J$496,"*41-60*")</f>
        <v>34</v>
      </c>
      <c r="AY4">
        <f>COUNTIFS($J$2:$J$496,"*41-60*",'1'!$B$2:$B$496,"*flow cytometry*")</f>
        <v>14</v>
      </c>
      <c r="AZ4">
        <f>COUNTIFS($J$2:$J$496,"*41-60*",'1'!$B$2:$B$496,"*genomics*")</f>
        <v>2</v>
      </c>
      <c r="BA4">
        <f>COUNTIFS($J$2:$J$496,"*41-60*",'1'!$B$2:$B$496,"*histology*")</f>
        <v>2</v>
      </c>
      <c r="BB4">
        <f>COUNTIFS($J$2:$J$496,"*41-60*",'1'!$B$2:$B$496,"*metabolomics*")</f>
        <v>0</v>
      </c>
      <c r="BC4">
        <f>COUNTIFS($J$2:$J$496,"*41-60*",'1'!$B$2:$B$496,"*microscopy*")</f>
        <v>13</v>
      </c>
      <c r="BD4">
        <f>COUNTIFS($J$2:$J$496,"*41-60*",'1'!$B$2:$B$496,"*mouse*")</f>
        <v>0</v>
      </c>
      <c r="BE4">
        <f>COUNTIFS($J$2:$J$496,"*41-60*",'1'!$B$2:$B$496,"*protein expression*")</f>
        <v>1</v>
      </c>
      <c r="BF4">
        <f>COUNTIFS($J$2:$J$496,"*41-60*",'1'!$B$2:$B$496,"*proteomics*")</f>
        <v>2</v>
      </c>
      <c r="BH4" s="17" t="str">
        <f t="shared" si="0"/>
        <v>1-4</v>
      </c>
      <c r="BI4" s="41" t="str">
        <f t="shared" si="1"/>
        <v>1-20</v>
      </c>
      <c r="BJ4" s="18">
        <f t="shared" si="5"/>
        <v>1</v>
      </c>
      <c r="BK4" s="18">
        <f t="shared" si="6"/>
        <v>1</v>
      </c>
      <c r="BL4" t="str">
        <f t="shared" si="2"/>
        <v>Other</v>
      </c>
      <c r="BM4" s="5" t="str">
        <f t="shared" si="3"/>
        <v>both</v>
      </c>
    </row>
    <row r="5" spans="1:76" x14ac:dyDescent="0.2">
      <c r="A5">
        <v>4</v>
      </c>
      <c r="B5" s="36" t="s">
        <v>137</v>
      </c>
      <c r="C5" t="s">
        <v>137</v>
      </c>
      <c r="D5" t="s">
        <v>84</v>
      </c>
      <c r="E5" t="s">
        <v>84</v>
      </c>
      <c r="F5" s="6" t="str">
        <f t="shared" si="4"/>
        <v>both</v>
      </c>
      <c r="G5" t="s">
        <v>138</v>
      </c>
      <c r="I5" s="4" t="s">
        <v>87</v>
      </c>
      <c r="J5" s="40" t="s">
        <v>619</v>
      </c>
      <c r="K5" s="4">
        <v>10</v>
      </c>
      <c r="M5" t="s">
        <v>85</v>
      </c>
      <c r="N5">
        <f>COUNTIF(B$2:B497,"crystallography")</f>
        <v>2</v>
      </c>
      <c r="AA5" t="s">
        <v>108</v>
      </c>
      <c r="AB5">
        <f>COUNTIF($G$2:$G$496,"1-1000 TB")</f>
        <v>86</v>
      </c>
      <c r="AC5">
        <f>COUNTIFS($G$2:$G$496,"1-1000 TB",'1'!$B$2:$B$496,"*flow cytometry*")</f>
        <v>7</v>
      </c>
      <c r="AD5">
        <f>COUNTIFS($G$2:$G$496,"1-1000 TB",'1'!$B$2:$B$496,"*genomics*")</f>
        <v>17</v>
      </c>
      <c r="AE5">
        <f>COUNTIFS($G$2:$G$496,"1-1000 TB",'1'!$B$2:$B$496,"*histology*")</f>
        <v>2</v>
      </c>
      <c r="AF5">
        <f>COUNTIFS($G$2:$G$496,"1-1000 TB",'1'!$B$2:$B$496,"*metabolomics*")</f>
        <v>2</v>
      </c>
      <c r="AG5">
        <f>COUNTIFS($G$2:$G$496,"1-1000 TB",'1'!$B$2:$B$496,"*microscopy*")</f>
        <v>34</v>
      </c>
      <c r="AH5">
        <f>COUNTIFS($G$2:$G$496,"1-1000 TB",'1'!$B$2:$B$496,"*mouse*")</f>
        <v>1</v>
      </c>
      <c r="AI5">
        <f>COUNTIFS($G$2:$G$496,"1-1000 TB",'1'!$B$2:$B$496,"*protein expression*")</f>
        <v>0</v>
      </c>
      <c r="AJ5">
        <f>COUNTIFS($G$2:$G$496,"1-1000 TB",'1'!$B$2:$B$496,"*proteomics*")</f>
        <v>15</v>
      </c>
      <c r="AL5" t="s">
        <v>632</v>
      </c>
      <c r="AM5">
        <f>COUNTIF($I$2:$I$496,"13-16")</f>
        <v>8</v>
      </c>
      <c r="AN5">
        <f>COUNTIFS($I$2:$I$496,"13-16",'1'!$B$2:$B$496,"*flow cytometry*")</f>
        <v>1</v>
      </c>
      <c r="AO5">
        <f>COUNTIFS($I$2:$I$496,"13-16",'1'!$B$2:$B$496,"*genomics*")</f>
        <v>2</v>
      </c>
      <c r="AP5">
        <f>COUNTIFS($I$2:$I$496,"13-16",'1'!$B$2:$B$496,"*histology*")</f>
        <v>0</v>
      </c>
      <c r="AQ5">
        <f>COUNTIFS($I$2:$I$496,"13-16",'1'!$B$2:$B$496,"*metabolomics*")</f>
        <v>0</v>
      </c>
      <c r="AR5">
        <f>COUNTIFS($I$2:$I$496,"13-16",'1'!$B$2:$B$496,"*microscopy*")</f>
        <v>2</v>
      </c>
      <c r="AS5">
        <f>COUNTIFS($I$2:$I$496,"13-16",'1'!$B$2:$B$496,"*mouse*")</f>
        <v>0</v>
      </c>
      <c r="AT5">
        <f>COUNTIFS($I$2:$I$496,"13-16",'1'!$B$2:$B$496,"*protein expression*")</f>
        <v>0</v>
      </c>
      <c r="AU5">
        <f>COUNTIFS($I$2:$I$496,"13-16",'1'!$B$2:$B$496,"*proteomics*")</f>
        <v>1</v>
      </c>
      <c r="AW5" t="s">
        <v>622</v>
      </c>
      <c r="AX5">
        <f>COUNTIF($J$2:$J$496,"*61-80*")</f>
        <v>12</v>
      </c>
      <c r="AY5">
        <f>COUNTIFS($J$2:$J$496,"*61-80*",'1'!$B$2:$B$496,"*flow cytometry*")</f>
        <v>5</v>
      </c>
      <c r="AZ5">
        <f>COUNTIFS($J$2:$J$496,"*61-80*",'1'!$B$2:$B$496,"*genomics*")</f>
        <v>0</v>
      </c>
      <c r="BA5">
        <f>COUNTIFS($J$2:$J$496,"*61-80*",'1'!$B$2:$B$496,"*histology*")</f>
        <v>0</v>
      </c>
      <c r="BB5">
        <f>COUNTIFS($J$2:$J$496,"*61-80*",'1'!$B$2:$B$496,"*metabolomics*")</f>
        <v>1</v>
      </c>
      <c r="BC5">
        <f>COUNTIFS($J$2:$J$496,"*61-80*",'1'!$B$2:$B$496,"*microscopy*")</f>
        <v>5</v>
      </c>
      <c r="BD5">
        <f>COUNTIFS($J$2:$J$496,"*61-80*",'1'!$B$2:$B$496,"*mouse*")</f>
        <v>0</v>
      </c>
      <c r="BE5">
        <f>COUNTIFS($J$2:$J$496,"*61-80*",'1'!$B$2:$B$496,"*protein expression*")</f>
        <v>0</v>
      </c>
      <c r="BF5">
        <f>COUNTIFS($J$2:$J$496,"*61-80*",'1'!$B$2:$B$496,"*proteomics*")</f>
        <v>0</v>
      </c>
      <c r="BH5" s="17" t="str">
        <f t="shared" si="0"/>
        <v>1-4</v>
      </c>
      <c r="BI5" s="41" t="str">
        <f t="shared" si="1"/>
        <v>1-20</v>
      </c>
      <c r="BJ5" s="18">
        <f t="shared" si="5"/>
        <v>1</v>
      </c>
      <c r="BK5" s="18">
        <f t="shared" si="6"/>
        <v>1</v>
      </c>
      <c r="BL5" t="str">
        <f t="shared" si="2"/>
        <v>pluripotent stem cells</v>
      </c>
      <c r="BM5" s="5" t="str">
        <f t="shared" si="3"/>
        <v>both</v>
      </c>
    </row>
    <row r="6" spans="1:76" x14ac:dyDescent="0.2">
      <c r="A6">
        <v>5</v>
      </c>
      <c r="B6" t="s">
        <v>107</v>
      </c>
      <c r="D6" t="s">
        <v>84</v>
      </c>
      <c r="E6" t="s">
        <v>84</v>
      </c>
      <c r="F6" s="6" t="str">
        <f t="shared" si="4"/>
        <v>both</v>
      </c>
      <c r="G6" t="s">
        <v>618</v>
      </c>
      <c r="I6" s="4" t="s">
        <v>87</v>
      </c>
      <c r="J6" s="40" t="s">
        <v>619</v>
      </c>
      <c r="K6" s="4">
        <v>20</v>
      </c>
      <c r="M6" t="s">
        <v>105</v>
      </c>
      <c r="N6" s="10">
        <f>COUNTIF(B$2:B497,"flow cytometry")</f>
        <v>50</v>
      </c>
      <c r="P6" t="s">
        <v>4002</v>
      </c>
      <c r="Q6">
        <f>COUNTIF($F$2:$F$496,"*staff*")</f>
        <v>73</v>
      </c>
      <c r="R6">
        <f>COUNTIFS($F$2:$F$496,"*staff*",'1'!$B$2:$B$496,"*flow cytometry*")</f>
        <v>3</v>
      </c>
      <c r="S6">
        <f>COUNTIFS($F$2:$F$496,"*staff*",'1'!$B$2:$B$496,"*genomics*")</f>
        <v>15</v>
      </c>
      <c r="T6">
        <f>COUNTIFS($F$2:$F$496,"*staff*",'1'!$B$2:$B$496,"*histology*")</f>
        <v>2</v>
      </c>
      <c r="U6">
        <f>COUNTIFS($F$2:$F$496,"*staff*",'1'!$B$2:$B$496,"*metabolomics*")</f>
        <v>3</v>
      </c>
      <c r="V6">
        <f>COUNTIFS($F$2:$F$496,"*staff*",'1'!$B$2:$B$496,"*microscopy*")</f>
        <v>5</v>
      </c>
      <c r="W6">
        <f>COUNTIFS($F$2:$F$496,"*staff*",'1'!$B$2:$B$496,"*mouse*")</f>
        <v>6</v>
      </c>
      <c r="X6">
        <f>COUNTIFS($F$2:$F$496,"*staff*",'1'!$B$2:$B$496,"*protein expression*")</f>
        <v>3</v>
      </c>
      <c r="Y6">
        <f>COUNTIFS($F$2:$F$496,"*staff*",'1'!$B$2:$B$496,"*proteomics*")</f>
        <v>23</v>
      </c>
      <c r="AA6" t="s">
        <v>106</v>
      </c>
      <c r="AB6">
        <f>COUNTIF($G$2:$G$496,"I don’t know")</f>
        <v>42</v>
      </c>
      <c r="AC6">
        <f>COUNTIFS($G$2:$G$496,"I don’t know",'1'!$B$2:$B$496,"*flow cytometry*")</f>
        <v>10</v>
      </c>
      <c r="AD6">
        <f>COUNTIFS($G$2:$G$496,"I don’t know",'1'!$B$2:$B$496,"*genomics*")</f>
        <v>2</v>
      </c>
      <c r="AE6">
        <f>COUNTIFS($G$2:$G$496,"I don’t know",'1'!$B$2:$B$496,"*histology*")</f>
        <v>7</v>
      </c>
      <c r="AF6">
        <f>COUNTIFS($G$2:$G$496,"I don’t know",'1'!$B$2:$B$496,"*metabolomics*")</f>
        <v>0</v>
      </c>
      <c r="AG6">
        <f>COUNTIFS($G$2:$G$496,"I don’t know",'1'!$B$2:$B$496,"*microscopy*")</f>
        <v>2</v>
      </c>
      <c r="AH6">
        <f>COUNTIFS($G$2:$G$496,"I don’t know",'1'!$B$2:$B$496,"*mouse*")</f>
        <v>8</v>
      </c>
      <c r="AI6">
        <f>COUNTIFS($G$2:$G$496,"I don’t know",'1'!$B$2:$B$496,"*protein expression*")</f>
        <v>2</v>
      </c>
      <c r="AJ6">
        <f>COUNTIFS($G$2:$G$496,"I don’t know",'1'!$B$2:$B$496,"*proteomics*")</f>
        <v>1</v>
      </c>
      <c r="AL6" t="s">
        <v>195</v>
      </c>
      <c r="AM6">
        <f>COUNTIF($I$2:$I$496,"*&gt;16*")</f>
        <v>15</v>
      </c>
      <c r="AN6">
        <f>COUNTIFS($I$2:$I$496,"*&gt;16*",'1'!$B$2:$B$496,"*flow cytometry*")</f>
        <v>0</v>
      </c>
      <c r="AO6">
        <f>COUNTIFS($I$2:$I$496,"*&gt;16*",'1'!$B$2:$B$496,"*genomics*")</f>
        <v>3</v>
      </c>
      <c r="AP6">
        <f>COUNTIFS($I$2:$I$496,"*&gt;16*",'1'!$B$2:$B$496,"*histology*")</f>
        <v>0</v>
      </c>
      <c r="AQ6">
        <f>COUNTIFS($I$2:$I$496,"*&gt;16*",'1'!$B$2:$B$496,"*metabolomics*")</f>
        <v>0</v>
      </c>
      <c r="AR6">
        <f>COUNTIFS($I$2:$I$496,"*&gt;16*",'1'!$B$2:$B$496,"*microscopy*")</f>
        <v>2</v>
      </c>
      <c r="AS6">
        <f>COUNTIFS($I$2:$I$496,"*&gt;16*",'1'!$B$2:$B$496,"*mouse*")</f>
        <v>2</v>
      </c>
      <c r="AT6">
        <f>COUNTIFS($I$2:$I$496,"*&gt;16*",'1'!$B$2:$B$496,"*protein expression*")</f>
        <v>0</v>
      </c>
      <c r="AU6">
        <f>COUNTIFS($I$2:$I$496,"*&gt;16*",'1'!$B$2:$B$496,"*proteomics*")</f>
        <v>1</v>
      </c>
      <c r="AW6" t="s">
        <v>633</v>
      </c>
      <c r="AX6">
        <f>COUNTIF($J$2:$J$496,"*81-100*")</f>
        <v>10</v>
      </c>
      <c r="AY6">
        <f>COUNTIFS($J$2:$J$496,"*81-100*",'1'!$B$2:$B$496,"*flow cytometry*")</f>
        <v>2</v>
      </c>
      <c r="AZ6">
        <f>COUNTIFS($J$2:$J$496,"*81-100*",'1'!$B$2:$B$496,"*genomics*")</f>
        <v>2</v>
      </c>
      <c r="BA6">
        <f>COUNTIFS($J$2:$J$496,"*81-100*",'1'!$B$2:$B$496,"*histology*")</f>
        <v>0</v>
      </c>
      <c r="BB6">
        <f>COUNTIFS($J$2:$J$496,"*81-100*",'1'!$B$2:$B$496,"*metabolomics*")</f>
        <v>0</v>
      </c>
      <c r="BC6">
        <f>COUNTIFS($J$2:$J$496,"*81-100*",'1'!$B$2:$B$496,"*microscopy*")</f>
        <v>6</v>
      </c>
      <c r="BD6">
        <f>COUNTIFS($J$2:$J$496,"*81-100*",'1'!$B$2:$B$496,"*mouse*")</f>
        <v>0</v>
      </c>
      <c r="BE6">
        <f>COUNTIFS($J$2:$J$496,"*81-100*",'1'!$B$2:$B$496,"*protein expression*")</f>
        <v>0</v>
      </c>
      <c r="BF6">
        <f>COUNTIFS($J$2:$J$496,"*81-100*",'1'!$B$2:$B$496,"*proteomics*")</f>
        <v>0</v>
      </c>
      <c r="BH6" s="17" t="str">
        <f t="shared" si="0"/>
        <v>1-4</v>
      </c>
      <c r="BI6" s="41" t="str">
        <f t="shared" si="1"/>
        <v>1-20</v>
      </c>
      <c r="BJ6" s="18">
        <f t="shared" si="5"/>
        <v>1</v>
      </c>
      <c r="BK6" s="18">
        <f t="shared" si="6"/>
        <v>1</v>
      </c>
      <c r="BL6" t="str">
        <f t="shared" si="2"/>
        <v>microscopy</v>
      </c>
      <c r="BM6" s="5" t="str">
        <f t="shared" si="3"/>
        <v>both</v>
      </c>
    </row>
    <row r="7" spans="1:76" x14ac:dyDescent="0.2">
      <c r="A7">
        <v>6</v>
      </c>
      <c r="B7" t="s">
        <v>161</v>
      </c>
      <c r="D7" t="s">
        <v>84</v>
      </c>
      <c r="E7" t="s">
        <v>84</v>
      </c>
      <c r="F7" s="6" t="str">
        <f t="shared" si="4"/>
        <v>both</v>
      </c>
      <c r="G7" t="s">
        <v>108</v>
      </c>
      <c r="I7" s="4" t="s">
        <v>87</v>
      </c>
      <c r="J7" s="40" t="s">
        <v>619</v>
      </c>
      <c r="K7" s="4">
        <v>10</v>
      </c>
      <c r="M7" t="s">
        <v>324</v>
      </c>
      <c r="N7" s="10">
        <f>COUNTIF(B$2:B497,"genomics")</f>
        <v>33</v>
      </c>
      <c r="P7" t="s">
        <v>4014</v>
      </c>
      <c r="Q7">
        <f>COUNTIF($F$2:$F$496,"*both*")</f>
        <v>175</v>
      </c>
      <c r="R7">
        <f>COUNTIFS($F$2:$F$496,"*both*",'1'!$B$2:$B$496,"*flow cytometry*")</f>
        <v>40</v>
      </c>
      <c r="S7">
        <f>COUNTIFS($F$2:$F$496,"*both*",'1'!$B$2:$B$496,"*genomics*")</f>
        <v>17</v>
      </c>
      <c r="T7">
        <f>COUNTIFS($F$2:$F$496,"*both*",'1'!$B$2:$B$496,"*histology*")</f>
        <v>8</v>
      </c>
      <c r="U7">
        <f>COUNTIFS($F$2:$F$496,"*both*",'1'!$B$2:$B$496,"*metabolomics*")</f>
        <v>4</v>
      </c>
      <c r="V7">
        <f>COUNTIFS($F$2:$F$496,"*both*",'1'!$B$2:$B$496,"*microscopy*")</f>
        <v>49</v>
      </c>
      <c r="W7">
        <f>COUNTIFS($F$2:$F$496,"*both*",'1'!$B$2:$B$496,"*mouse*")</f>
        <v>7</v>
      </c>
      <c r="X7">
        <f>COUNTIFS($F$2:$F$496,"*both*",'1'!$B$2:$B$496,"*protein expression*")</f>
        <v>5</v>
      </c>
      <c r="Y7">
        <f>COUNTIFS($F$2:$F$496,"*both*",'1'!$B$2:$B$496,"*proteomics*")</f>
        <v>12</v>
      </c>
      <c r="AA7" t="s">
        <v>631</v>
      </c>
      <c r="AB7">
        <f>COUNTIF($G$2:$G$496,"1-1000 PB")</f>
        <v>0</v>
      </c>
      <c r="AC7">
        <f>COUNTIFS($G$2:$G$496,"1-1000 PB",'1'!$B$2:$B$496,"*flow cytometry*")</f>
        <v>0</v>
      </c>
      <c r="AD7">
        <f>COUNTIFS($G$2:$G$496,"1-1000 PB",'1'!$B$2:$B$496,"*genomics*")</f>
        <v>0</v>
      </c>
      <c r="AE7">
        <f>COUNTIFS($G$2:$G$496,"1-1000 PB",'1'!$B$2:$B$496,"*histology*")</f>
        <v>0</v>
      </c>
      <c r="AF7">
        <f>COUNTIFS($G$2:$G$496,"1-1000 PB",'1'!$B$2:$B$496,"*metabolomics*")</f>
        <v>0</v>
      </c>
      <c r="AG7">
        <f>COUNTIFS($G$2:$G$496,"1-1000 PB",'1'!$B$2:$B$496,"*microscopy*")</f>
        <v>0</v>
      </c>
      <c r="AH7">
        <f>COUNTIFS($G$2:$G$496,"1-1000 PB",'1'!$B$2:$B$496,"*mouse*")</f>
        <v>0</v>
      </c>
      <c r="AI7">
        <f>COUNTIFS($G$2:$G$496,"1-1000 PB",'1'!$B$2:$B$496,"*protein expression*")</f>
        <v>0</v>
      </c>
      <c r="AJ7">
        <f>COUNTIFS($G$2:$G$496,"1-1000 PB",'1'!$B$2:$B$496,"*proteomics*")</f>
        <v>0</v>
      </c>
      <c r="AM7">
        <f>SUM(AM2:AM6)</f>
        <v>276</v>
      </c>
      <c r="AW7" t="s">
        <v>623</v>
      </c>
      <c r="AX7">
        <f>COUNTIF($J$2:$J$496,"*&gt; 100*")</f>
        <v>28</v>
      </c>
      <c r="AY7">
        <f>COUNTIFS($J$2:$J$496,"*&gt; 100*",'1'!$B$2:$B$496,"*flow cytometry*")</f>
        <v>8</v>
      </c>
      <c r="AZ7">
        <f>COUNTIFS($J$2:$J$496,"*&gt; 100*",'1'!$B$2:$B$496,"*genomics*")</f>
        <v>4</v>
      </c>
      <c r="BA7">
        <f>COUNTIFS($J$2:$J$496,"*&gt; 100*",'1'!$B$2:$B$496,"*histology*")</f>
        <v>2</v>
      </c>
      <c r="BB7">
        <f>COUNTIFS($J$2:$J$496,"*&gt; 100*",'1'!$B$2:$B$496,"*metabolomics*")</f>
        <v>0</v>
      </c>
      <c r="BC7">
        <f>COUNTIFS($J$2:$J$496,"*&gt; 100*",'1'!$B$2:$B$496,"*microscopy*")</f>
        <v>7</v>
      </c>
      <c r="BD7">
        <f>COUNTIFS($J$2:$J$496,"*&gt; 100*",'1'!$B$2:$B$496,"*mouse*")</f>
        <v>0</v>
      </c>
      <c r="BE7">
        <f>COUNTIFS($J$2:$J$496,"*&gt; 100*",'1'!$B$2:$B$496,"*protein expression*")</f>
        <v>0</v>
      </c>
      <c r="BF7">
        <f>COUNTIFS($J$2:$J$496,"*&gt; 100*",'1'!$B$2:$B$496,"*proteomics*")</f>
        <v>1</v>
      </c>
      <c r="BH7" s="17" t="str">
        <f t="shared" si="0"/>
        <v>1-4</v>
      </c>
      <c r="BI7" s="41" t="str">
        <f t="shared" si="1"/>
        <v>1-20</v>
      </c>
      <c r="BJ7" s="18">
        <f t="shared" si="5"/>
        <v>1</v>
      </c>
      <c r="BK7" s="18">
        <f t="shared" si="6"/>
        <v>1</v>
      </c>
      <c r="BL7" t="str">
        <f t="shared" si="2"/>
        <v>proteomics</v>
      </c>
      <c r="BM7" s="5" t="str">
        <f t="shared" si="3"/>
        <v>both</v>
      </c>
    </row>
    <row r="8" spans="1:76" x14ac:dyDescent="0.2">
      <c r="A8">
        <v>7</v>
      </c>
      <c r="B8" t="s">
        <v>119</v>
      </c>
      <c r="C8" t="s">
        <v>177</v>
      </c>
      <c r="D8" t="s">
        <v>82</v>
      </c>
      <c r="E8" t="s">
        <v>84</v>
      </c>
      <c r="F8" s="6" t="str">
        <f t="shared" si="4"/>
        <v>users work</v>
      </c>
      <c r="G8" t="s">
        <v>106</v>
      </c>
      <c r="H8" s="5" t="s">
        <v>178</v>
      </c>
      <c r="I8" s="4" t="s">
        <v>87</v>
      </c>
      <c r="J8" s="40" t="s">
        <v>619</v>
      </c>
      <c r="K8" s="4">
        <v>3</v>
      </c>
      <c r="M8" t="s">
        <v>309</v>
      </c>
      <c r="N8" s="10">
        <f>COUNTIF(B$2:B497,"histology")</f>
        <v>11</v>
      </c>
      <c r="P8" t="s">
        <v>4003</v>
      </c>
      <c r="Q8">
        <f>COUNTIF($F$2:$F$496,"*users work*")</f>
        <v>28</v>
      </c>
      <c r="R8">
        <f>COUNTIFS($F$2:$F$496,"*users work*",'1'!$B$2:$B$496,"*flow cytometry*")</f>
        <v>7</v>
      </c>
      <c r="S8">
        <f>COUNTIFS($F$2:$F$496,"*users work*",'1'!$B$2:$B$496,"*genomics*")</f>
        <v>1</v>
      </c>
      <c r="T8">
        <f>COUNTIFS($F$2:$F$496,"*users work*",'1'!$B$2:$B$496,"*histology*")</f>
        <v>1</v>
      </c>
      <c r="U8">
        <f>COUNTIFS($F$2:$F$496,"*users work*",'1'!$B$2:$B$496,"*metabolomics*")</f>
        <v>1</v>
      </c>
      <c r="V8">
        <f>COUNTIFS($F$2:$F$496,"*users work*",'1'!$B$2:$B$496,"*microscopy*")</f>
        <v>9</v>
      </c>
      <c r="W8">
        <f>COUNTIFS($F$2:$F$496,"*users work*",'1'!$B$2:$B$496,"*mouse*")</f>
        <v>3</v>
      </c>
      <c r="X8">
        <f>COUNTIFS($F$2:$F$496,"*users work*",'1'!$B$2:$B$496,"*protein expression*")</f>
        <v>0</v>
      </c>
      <c r="Y8">
        <f>COUNTIFS($F$2:$F$496,"*users work*",'1'!$B$2:$B$496,"*proteomics*")</f>
        <v>0</v>
      </c>
      <c r="AB8">
        <f>SUM(AB2:AB7)</f>
        <v>276</v>
      </c>
      <c r="AX8">
        <f>SUM(AX2:AX7)</f>
        <v>276</v>
      </c>
      <c r="BH8" s="17" t="str">
        <f t="shared" si="0"/>
        <v>1-4</v>
      </c>
      <c r="BI8" s="41" t="str">
        <f t="shared" si="1"/>
        <v>1-20</v>
      </c>
      <c r="BJ8" s="18">
        <f t="shared" si="5"/>
        <v>1</v>
      </c>
      <c r="BK8" s="18">
        <f t="shared" si="6"/>
        <v>1</v>
      </c>
      <c r="BL8" t="str">
        <f t="shared" si="2"/>
        <v>Other</v>
      </c>
      <c r="BM8" s="5" t="str">
        <f t="shared" si="3"/>
        <v>user</v>
      </c>
    </row>
    <row r="9" spans="1:76" x14ac:dyDescent="0.2">
      <c r="A9">
        <v>8</v>
      </c>
      <c r="B9" s="69" t="s">
        <v>402</v>
      </c>
      <c r="C9" t="s">
        <v>194</v>
      </c>
      <c r="D9" t="s">
        <v>84</v>
      </c>
      <c r="E9" t="s">
        <v>84</v>
      </c>
      <c r="F9" s="6" t="str">
        <f>IF(AND($D9="Yes",$E9="Yes"),"both",IF(AND($D9="Yes",$E9="No"),"staff",IF(AND($D9="No",$E9="Yes"),"users work","staff")))</f>
        <v>both</v>
      </c>
      <c r="G9" t="s">
        <v>108</v>
      </c>
      <c r="I9" s="4" t="s">
        <v>195</v>
      </c>
      <c r="J9" s="40" t="s">
        <v>619</v>
      </c>
      <c r="K9" s="4">
        <v>10</v>
      </c>
      <c r="M9" t="s">
        <v>443</v>
      </c>
      <c r="N9" s="10">
        <f>COUNTIF(B$2:B498,"metabolomics")</f>
        <v>8</v>
      </c>
      <c r="BH9" s="17" t="str">
        <f t="shared" si="0"/>
        <v>&gt;16</v>
      </c>
      <c r="BI9" s="41" t="str">
        <f t="shared" si="1"/>
        <v>1-20</v>
      </c>
      <c r="BJ9" s="18">
        <f t="shared" si="5"/>
        <v>17</v>
      </c>
      <c r="BK9" s="18">
        <f t="shared" si="6"/>
        <v>1</v>
      </c>
      <c r="BL9" t="str">
        <f t="shared" si="2"/>
        <v>bioinformatics</v>
      </c>
      <c r="BM9" s="5" t="str">
        <f t="shared" si="3"/>
        <v>both</v>
      </c>
    </row>
    <row r="10" spans="1:76" x14ac:dyDescent="0.2">
      <c r="A10">
        <v>9</v>
      </c>
      <c r="B10" t="s">
        <v>107</v>
      </c>
      <c r="D10" t="s">
        <v>82</v>
      </c>
      <c r="E10" t="s">
        <v>84</v>
      </c>
      <c r="F10" s="6" t="str">
        <f t="shared" si="4"/>
        <v>users work</v>
      </c>
      <c r="G10" t="s">
        <v>108</v>
      </c>
      <c r="I10" s="4" t="s">
        <v>87</v>
      </c>
      <c r="J10" s="40" t="s">
        <v>622</v>
      </c>
      <c r="K10" s="4">
        <v>70</v>
      </c>
      <c r="M10" t="s">
        <v>107</v>
      </c>
      <c r="N10" s="10">
        <f>COUNTIF(B$2:B498,"microscopy")</f>
        <v>63</v>
      </c>
      <c r="BH10" s="17" t="str">
        <f t="shared" si="0"/>
        <v>1-4</v>
      </c>
      <c r="BI10" s="41" t="str">
        <f t="shared" si="1"/>
        <v>61-80</v>
      </c>
      <c r="BJ10" s="18">
        <f t="shared" si="5"/>
        <v>1</v>
      </c>
      <c r="BK10" s="18">
        <f t="shared" si="6"/>
        <v>61</v>
      </c>
      <c r="BL10" t="str">
        <f t="shared" si="2"/>
        <v>microscopy</v>
      </c>
      <c r="BM10" s="5" t="str">
        <f t="shared" si="3"/>
        <v>user</v>
      </c>
    </row>
    <row r="11" spans="1:76" x14ac:dyDescent="0.2">
      <c r="A11">
        <v>10</v>
      </c>
      <c r="B11" s="36" t="s">
        <v>107</v>
      </c>
      <c r="C11" t="s">
        <v>222</v>
      </c>
      <c r="D11" t="s">
        <v>84</v>
      </c>
      <c r="E11" t="s">
        <v>84</v>
      </c>
      <c r="F11" s="6" t="str">
        <f t="shared" si="4"/>
        <v>both</v>
      </c>
      <c r="G11" t="s">
        <v>108</v>
      </c>
      <c r="I11" s="4" t="s">
        <v>87</v>
      </c>
      <c r="J11" s="40" t="s">
        <v>621</v>
      </c>
      <c r="K11" s="4">
        <v>60</v>
      </c>
      <c r="M11" t="s">
        <v>634</v>
      </c>
      <c r="N11" s="10">
        <f>COUNTIF(B$2:B498,"mouse")</f>
        <v>16</v>
      </c>
      <c r="BH11" s="17" t="str">
        <f t="shared" si="0"/>
        <v>1-4</v>
      </c>
      <c r="BI11" s="41" t="str">
        <f t="shared" si="1"/>
        <v>41-60</v>
      </c>
      <c r="BJ11" s="18">
        <f t="shared" si="5"/>
        <v>1</v>
      </c>
      <c r="BK11" s="18">
        <f t="shared" si="6"/>
        <v>41</v>
      </c>
      <c r="BL11" t="str">
        <f t="shared" si="2"/>
        <v>microscopy</v>
      </c>
      <c r="BM11" s="5" t="str">
        <f t="shared" si="3"/>
        <v>both</v>
      </c>
    </row>
    <row r="12" spans="1:76" x14ac:dyDescent="0.2">
      <c r="A12">
        <v>11</v>
      </c>
      <c r="B12" t="s">
        <v>107</v>
      </c>
      <c r="D12" t="s">
        <v>82</v>
      </c>
      <c r="E12" t="s">
        <v>84</v>
      </c>
      <c r="F12" s="6" t="str">
        <f t="shared" si="4"/>
        <v>users work</v>
      </c>
      <c r="G12" t="s">
        <v>108</v>
      </c>
      <c r="I12" s="4" t="s">
        <v>87</v>
      </c>
      <c r="J12" s="40" t="s">
        <v>621</v>
      </c>
      <c r="K12" s="4">
        <v>58</v>
      </c>
      <c r="M12" s="4" t="s">
        <v>630</v>
      </c>
      <c r="N12">
        <f>COUNTIF(B$2:B498,"NMR")</f>
        <v>4</v>
      </c>
      <c r="BH12" s="17" t="str">
        <f t="shared" si="0"/>
        <v>1-4</v>
      </c>
      <c r="BI12" s="41" t="str">
        <f t="shared" si="1"/>
        <v>41-60</v>
      </c>
      <c r="BJ12" s="18">
        <f t="shared" si="5"/>
        <v>1</v>
      </c>
      <c r="BK12" s="18">
        <f t="shared" si="6"/>
        <v>41</v>
      </c>
      <c r="BL12" t="str">
        <f t="shared" si="2"/>
        <v>microscopy</v>
      </c>
      <c r="BM12" s="5" t="str">
        <f t="shared" si="3"/>
        <v>user</v>
      </c>
    </row>
    <row r="13" spans="1:76" x14ac:dyDescent="0.2">
      <c r="A13">
        <v>12</v>
      </c>
      <c r="B13" t="s">
        <v>119</v>
      </c>
      <c r="C13" t="s">
        <v>251</v>
      </c>
      <c r="D13" t="s">
        <v>84</v>
      </c>
      <c r="E13" t="s">
        <v>84</v>
      </c>
      <c r="F13" s="6" t="str">
        <f t="shared" si="4"/>
        <v>both</v>
      </c>
      <c r="G13" t="s">
        <v>86</v>
      </c>
      <c r="H13" s="5" t="s">
        <v>252</v>
      </c>
      <c r="I13" s="4" t="s">
        <v>253</v>
      </c>
      <c r="J13" s="40" t="s">
        <v>619</v>
      </c>
      <c r="K13" s="4" t="s">
        <v>254</v>
      </c>
      <c r="M13" t="s">
        <v>137</v>
      </c>
      <c r="N13">
        <f>COUNTIF(B$2:B496,"pluripotent stem cells")</f>
        <v>3</v>
      </c>
      <c r="BH13" s="17" t="str">
        <f t="shared" si="0"/>
        <v>5-8</v>
      </c>
      <c r="BI13" s="41" t="str">
        <f t="shared" si="1"/>
        <v>1-20</v>
      </c>
      <c r="BJ13" s="18">
        <f t="shared" si="5"/>
        <v>5</v>
      </c>
      <c r="BK13" s="18">
        <f t="shared" si="6"/>
        <v>1</v>
      </c>
      <c r="BL13" t="str">
        <f t="shared" si="2"/>
        <v>Other</v>
      </c>
      <c r="BM13" s="5" t="str">
        <f t="shared" si="3"/>
        <v>both</v>
      </c>
    </row>
    <row r="14" spans="1:76" x14ac:dyDescent="0.2">
      <c r="A14">
        <v>13</v>
      </c>
      <c r="B14" t="s">
        <v>105</v>
      </c>
      <c r="D14" t="s">
        <v>82</v>
      </c>
      <c r="E14" t="s">
        <v>84</v>
      </c>
      <c r="F14" s="6" t="str">
        <f t="shared" si="4"/>
        <v>users work</v>
      </c>
      <c r="G14" t="s">
        <v>618</v>
      </c>
      <c r="I14" s="4" t="s">
        <v>87</v>
      </c>
      <c r="J14" s="40" t="s">
        <v>1924</v>
      </c>
      <c r="K14" s="4">
        <v>150</v>
      </c>
      <c r="M14" t="s">
        <v>377</v>
      </c>
      <c r="N14" s="10">
        <f>COUNTIF(B$2:B499,"protein expression")</f>
        <v>8</v>
      </c>
      <c r="BH14" s="17" t="str">
        <f t="shared" si="0"/>
        <v>1-4</v>
      </c>
      <c r="BI14" s="41" t="str">
        <f t="shared" si="1"/>
        <v>&gt; 100</v>
      </c>
      <c r="BJ14" s="18">
        <f t="shared" si="5"/>
        <v>1</v>
      </c>
      <c r="BK14" s="18">
        <f t="shared" si="6"/>
        <v>101</v>
      </c>
      <c r="BL14" t="str">
        <f t="shared" si="2"/>
        <v>flow cytometry</v>
      </c>
      <c r="BM14" s="5" t="str">
        <f t="shared" si="3"/>
        <v>user</v>
      </c>
    </row>
    <row r="15" spans="1:76" x14ac:dyDescent="0.2">
      <c r="A15">
        <v>14</v>
      </c>
      <c r="B15" t="s">
        <v>119</v>
      </c>
      <c r="C15" t="s">
        <v>289</v>
      </c>
      <c r="D15" t="s">
        <v>84</v>
      </c>
      <c r="E15" t="s">
        <v>82</v>
      </c>
      <c r="F15" s="6" t="str">
        <f t="shared" si="4"/>
        <v>staff</v>
      </c>
      <c r="G15" t="s">
        <v>86</v>
      </c>
      <c r="I15" s="4" t="s">
        <v>290</v>
      </c>
      <c r="J15" s="40" t="s">
        <v>619</v>
      </c>
      <c r="K15" s="4" t="s">
        <v>291</v>
      </c>
      <c r="M15" t="s">
        <v>161</v>
      </c>
      <c r="N15" s="10">
        <f>COUNTIF(B$2:B499,"proteomics")</f>
        <v>35</v>
      </c>
      <c r="BH15" s="17" t="str">
        <f t="shared" si="0"/>
        <v>9-12</v>
      </c>
      <c r="BI15" s="41" t="str">
        <f t="shared" si="1"/>
        <v>1-20</v>
      </c>
      <c r="BJ15" s="18">
        <f t="shared" si="5"/>
        <v>9</v>
      </c>
      <c r="BK15" s="18">
        <f t="shared" si="6"/>
        <v>1</v>
      </c>
      <c r="BL15" t="str">
        <f t="shared" si="2"/>
        <v>Other</v>
      </c>
      <c r="BM15" s="5" t="str">
        <f t="shared" si="3"/>
        <v>staff</v>
      </c>
    </row>
    <row r="16" spans="1:76" x14ac:dyDescent="0.2">
      <c r="A16">
        <v>15</v>
      </c>
      <c r="B16" s="36" t="s">
        <v>920</v>
      </c>
      <c r="C16" t="s">
        <v>309</v>
      </c>
      <c r="D16" t="s">
        <v>84</v>
      </c>
      <c r="E16" t="s">
        <v>84</v>
      </c>
      <c r="F16" s="6" t="str">
        <f t="shared" si="4"/>
        <v>both</v>
      </c>
      <c r="G16" t="s">
        <v>108</v>
      </c>
      <c r="I16" s="4" t="s">
        <v>253</v>
      </c>
      <c r="J16" s="40" t="s">
        <v>1924</v>
      </c>
      <c r="K16" s="4">
        <v>125</v>
      </c>
      <c r="M16" t="s">
        <v>119</v>
      </c>
      <c r="N16">
        <f>COUNTIF(B$2:B499,"other")</f>
        <v>31</v>
      </c>
      <c r="BH16" s="17" t="str">
        <f t="shared" si="0"/>
        <v>5-8</v>
      </c>
      <c r="BI16" s="41" t="str">
        <f t="shared" si="1"/>
        <v>&gt; 100</v>
      </c>
      <c r="BJ16" s="18">
        <f t="shared" si="5"/>
        <v>5</v>
      </c>
      <c r="BK16" s="18">
        <f t="shared" si="6"/>
        <v>101</v>
      </c>
      <c r="BL16" t="str">
        <f t="shared" si="2"/>
        <v>Histology</v>
      </c>
      <c r="BM16" s="5" t="str">
        <f t="shared" si="3"/>
        <v>both</v>
      </c>
    </row>
    <row r="17" spans="1:65" x14ac:dyDescent="0.2">
      <c r="A17">
        <v>16</v>
      </c>
      <c r="B17" t="s">
        <v>324</v>
      </c>
      <c r="D17" t="s">
        <v>84</v>
      </c>
      <c r="E17" t="s">
        <v>84</v>
      </c>
      <c r="F17" s="6" t="str">
        <f t="shared" si="4"/>
        <v>both</v>
      </c>
      <c r="G17" t="s">
        <v>108</v>
      </c>
      <c r="I17" s="4" t="s">
        <v>253</v>
      </c>
      <c r="J17" s="40" t="s">
        <v>621</v>
      </c>
      <c r="K17" s="4">
        <v>50</v>
      </c>
      <c r="N17">
        <f>SUM(N2:N16)</f>
        <v>276</v>
      </c>
      <c r="BH17" s="17" t="str">
        <f t="shared" si="0"/>
        <v>5-8</v>
      </c>
      <c r="BI17" s="41" t="str">
        <f t="shared" si="1"/>
        <v>41-60</v>
      </c>
      <c r="BJ17" s="18">
        <f t="shared" si="5"/>
        <v>5</v>
      </c>
      <c r="BK17" s="18">
        <f t="shared" si="6"/>
        <v>41</v>
      </c>
      <c r="BL17" t="str">
        <f t="shared" si="2"/>
        <v>genomics</v>
      </c>
      <c r="BM17" s="5" t="str">
        <f t="shared" si="3"/>
        <v>both</v>
      </c>
    </row>
    <row r="18" spans="1:65" x14ac:dyDescent="0.2">
      <c r="A18">
        <v>17</v>
      </c>
      <c r="B18" t="s">
        <v>336</v>
      </c>
      <c r="D18" s="12" t="s">
        <v>82</v>
      </c>
      <c r="E18" s="12" t="s">
        <v>84</v>
      </c>
      <c r="F18" s="6" t="str">
        <f t="shared" si="4"/>
        <v>users work</v>
      </c>
      <c r="G18" t="s">
        <v>106</v>
      </c>
      <c r="I18" s="4" t="s">
        <v>87</v>
      </c>
      <c r="J18" s="40" t="s">
        <v>1924</v>
      </c>
      <c r="K18" s="4" t="s">
        <v>337</v>
      </c>
      <c r="BH18" s="17" t="str">
        <f t="shared" si="0"/>
        <v>1-4</v>
      </c>
      <c r="BI18" s="41" t="str">
        <f t="shared" si="1"/>
        <v>&gt; 100</v>
      </c>
      <c r="BJ18" s="18">
        <f t="shared" si="5"/>
        <v>1</v>
      </c>
      <c r="BK18" s="18">
        <f t="shared" si="6"/>
        <v>101</v>
      </c>
      <c r="BL18" t="str">
        <f t="shared" si="2"/>
        <v>cell culture</v>
      </c>
      <c r="BM18" s="5" t="str">
        <f t="shared" si="3"/>
        <v>user</v>
      </c>
    </row>
    <row r="19" spans="1:65" x14ac:dyDescent="0.2">
      <c r="A19">
        <v>18</v>
      </c>
      <c r="B19" t="s">
        <v>324</v>
      </c>
      <c r="D19" s="12" t="s">
        <v>82</v>
      </c>
      <c r="E19" s="12" t="s">
        <v>82</v>
      </c>
      <c r="F19" s="6" t="str">
        <f t="shared" si="4"/>
        <v>staff</v>
      </c>
      <c r="G19" t="s">
        <v>108</v>
      </c>
      <c r="I19" s="4" t="s">
        <v>87</v>
      </c>
      <c r="J19" s="40" t="s">
        <v>619</v>
      </c>
      <c r="K19" s="4">
        <v>20</v>
      </c>
      <c r="BH19" s="17" t="str">
        <f t="shared" si="0"/>
        <v>1-4</v>
      </c>
      <c r="BI19" s="41" t="str">
        <f t="shared" si="1"/>
        <v>1-20</v>
      </c>
      <c r="BJ19" s="18">
        <f t="shared" si="5"/>
        <v>1</v>
      </c>
      <c r="BK19" s="18">
        <f t="shared" si="6"/>
        <v>1</v>
      </c>
      <c r="BL19" t="str">
        <f t="shared" si="2"/>
        <v>genomics</v>
      </c>
      <c r="BM19" s="5" t="str">
        <f t="shared" si="3"/>
        <v>staff</v>
      </c>
    </row>
    <row r="20" spans="1:65" x14ac:dyDescent="0.2">
      <c r="A20">
        <v>19</v>
      </c>
      <c r="B20" s="31" t="s">
        <v>363</v>
      </c>
      <c r="C20" s="31"/>
      <c r="D20" s="31" t="s">
        <v>82</v>
      </c>
      <c r="E20" s="31" t="s">
        <v>84</v>
      </c>
      <c r="F20" s="48" t="str">
        <f t="shared" si="4"/>
        <v>users work</v>
      </c>
      <c r="G20" s="31" t="s">
        <v>106</v>
      </c>
      <c r="H20" s="49"/>
      <c r="I20" s="50" t="s">
        <v>87</v>
      </c>
      <c r="J20" s="51" t="s">
        <v>620</v>
      </c>
      <c r="K20" s="50">
        <v>30</v>
      </c>
      <c r="BH20" s="17" t="str">
        <f t="shared" si="0"/>
        <v>1-4</v>
      </c>
      <c r="BI20" s="41" t="str">
        <f t="shared" si="1"/>
        <v>21-40</v>
      </c>
      <c r="BJ20" s="18">
        <f t="shared" si="5"/>
        <v>1</v>
      </c>
      <c r="BK20" s="18">
        <f t="shared" si="6"/>
        <v>21</v>
      </c>
      <c r="BL20" t="str">
        <f t="shared" si="2"/>
        <v>mouse</v>
      </c>
      <c r="BM20" s="5" t="str">
        <f t="shared" si="3"/>
        <v>user</v>
      </c>
    </row>
    <row r="21" spans="1:65" x14ac:dyDescent="0.2">
      <c r="A21">
        <v>20</v>
      </c>
      <c r="B21" s="48" t="s">
        <v>363</v>
      </c>
      <c r="C21" s="31" t="s">
        <v>367</v>
      </c>
      <c r="D21" s="31" t="s">
        <v>84</v>
      </c>
      <c r="E21" s="31" t="s">
        <v>84</v>
      </c>
      <c r="F21" s="48" t="str">
        <f t="shared" si="4"/>
        <v>both</v>
      </c>
      <c r="G21" s="31" t="s">
        <v>106</v>
      </c>
      <c r="H21" s="49"/>
      <c r="I21" s="50" t="s">
        <v>253</v>
      </c>
      <c r="J21" s="51" t="s">
        <v>619</v>
      </c>
      <c r="K21" s="50" t="s">
        <v>109</v>
      </c>
      <c r="BH21" s="17" t="str">
        <f t="shared" si="0"/>
        <v>5-8</v>
      </c>
      <c r="BI21" s="41" t="str">
        <f t="shared" si="1"/>
        <v>1-20</v>
      </c>
      <c r="BJ21" s="18">
        <f t="shared" si="5"/>
        <v>5</v>
      </c>
      <c r="BK21" s="18">
        <f t="shared" si="6"/>
        <v>1</v>
      </c>
      <c r="BL21" t="str">
        <f t="shared" si="2"/>
        <v>mouse</v>
      </c>
      <c r="BM21" s="5" t="str">
        <f t="shared" si="3"/>
        <v>both</v>
      </c>
    </row>
    <row r="22" spans="1:65" x14ac:dyDescent="0.2">
      <c r="A22">
        <v>21</v>
      </c>
      <c r="B22" t="s">
        <v>363</v>
      </c>
      <c r="D22" s="12" t="s">
        <v>84</v>
      </c>
      <c r="E22" s="12" t="s">
        <v>82</v>
      </c>
      <c r="F22" s="6" t="str">
        <f t="shared" si="4"/>
        <v>staff</v>
      </c>
      <c r="G22" t="s">
        <v>86</v>
      </c>
      <c r="I22" s="4" t="s">
        <v>87</v>
      </c>
      <c r="J22" s="40" t="s">
        <v>620</v>
      </c>
      <c r="K22" s="4">
        <v>40</v>
      </c>
      <c r="BH22" s="17" t="str">
        <f t="shared" si="0"/>
        <v>1-4</v>
      </c>
      <c r="BI22" s="41" t="str">
        <f t="shared" si="1"/>
        <v>21-40</v>
      </c>
      <c r="BJ22" s="18">
        <f t="shared" si="5"/>
        <v>1</v>
      </c>
      <c r="BK22" s="18">
        <f t="shared" si="6"/>
        <v>21</v>
      </c>
      <c r="BL22" t="str">
        <f t="shared" si="2"/>
        <v>mouse</v>
      </c>
      <c r="BM22" s="5" t="str">
        <f t="shared" si="3"/>
        <v>staff</v>
      </c>
    </row>
    <row r="23" spans="1:65" x14ac:dyDescent="0.2">
      <c r="A23">
        <v>22</v>
      </c>
      <c r="B23" t="s">
        <v>377</v>
      </c>
      <c r="D23" s="12" t="s">
        <v>84</v>
      </c>
      <c r="E23" s="12" t="s">
        <v>82</v>
      </c>
      <c r="F23" s="6" t="str">
        <f t="shared" si="4"/>
        <v>staff</v>
      </c>
      <c r="G23" t="s">
        <v>86</v>
      </c>
      <c r="I23" s="4" t="s">
        <v>253</v>
      </c>
      <c r="J23" s="40" t="s">
        <v>619</v>
      </c>
      <c r="K23" s="4">
        <v>15</v>
      </c>
      <c r="BH23" s="17" t="str">
        <f t="shared" si="0"/>
        <v>5-8</v>
      </c>
      <c r="BI23" s="41" t="str">
        <f t="shared" si="1"/>
        <v>1-20</v>
      </c>
      <c r="BJ23" s="18">
        <f t="shared" si="5"/>
        <v>5</v>
      </c>
      <c r="BK23" s="18">
        <f t="shared" si="6"/>
        <v>1</v>
      </c>
      <c r="BL23" t="str">
        <f t="shared" si="2"/>
        <v>protein expression</v>
      </c>
      <c r="BM23" s="5" t="str">
        <f t="shared" si="3"/>
        <v>staff</v>
      </c>
    </row>
    <row r="24" spans="1:65" x14ac:dyDescent="0.2">
      <c r="A24">
        <v>23</v>
      </c>
      <c r="B24" t="s">
        <v>324</v>
      </c>
      <c r="D24" s="12" t="s">
        <v>84</v>
      </c>
      <c r="E24" s="12" t="s">
        <v>84</v>
      </c>
      <c r="F24" s="6" t="str">
        <f t="shared" si="4"/>
        <v>both</v>
      </c>
      <c r="G24" t="s">
        <v>108</v>
      </c>
      <c r="I24" s="4" t="s">
        <v>87</v>
      </c>
      <c r="J24" s="40" t="s">
        <v>619</v>
      </c>
      <c r="K24" s="4">
        <v>5</v>
      </c>
      <c r="BH24" s="17" t="str">
        <f t="shared" si="0"/>
        <v>1-4</v>
      </c>
      <c r="BI24" s="41" t="str">
        <f t="shared" si="1"/>
        <v>1-20</v>
      </c>
      <c r="BJ24" s="18">
        <f t="shared" si="5"/>
        <v>1</v>
      </c>
      <c r="BK24" s="18">
        <f t="shared" si="6"/>
        <v>1</v>
      </c>
      <c r="BL24" t="str">
        <f t="shared" si="2"/>
        <v>genomics</v>
      </c>
      <c r="BM24" s="5" t="str">
        <f t="shared" si="3"/>
        <v>both</v>
      </c>
    </row>
    <row r="25" spans="1:65" x14ac:dyDescent="0.2">
      <c r="A25">
        <v>24</v>
      </c>
      <c r="B25" s="69" t="s">
        <v>402</v>
      </c>
      <c r="C25" t="s">
        <v>402</v>
      </c>
      <c r="D25" s="12" t="s">
        <v>82</v>
      </c>
      <c r="E25" s="12" t="s">
        <v>84</v>
      </c>
      <c r="F25" s="6" t="str">
        <f t="shared" si="4"/>
        <v>users work</v>
      </c>
      <c r="G25" t="s">
        <v>108</v>
      </c>
      <c r="I25" s="4" t="s">
        <v>87</v>
      </c>
      <c r="J25" s="40" t="s">
        <v>619</v>
      </c>
      <c r="K25" s="4">
        <v>3</v>
      </c>
      <c r="AA25" t="s">
        <v>631</v>
      </c>
      <c r="AB25">
        <f>COUNTIF($G$2:$G$496,"1-1000 PB")</f>
        <v>0</v>
      </c>
      <c r="BH25" s="17" t="str">
        <f t="shared" si="0"/>
        <v>1-4</v>
      </c>
      <c r="BI25" s="41" t="str">
        <f t="shared" si="1"/>
        <v>1-20</v>
      </c>
      <c r="BJ25" s="18">
        <f t="shared" si="5"/>
        <v>1</v>
      </c>
      <c r="BK25" s="18">
        <f t="shared" si="6"/>
        <v>1</v>
      </c>
      <c r="BL25" t="str">
        <f t="shared" si="2"/>
        <v>bioinformatics</v>
      </c>
      <c r="BM25" s="5" t="str">
        <f t="shared" si="3"/>
        <v>user</v>
      </c>
    </row>
    <row r="26" spans="1:65" x14ac:dyDescent="0.2">
      <c r="A26">
        <v>25</v>
      </c>
      <c r="B26" t="s">
        <v>324</v>
      </c>
      <c r="D26" s="12" t="s">
        <v>82</v>
      </c>
      <c r="E26" s="12" t="s">
        <v>84</v>
      </c>
      <c r="F26" s="6" t="str">
        <f t="shared" si="4"/>
        <v>users work</v>
      </c>
      <c r="G26" t="s">
        <v>106</v>
      </c>
      <c r="I26" s="4" t="s">
        <v>87</v>
      </c>
      <c r="J26" s="40" t="s">
        <v>1924</v>
      </c>
      <c r="K26" s="4">
        <v>100</v>
      </c>
      <c r="BH26" s="17" t="str">
        <f t="shared" si="0"/>
        <v>1-4</v>
      </c>
      <c r="BI26" s="41" t="str">
        <f t="shared" si="1"/>
        <v>&gt; 100</v>
      </c>
      <c r="BJ26" s="18">
        <f t="shared" si="5"/>
        <v>1</v>
      </c>
      <c r="BK26" s="18">
        <f t="shared" si="6"/>
        <v>101</v>
      </c>
      <c r="BL26" t="str">
        <f t="shared" si="2"/>
        <v>genomics</v>
      </c>
      <c r="BM26" s="5" t="str">
        <f t="shared" si="3"/>
        <v>user</v>
      </c>
    </row>
    <row r="27" spans="1:65" x14ac:dyDescent="0.2">
      <c r="A27">
        <v>26</v>
      </c>
      <c r="B27" t="s">
        <v>161</v>
      </c>
      <c r="D27" s="12" t="s">
        <v>84</v>
      </c>
      <c r="E27" s="12" t="s">
        <v>82</v>
      </c>
      <c r="F27" s="6" t="str">
        <f t="shared" si="4"/>
        <v>staff</v>
      </c>
      <c r="G27" t="s">
        <v>108</v>
      </c>
      <c r="I27" s="4" t="s">
        <v>87</v>
      </c>
      <c r="J27" s="40" t="s">
        <v>620</v>
      </c>
      <c r="K27" s="4">
        <v>30</v>
      </c>
      <c r="BH27" s="17" t="str">
        <f t="shared" si="0"/>
        <v>1-4</v>
      </c>
      <c r="BI27" s="41" t="str">
        <f t="shared" si="1"/>
        <v>21-40</v>
      </c>
      <c r="BJ27" s="18">
        <f t="shared" si="5"/>
        <v>1</v>
      </c>
      <c r="BK27" s="18">
        <f t="shared" si="6"/>
        <v>21</v>
      </c>
      <c r="BL27" t="str">
        <f t="shared" si="2"/>
        <v>proteomics</v>
      </c>
      <c r="BM27" s="5" t="str">
        <f t="shared" si="3"/>
        <v>staff</v>
      </c>
    </row>
    <row r="28" spans="1:65" x14ac:dyDescent="0.2">
      <c r="A28">
        <v>27</v>
      </c>
      <c r="B28" t="s">
        <v>443</v>
      </c>
      <c r="D28" s="12" t="s">
        <v>82</v>
      </c>
      <c r="E28" s="12" t="s">
        <v>84</v>
      </c>
      <c r="F28" s="6" t="str">
        <f t="shared" si="4"/>
        <v>users work</v>
      </c>
      <c r="G28" t="s">
        <v>108</v>
      </c>
      <c r="I28" s="4" t="s">
        <v>87</v>
      </c>
      <c r="J28" s="40" t="s">
        <v>619</v>
      </c>
      <c r="K28" s="4" t="s">
        <v>444</v>
      </c>
      <c r="BH28" s="17" t="str">
        <f t="shared" si="0"/>
        <v>1-4</v>
      </c>
      <c r="BI28" s="41" t="str">
        <f t="shared" si="1"/>
        <v>1-20</v>
      </c>
      <c r="BJ28" s="18">
        <f t="shared" si="5"/>
        <v>1</v>
      </c>
      <c r="BK28" s="18">
        <f t="shared" si="6"/>
        <v>1</v>
      </c>
      <c r="BL28" t="str">
        <f t="shared" si="2"/>
        <v>metabolomics</v>
      </c>
      <c r="BM28" s="5" t="str">
        <f t="shared" si="3"/>
        <v>user</v>
      </c>
    </row>
    <row r="29" spans="1:65" x14ac:dyDescent="0.2">
      <c r="A29">
        <v>28</v>
      </c>
      <c r="B29" t="s">
        <v>443</v>
      </c>
      <c r="D29" s="12" t="s">
        <v>84</v>
      </c>
      <c r="E29" s="12" t="s">
        <v>82</v>
      </c>
      <c r="F29" s="6" t="str">
        <f t="shared" si="4"/>
        <v>staff</v>
      </c>
      <c r="G29" t="s">
        <v>86</v>
      </c>
      <c r="I29" s="4" t="s">
        <v>253</v>
      </c>
      <c r="J29" s="40" t="s">
        <v>619</v>
      </c>
      <c r="K29" s="4">
        <v>12</v>
      </c>
      <c r="BH29" s="17" t="str">
        <f t="shared" si="0"/>
        <v>5-8</v>
      </c>
      <c r="BI29" s="41" t="str">
        <f t="shared" si="1"/>
        <v>1-20</v>
      </c>
      <c r="BJ29" s="18">
        <f t="shared" si="5"/>
        <v>5</v>
      </c>
      <c r="BK29" s="18">
        <f t="shared" si="6"/>
        <v>1</v>
      </c>
      <c r="BL29" t="str">
        <f t="shared" si="2"/>
        <v>metabolomics</v>
      </c>
      <c r="BM29" s="5" t="str">
        <f t="shared" si="3"/>
        <v>staff</v>
      </c>
    </row>
    <row r="30" spans="1:65" x14ac:dyDescent="0.2">
      <c r="A30">
        <v>29</v>
      </c>
      <c r="B30" t="s">
        <v>119</v>
      </c>
      <c r="C30" t="s">
        <v>475</v>
      </c>
      <c r="D30" s="12" t="s">
        <v>84</v>
      </c>
      <c r="E30" s="12" t="s">
        <v>84</v>
      </c>
      <c r="F30" s="6" t="str">
        <f t="shared" si="4"/>
        <v>both</v>
      </c>
      <c r="G30" t="s">
        <v>86</v>
      </c>
      <c r="I30" s="4" t="s">
        <v>195</v>
      </c>
      <c r="J30" s="40" t="s">
        <v>620</v>
      </c>
      <c r="K30" s="4">
        <v>35</v>
      </c>
      <c r="BH30" s="17" t="str">
        <f t="shared" si="0"/>
        <v>&gt;16</v>
      </c>
      <c r="BI30" s="41" t="str">
        <f t="shared" si="1"/>
        <v>21-40</v>
      </c>
      <c r="BJ30" s="18">
        <f t="shared" si="5"/>
        <v>17</v>
      </c>
      <c r="BK30" s="18">
        <f t="shared" si="6"/>
        <v>21</v>
      </c>
      <c r="BL30" t="str">
        <f t="shared" si="2"/>
        <v>Other</v>
      </c>
      <c r="BM30" s="5" t="str">
        <f t="shared" si="3"/>
        <v>both</v>
      </c>
    </row>
    <row r="31" spans="1:65" x14ac:dyDescent="0.2">
      <c r="A31">
        <v>30</v>
      </c>
      <c r="B31" t="s">
        <v>443</v>
      </c>
      <c r="D31" s="12" t="s">
        <v>84</v>
      </c>
      <c r="E31" s="12" t="s">
        <v>84</v>
      </c>
      <c r="F31" s="6" t="str">
        <f t="shared" si="4"/>
        <v>both</v>
      </c>
      <c r="G31" t="s">
        <v>108</v>
      </c>
      <c r="I31" s="4" t="s">
        <v>87</v>
      </c>
      <c r="J31" s="40" t="s">
        <v>619</v>
      </c>
      <c r="K31" s="4" t="s">
        <v>493</v>
      </c>
      <c r="BH31" s="17" t="str">
        <f t="shared" si="0"/>
        <v>1-4</v>
      </c>
      <c r="BI31" s="41" t="str">
        <f t="shared" si="1"/>
        <v>1-20</v>
      </c>
      <c r="BJ31" s="18">
        <f t="shared" si="5"/>
        <v>1</v>
      </c>
      <c r="BK31" s="18">
        <f t="shared" si="6"/>
        <v>1</v>
      </c>
      <c r="BL31" t="str">
        <f t="shared" si="2"/>
        <v>metabolomics</v>
      </c>
      <c r="BM31" s="5" t="str">
        <f t="shared" si="3"/>
        <v>both</v>
      </c>
    </row>
    <row r="32" spans="1:65" x14ac:dyDescent="0.2">
      <c r="A32">
        <v>31</v>
      </c>
      <c r="B32" t="s">
        <v>363</v>
      </c>
      <c r="D32" s="12" t="s">
        <v>82</v>
      </c>
      <c r="E32" s="12" t="s">
        <v>82</v>
      </c>
      <c r="F32" s="6" t="str">
        <f t="shared" si="4"/>
        <v>staff</v>
      </c>
      <c r="G32" t="s">
        <v>86</v>
      </c>
      <c r="I32" s="4" t="s">
        <v>87</v>
      </c>
      <c r="J32" s="40" t="s">
        <v>620</v>
      </c>
      <c r="K32" s="4">
        <v>35</v>
      </c>
      <c r="BH32" s="17" t="str">
        <f t="shared" si="0"/>
        <v>1-4</v>
      </c>
      <c r="BI32" s="41" t="str">
        <f t="shared" si="1"/>
        <v>21-40</v>
      </c>
      <c r="BJ32" s="18">
        <f t="shared" si="5"/>
        <v>1</v>
      </c>
      <c r="BK32" s="18">
        <f t="shared" si="6"/>
        <v>21</v>
      </c>
      <c r="BL32" t="str">
        <f t="shared" si="2"/>
        <v>mouse</v>
      </c>
      <c r="BM32" s="5" t="str">
        <f t="shared" si="3"/>
        <v>staff</v>
      </c>
    </row>
    <row r="33" spans="1:65" x14ac:dyDescent="0.2">
      <c r="A33">
        <v>32</v>
      </c>
      <c r="B33" t="s">
        <v>324</v>
      </c>
      <c r="D33" s="12" t="s">
        <v>84</v>
      </c>
      <c r="E33" s="12" t="s">
        <v>84</v>
      </c>
      <c r="F33" s="6" t="str">
        <f t="shared" si="4"/>
        <v>both</v>
      </c>
      <c r="G33" t="s">
        <v>108</v>
      </c>
      <c r="I33" s="4" t="s">
        <v>253</v>
      </c>
      <c r="J33" s="40" t="s">
        <v>620</v>
      </c>
      <c r="K33" s="4">
        <v>35</v>
      </c>
      <c r="BH33" s="17" t="str">
        <f t="shared" si="0"/>
        <v>5-8</v>
      </c>
      <c r="BI33" s="41" t="str">
        <f t="shared" si="1"/>
        <v>21-40</v>
      </c>
      <c r="BJ33" s="18">
        <f t="shared" si="5"/>
        <v>5</v>
      </c>
      <c r="BK33" s="18">
        <f t="shared" si="6"/>
        <v>21</v>
      </c>
      <c r="BL33" t="str">
        <f t="shared" si="2"/>
        <v>genomics</v>
      </c>
      <c r="BM33" s="5" t="str">
        <f t="shared" si="3"/>
        <v>both</v>
      </c>
    </row>
    <row r="34" spans="1:65" x14ac:dyDescent="0.2">
      <c r="A34">
        <v>33</v>
      </c>
      <c r="B34" t="s">
        <v>105</v>
      </c>
      <c r="D34" s="12" t="s">
        <v>84</v>
      </c>
      <c r="E34" s="12" t="s">
        <v>84</v>
      </c>
      <c r="F34" s="6" t="str">
        <f t="shared" si="4"/>
        <v>both</v>
      </c>
      <c r="G34" t="s">
        <v>108</v>
      </c>
      <c r="I34" s="4" t="s">
        <v>87</v>
      </c>
      <c r="J34" s="40" t="s">
        <v>622</v>
      </c>
      <c r="K34" s="4">
        <v>61</v>
      </c>
      <c r="BH34" s="17" t="str">
        <f t="shared" si="0"/>
        <v>1-4</v>
      </c>
      <c r="BI34" s="41" t="str">
        <f t="shared" si="1"/>
        <v>61-80</v>
      </c>
      <c r="BJ34" s="18">
        <f t="shared" si="5"/>
        <v>1</v>
      </c>
      <c r="BK34" s="18">
        <f t="shared" si="6"/>
        <v>61</v>
      </c>
      <c r="BL34" t="str">
        <f t="shared" si="2"/>
        <v>flow cytometry</v>
      </c>
      <c r="BM34" s="5" t="str">
        <f t="shared" ref="BM34:BM61" si="7">IF(F34="staff","staff",IF(F34="users work","user",IF(F34="both","both")))</f>
        <v>both</v>
      </c>
    </row>
    <row r="35" spans="1:65" x14ac:dyDescent="0.2">
      <c r="A35">
        <v>34</v>
      </c>
      <c r="B35" s="36" t="s">
        <v>363</v>
      </c>
      <c r="C35" t="s">
        <v>539</v>
      </c>
      <c r="D35" s="12" t="s">
        <v>82</v>
      </c>
      <c r="E35" s="12" t="s">
        <v>84</v>
      </c>
      <c r="F35" s="6" t="str">
        <f t="shared" si="4"/>
        <v>users work</v>
      </c>
      <c r="G35" t="s">
        <v>108</v>
      </c>
      <c r="H35" s="5" t="s">
        <v>540</v>
      </c>
      <c r="I35" s="4" t="s">
        <v>87</v>
      </c>
      <c r="J35" s="40" t="s">
        <v>619</v>
      </c>
      <c r="K35" s="4" t="s">
        <v>541</v>
      </c>
      <c r="BH35" s="17" t="str">
        <f t="shared" si="0"/>
        <v>1-4</v>
      </c>
      <c r="BI35" s="41" t="str">
        <f t="shared" si="1"/>
        <v>1-20</v>
      </c>
      <c r="BJ35" s="18">
        <f t="shared" si="5"/>
        <v>1</v>
      </c>
      <c r="BK35" s="18">
        <f t="shared" si="6"/>
        <v>1</v>
      </c>
      <c r="BL35" t="str">
        <f t="shared" si="2"/>
        <v>mouse</v>
      </c>
      <c r="BM35" s="5" t="str">
        <f t="shared" si="7"/>
        <v>user</v>
      </c>
    </row>
    <row r="36" spans="1:65" x14ac:dyDescent="0.2">
      <c r="A36">
        <v>35</v>
      </c>
      <c r="B36" t="s">
        <v>161</v>
      </c>
      <c r="D36" s="12" t="s">
        <v>84</v>
      </c>
      <c r="E36" s="12" t="s">
        <v>84</v>
      </c>
      <c r="F36" s="6" t="str">
        <f t="shared" si="4"/>
        <v>both</v>
      </c>
      <c r="G36" t="s">
        <v>108</v>
      </c>
      <c r="I36" s="4" t="s">
        <v>87</v>
      </c>
      <c r="J36" s="40" t="s">
        <v>619</v>
      </c>
      <c r="K36" s="4">
        <v>20</v>
      </c>
      <c r="BH36" s="17" t="str">
        <f t="shared" si="0"/>
        <v>1-4</v>
      </c>
      <c r="BI36" s="41" t="str">
        <f t="shared" si="1"/>
        <v>1-20</v>
      </c>
      <c r="BJ36" s="18">
        <f t="shared" si="5"/>
        <v>1</v>
      </c>
      <c r="BK36" s="18">
        <f t="shared" si="6"/>
        <v>1</v>
      </c>
      <c r="BL36" t="str">
        <f t="shared" si="2"/>
        <v>proteomics</v>
      </c>
      <c r="BM36" s="5" t="str">
        <f t="shared" si="7"/>
        <v>both</v>
      </c>
    </row>
    <row r="37" spans="1:65" x14ac:dyDescent="0.2">
      <c r="A37">
        <v>36</v>
      </c>
      <c r="B37" s="36" t="s">
        <v>105</v>
      </c>
      <c r="C37" t="s">
        <v>578</v>
      </c>
      <c r="D37" s="12" t="s">
        <v>82</v>
      </c>
      <c r="E37" s="12" t="s">
        <v>82</v>
      </c>
      <c r="F37" s="6" t="str">
        <f t="shared" si="4"/>
        <v>staff</v>
      </c>
      <c r="G37" t="s">
        <v>108</v>
      </c>
      <c r="H37" s="5" t="s">
        <v>579</v>
      </c>
      <c r="I37" s="4" t="s">
        <v>87</v>
      </c>
      <c r="J37" s="40" t="s">
        <v>620</v>
      </c>
      <c r="K37" s="4" t="s">
        <v>580</v>
      </c>
      <c r="BH37" s="17" t="str">
        <f t="shared" si="0"/>
        <v>1-4</v>
      </c>
      <c r="BI37" s="41" t="str">
        <f t="shared" si="1"/>
        <v>21-40</v>
      </c>
      <c r="BJ37" s="18">
        <f t="shared" si="5"/>
        <v>1</v>
      </c>
      <c r="BK37" s="18">
        <f t="shared" si="6"/>
        <v>21</v>
      </c>
      <c r="BL37" t="str">
        <f t="shared" si="2"/>
        <v>flow cytometry</v>
      </c>
      <c r="BM37" s="5" t="str">
        <f t="shared" si="7"/>
        <v>staff</v>
      </c>
    </row>
    <row r="38" spans="1:65" x14ac:dyDescent="0.2">
      <c r="A38">
        <v>37</v>
      </c>
      <c r="B38" t="s">
        <v>161</v>
      </c>
      <c r="D38" s="12" t="s">
        <v>84</v>
      </c>
      <c r="E38" s="12" t="s">
        <v>84</v>
      </c>
      <c r="F38" s="6" t="str">
        <f t="shared" si="4"/>
        <v>both</v>
      </c>
      <c r="G38" t="s">
        <v>108</v>
      </c>
      <c r="I38" s="4" t="s">
        <v>253</v>
      </c>
      <c r="J38" s="40" t="s">
        <v>619</v>
      </c>
      <c r="K38" s="4">
        <v>15</v>
      </c>
      <c r="BH38" s="17" t="str">
        <f t="shared" si="0"/>
        <v>5-8</v>
      </c>
      <c r="BI38" s="41" t="str">
        <f t="shared" si="1"/>
        <v>1-20</v>
      </c>
      <c r="BJ38" s="18">
        <f t="shared" si="5"/>
        <v>5</v>
      </c>
      <c r="BK38" s="18">
        <f t="shared" si="6"/>
        <v>1</v>
      </c>
      <c r="BL38" t="str">
        <f t="shared" si="2"/>
        <v>proteomics</v>
      </c>
      <c r="BM38" s="5" t="str">
        <f t="shared" si="7"/>
        <v>both</v>
      </c>
    </row>
    <row r="39" spans="1:65" x14ac:dyDescent="0.2">
      <c r="A39">
        <v>38</v>
      </c>
      <c r="B39" s="9" t="s">
        <v>107</v>
      </c>
      <c r="C39" s="9"/>
      <c r="D39" s="13" t="s">
        <v>82</v>
      </c>
      <c r="E39" s="13" t="s">
        <v>84</v>
      </c>
      <c r="F39" s="6" t="str">
        <f t="shared" si="4"/>
        <v>users work</v>
      </c>
      <c r="G39" s="9" t="s">
        <v>108</v>
      </c>
      <c r="H39" s="9"/>
      <c r="I39" s="9" t="s">
        <v>87</v>
      </c>
      <c r="J39" s="40" t="s">
        <v>1924</v>
      </c>
      <c r="K39" s="9" t="s">
        <v>713</v>
      </c>
      <c r="BH39" s="17" t="str">
        <f t="shared" si="0"/>
        <v>1-4</v>
      </c>
      <c r="BI39" s="41" t="str">
        <f t="shared" si="1"/>
        <v>&gt; 100</v>
      </c>
      <c r="BJ39" s="18">
        <f t="shared" si="5"/>
        <v>1</v>
      </c>
      <c r="BK39" s="18">
        <f t="shared" si="6"/>
        <v>101</v>
      </c>
      <c r="BL39" t="str">
        <f t="shared" si="2"/>
        <v>microscopy</v>
      </c>
      <c r="BM39" s="5" t="str">
        <f t="shared" si="7"/>
        <v>user</v>
      </c>
    </row>
    <row r="40" spans="1:65" x14ac:dyDescent="0.2">
      <c r="A40">
        <v>39</v>
      </c>
      <c r="B40" s="9" t="s">
        <v>161</v>
      </c>
      <c r="C40" s="9"/>
      <c r="D40" s="13" t="s">
        <v>84</v>
      </c>
      <c r="E40" s="13" t="s">
        <v>82</v>
      </c>
      <c r="F40" s="6" t="str">
        <f t="shared" si="4"/>
        <v>staff</v>
      </c>
      <c r="G40" s="9" t="s">
        <v>108</v>
      </c>
      <c r="H40" s="9"/>
      <c r="I40" s="9" t="s">
        <v>87</v>
      </c>
      <c r="J40" s="40" t="s">
        <v>619</v>
      </c>
      <c r="K40" s="9" t="s">
        <v>730</v>
      </c>
      <c r="BH40" s="17" t="str">
        <f t="shared" si="0"/>
        <v>1-4</v>
      </c>
      <c r="BI40" s="41" t="str">
        <f t="shared" si="1"/>
        <v>1-20</v>
      </c>
      <c r="BJ40" s="18">
        <f t="shared" si="5"/>
        <v>1</v>
      </c>
      <c r="BK40" s="18">
        <f t="shared" si="6"/>
        <v>1</v>
      </c>
      <c r="BL40" t="str">
        <f t="shared" si="2"/>
        <v>proteomics</v>
      </c>
      <c r="BM40" s="5" t="str">
        <f t="shared" si="7"/>
        <v>staff</v>
      </c>
    </row>
    <row r="41" spans="1:65" x14ac:dyDescent="0.2">
      <c r="A41">
        <v>40</v>
      </c>
      <c r="B41" s="9" t="s">
        <v>161</v>
      </c>
      <c r="C41" s="9"/>
      <c r="D41" s="13" t="s">
        <v>84</v>
      </c>
      <c r="E41" s="13" t="s">
        <v>82</v>
      </c>
      <c r="F41" s="6" t="str">
        <f t="shared" si="4"/>
        <v>staff</v>
      </c>
      <c r="G41" s="9" t="s">
        <v>618</v>
      </c>
      <c r="H41" s="9" t="s">
        <v>4225</v>
      </c>
      <c r="I41" s="9" t="s">
        <v>253</v>
      </c>
      <c r="J41" s="40" t="s">
        <v>619</v>
      </c>
      <c r="K41" s="9" t="s">
        <v>749</v>
      </c>
      <c r="BH41" s="17" t="str">
        <f t="shared" si="0"/>
        <v>5-8</v>
      </c>
      <c r="BI41" s="41" t="str">
        <f t="shared" si="1"/>
        <v>1-20</v>
      </c>
      <c r="BJ41" s="18">
        <f t="shared" si="5"/>
        <v>5</v>
      </c>
      <c r="BK41" s="18">
        <f t="shared" si="6"/>
        <v>1</v>
      </c>
      <c r="BL41" t="str">
        <f t="shared" si="2"/>
        <v>proteomics</v>
      </c>
      <c r="BM41" s="5" t="str">
        <f t="shared" si="7"/>
        <v>staff</v>
      </c>
    </row>
    <row r="42" spans="1:65" x14ac:dyDescent="0.2">
      <c r="A42">
        <v>41</v>
      </c>
      <c r="B42" s="9" t="s">
        <v>107</v>
      </c>
      <c r="C42" s="9"/>
      <c r="D42" s="13" t="s">
        <v>82</v>
      </c>
      <c r="E42" s="13" t="s">
        <v>84</v>
      </c>
      <c r="F42" s="6" t="str">
        <f t="shared" si="4"/>
        <v>users work</v>
      </c>
      <c r="G42" s="9" t="s">
        <v>618</v>
      </c>
      <c r="H42" s="9" t="s">
        <v>769</v>
      </c>
      <c r="I42" s="9" t="s">
        <v>87</v>
      </c>
      <c r="J42" s="40" t="s">
        <v>621</v>
      </c>
      <c r="K42" s="9">
        <v>60</v>
      </c>
      <c r="BH42" s="17" t="str">
        <f t="shared" si="0"/>
        <v>1-4</v>
      </c>
      <c r="BI42" s="41" t="str">
        <f t="shared" si="1"/>
        <v>41-60</v>
      </c>
      <c r="BJ42" s="18">
        <f t="shared" si="5"/>
        <v>1</v>
      </c>
      <c r="BK42" s="18">
        <f t="shared" si="6"/>
        <v>41</v>
      </c>
      <c r="BL42" t="str">
        <f t="shared" si="2"/>
        <v>microscopy</v>
      </c>
      <c r="BM42" s="5" t="str">
        <f t="shared" si="7"/>
        <v>user</v>
      </c>
    </row>
    <row r="43" spans="1:65" x14ac:dyDescent="0.2">
      <c r="A43">
        <v>42</v>
      </c>
      <c r="B43" s="36" t="s">
        <v>137</v>
      </c>
      <c r="C43" s="9" t="s">
        <v>137</v>
      </c>
      <c r="D43" s="13" t="s">
        <v>82</v>
      </c>
      <c r="E43" s="13" t="s">
        <v>84</v>
      </c>
      <c r="F43" s="6" t="str">
        <f t="shared" si="4"/>
        <v>users work</v>
      </c>
      <c r="G43" s="9" t="s">
        <v>618</v>
      </c>
      <c r="H43" s="9" t="s">
        <v>781</v>
      </c>
      <c r="I43" s="9" t="s">
        <v>253</v>
      </c>
      <c r="J43" s="40" t="s">
        <v>619</v>
      </c>
      <c r="K43" s="9">
        <v>20</v>
      </c>
      <c r="BH43" s="17" t="str">
        <f t="shared" si="0"/>
        <v>5-8</v>
      </c>
      <c r="BI43" s="41" t="str">
        <f t="shared" si="1"/>
        <v>1-20</v>
      </c>
      <c r="BJ43" s="18">
        <f t="shared" si="5"/>
        <v>5</v>
      </c>
      <c r="BK43" s="18">
        <f t="shared" si="6"/>
        <v>1</v>
      </c>
      <c r="BL43" t="str">
        <f t="shared" si="2"/>
        <v>pluripotent stem cells</v>
      </c>
      <c r="BM43" s="5" t="str">
        <f t="shared" si="7"/>
        <v>user</v>
      </c>
    </row>
    <row r="44" spans="1:65" x14ac:dyDescent="0.2">
      <c r="A44">
        <v>43</v>
      </c>
      <c r="B44" s="9" t="s">
        <v>119</v>
      </c>
      <c r="C44" s="9" t="s">
        <v>786</v>
      </c>
      <c r="D44" s="13" t="s">
        <v>84</v>
      </c>
      <c r="E44" s="13" t="s">
        <v>84</v>
      </c>
      <c r="F44" s="6" t="str">
        <f t="shared" si="4"/>
        <v>both</v>
      </c>
      <c r="G44" s="9" t="s">
        <v>106</v>
      </c>
      <c r="H44" s="9"/>
      <c r="I44" s="9" t="s">
        <v>195</v>
      </c>
      <c r="J44" s="40" t="s">
        <v>620</v>
      </c>
      <c r="K44" s="9" t="s">
        <v>787</v>
      </c>
      <c r="BH44" s="17" t="str">
        <f t="shared" si="0"/>
        <v>&gt;16</v>
      </c>
      <c r="BI44" s="41" t="str">
        <f t="shared" si="1"/>
        <v>21-40</v>
      </c>
      <c r="BJ44" s="18">
        <f t="shared" si="5"/>
        <v>17</v>
      </c>
      <c r="BK44" s="18">
        <f t="shared" si="6"/>
        <v>21</v>
      </c>
      <c r="BL44" t="str">
        <f t="shared" si="2"/>
        <v>Other</v>
      </c>
      <c r="BM44" s="5" t="str">
        <f t="shared" si="7"/>
        <v>both</v>
      </c>
    </row>
    <row r="45" spans="1:65" x14ac:dyDescent="0.2">
      <c r="A45">
        <v>44</v>
      </c>
      <c r="B45" s="32" t="s">
        <v>105</v>
      </c>
      <c r="C45" s="32"/>
      <c r="D45" s="32" t="s">
        <v>84</v>
      </c>
      <c r="E45" s="32" t="s">
        <v>82</v>
      </c>
      <c r="F45" s="48" t="str">
        <f t="shared" si="4"/>
        <v>staff</v>
      </c>
      <c r="G45" s="32" t="s">
        <v>86</v>
      </c>
      <c r="H45" s="32"/>
      <c r="I45" s="32" t="s">
        <v>87</v>
      </c>
      <c r="J45" s="51" t="s">
        <v>620</v>
      </c>
      <c r="K45" s="32" t="s">
        <v>804</v>
      </c>
      <c r="BH45" s="17" t="str">
        <f t="shared" si="0"/>
        <v>1-4</v>
      </c>
      <c r="BI45" s="41" t="str">
        <f t="shared" si="1"/>
        <v>21-40</v>
      </c>
      <c r="BJ45" s="18">
        <f t="shared" si="5"/>
        <v>1</v>
      </c>
      <c r="BK45" s="18">
        <f t="shared" si="6"/>
        <v>21</v>
      </c>
      <c r="BL45" t="str">
        <f t="shared" si="2"/>
        <v>flow cytometry</v>
      </c>
      <c r="BM45" s="5" t="str">
        <f t="shared" si="7"/>
        <v>staff</v>
      </c>
    </row>
    <row r="46" spans="1:65" x14ac:dyDescent="0.2">
      <c r="A46">
        <v>45</v>
      </c>
      <c r="B46" s="9" t="s">
        <v>161</v>
      </c>
      <c r="C46" s="9"/>
      <c r="D46" s="13" t="s">
        <v>84</v>
      </c>
      <c r="E46" s="13" t="s">
        <v>82</v>
      </c>
      <c r="F46" s="6" t="str">
        <f t="shared" si="4"/>
        <v>staff</v>
      </c>
      <c r="G46" s="9" t="s">
        <v>108</v>
      </c>
      <c r="H46" s="9"/>
      <c r="I46" s="9" t="s">
        <v>290</v>
      </c>
      <c r="J46" s="40" t="s">
        <v>621</v>
      </c>
      <c r="K46" s="9">
        <v>50</v>
      </c>
      <c r="BH46" s="17" t="str">
        <f t="shared" si="0"/>
        <v>9-12</v>
      </c>
      <c r="BI46" s="41" t="str">
        <f t="shared" si="1"/>
        <v>41-60</v>
      </c>
      <c r="BJ46" s="18">
        <f t="shared" si="5"/>
        <v>9</v>
      </c>
      <c r="BK46" s="18">
        <f t="shared" si="6"/>
        <v>41</v>
      </c>
      <c r="BL46" t="str">
        <f t="shared" si="2"/>
        <v>proteomics</v>
      </c>
      <c r="BM46" s="5" t="str">
        <f t="shared" si="7"/>
        <v>staff</v>
      </c>
    </row>
    <row r="47" spans="1:65" x14ac:dyDescent="0.2">
      <c r="A47">
        <v>46</v>
      </c>
      <c r="B47" s="9" t="s">
        <v>119</v>
      </c>
      <c r="C47" s="9" t="s">
        <v>819</v>
      </c>
      <c r="D47" s="13" t="s">
        <v>82</v>
      </c>
      <c r="E47" s="13" t="s">
        <v>84</v>
      </c>
      <c r="F47" s="6" t="str">
        <f t="shared" si="4"/>
        <v>users work</v>
      </c>
      <c r="G47" s="9" t="s">
        <v>108</v>
      </c>
      <c r="H47" s="9"/>
      <c r="I47" s="9" t="s">
        <v>253</v>
      </c>
      <c r="J47" s="40" t="s">
        <v>1924</v>
      </c>
      <c r="K47" s="9" t="s">
        <v>820</v>
      </c>
      <c r="BH47" s="17" t="str">
        <f t="shared" si="0"/>
        <v>5-8</v>
      </c>
      <c r="BI47" s="41" t="str">
        <f t="shared" si="1"/>
        <v>&gt; 100</v>
      </c>
      <c r="BJ47" s="18">
        <f t="shared" si="5"/>
        <v>5</v>
      </c>
      <c r="BK47" s="18">
        <f t="shared" si="6"/>
        <v>101</v>
      </c>
      <c r="BL47" t="str">
        <f t="shared" si="2"/>
        <v>Other</v>
      </c>
      <c r="BM47" s="5" t="str">
        <f t="shared" si="7"/>
        <v>user</v>
      </c>
    </row>
    <row r="48" spans="1:65" x14ac:dyDescent="0.2">
      <c r="A48">
        <v>47</v>
      </c>
      <c r="B48" s="9" t="s">
        <v>336</v>
      </c>
      <c r="C48" s="9"/>
      <c r="D48" s="13" t="s">
        <v>84</v>
      </c>
      <c r="E48" s="13" t="s">
        <v>84</v>
      </c>
      <c r="F48" s="6" t="str">
        <f t="shared" si="4"/>
        <v>both</v>
      </c>
      <c r="G48" s="9" t="s">
        <v>86</v>
      </c>
      <c r="H48" s="9"/>
      <c r="I48" s="9" t="s">
        <v>87</v>
      </c>
      <c r="J48" s="40" t="s">
        <v>619</v>
      </c>
      <c r="K48" s="9">
        <v>12</v>
      </c>
      <c r="BH48" s="17" t="str">
        <f t="shared" si="0"/>
        <v>1-4</v>
      </c>
      <c r="BI48" s="41" t="str">
        <f t="shared" si="1"/>
        <v>1-20</v>
      </c>
      <c r="BJ48" s="18">
        <f t="shared" si="5"/>
        <v>1</v>
      </c>
      <c r="BK48" s="18">
        <f t="shared" si="6"/>
        <v>1</v>
      </c>
      <c r="BL48" t="str">
        <f t="shared" si="2"/>
        <v>cell culture</v>
      </c>
      <c r="BM48" s="5" t="str">
        <f t="shared" si="7"/>
        <v>both</v>
      </c>
    </row>
    <row r="49" spans="1:65" x14ac:dyDescent="0.2">
      <c r="A49">
        <v>48</v>
      </c>
      <c r="B49" s="9" t="s">
        <v>107</v>
      </c>
      <c r="C49" s="9"/>
      <c r="D49" s="13" t="s">
        <v>84</v>
      </c>
      <c r="E49" s="13" t="s">
        <v>84</v>
      </c>
      <c r="F49" s="6" t="str">
        <f t="shared" si="4"/>
        <v>both</v>
      </c>
      <c r="G49" s="9" t="s">
        <v>108</v>
      </c>
      <c r="H49" s="9"/>
      <c r="I49" s="9" t="s">
        <v>253</v>
      </c>
      <c r="J49" s="40" t="s">
        <v>619</v>
      </c>
      <c r="K49" s="9">
        <v>10</v>
      </c>
      <c r="BH49" s="17" t="str">
        <f t="shared" si="0"/>
        <v>5-8</v>
      </c>
      <c r="BI49" s="41" t="str">
        <f t="shared" si="1"/>
        <v>1-20</v>
      </c>
      <c r="BJ49" s="18">
        <f t="shared" si="5"/>
        <v>5</v>
      </c>
      <c r="BK49" s="18">
        <f t="shared" si="6"/>
        <v>1</v>
      </c>
      <c r="BL49" t="str">
        <f t="shared" si="2"/>
        <v>microscopy</v>
      </c>
      <c r="BM49" s="5" t="str">
        <f t="shared" si="7"/>
        <v>both</v>
      </c>
    </row>
    <row r="50" spans="1:65" x14ac:dyDescent="0.2">
      <c r="A50">
        <v>49</v>
      </c>
      <c r="B50" s="36" t="s">
        <v>920</v>
      </c>
      <c r="C50" s="9" t="s">
        <v>866</v>
      </c>
      <c r="D50" s="13" t="s">
        <v>84</v>
      </c>
      <c r="E50" s="13" t="s">
        <v>84</v>
      </c>
      <c r="F50" s="6" t="str">
        <f t="shared" si="4"/>
        <v>both</v>
      </c>
      <c r="G50" s="9" t="s">
        <v>106</v>
      </c>
      <c r="H50" s="9"/>
      <c r="I50" s="9" t="s">
        <v>87</v>
      </c>
      <c r="J50" s="40" t="s">
        <v>619</v>
      </c>
      <c r="K50" s="9">
        <v>7</v>
      </c>
      <c r="BH50" s="17" t="str">
        <f t="shared" si="0"/>
        <v>1-4</v>
      </c>
      <c r="BI50" s="41" t="str">
        <f t="shared" si="1"/>
        <v>1-20</v>
      </c>
      <c r="BJ50" s="18">
        <f t="shared" si="5"/>
        <v>1</v>
      </c>
      <c r="BK50" s="18">
        <f t="shared" si="6"/>
        <v>1</v>
      </c>
      <c r="BL50" t="str">
        <f t="shared" si="2"/>
        <v>Histology</v>
      </c>
      <c r="BM50" s="5" t="str">
        <f t="shared" si="7"/>
        <v>both</v>
      </c>
    </row>
    <row r="51" spans="1:65" x14ac:dyDescent="0.2">
      <c r="A51">
        <v>50</v>
      </c>
      <c r="B51" s="9" t="s">
        <v>105</v>
      </c>
      <c r="C51" s="9"/>
      <c r="D51" s="13" t="s">
        <v>82</v>
      </c>
      <c r="E51" s="13" t="s">
        <v>84</v>
      </c>
      <c r="F51" s="6" t="str">
        <f t="shared" si="4"/>
        <v>users work</v>
      </c>
      <c r="G51" s="9" t="s">
        <v>86</v>
      </c>
      <c r="H51" s="9"/>
      <c r="I51" s="9" t="s">
        <v>87</v>
      </c>
      <c r="J51" s="40" t="s">
        <v>620</v>
      </c>
      <c r="K51" s="9">
        <v>30</v>
      </c>
      <c r="BH51" s="17" t="str">
        <f t="shared" si="0"/>
        <v>1-4</v>
      </c>
      <c r="BI51" s="41" t="str">
        <f t="shared" si="1"/>
        <v>21-40</v>
      </c>
      <c r="BJ51" s="18">
        <f t="shared" si="5"/>
        <v>1</v>
      </c>
      <c r="BK51" s="18">
        <f t="shared" si="6"/>
        <v>21</v>
      </c>
      <c r="BL51" t="str">
        <f t="shared" si="2"/>
        <v>flow cytometry</v>
      </c>
      <c r="BM51" s="5" t="str">
        <f t="shared" si="7"/>
        <v>user</v>
      </c>
    </row>
    <row r="52" spans="1:65" x14ac:dyDescent="0.2">
      <c r="A52">
        <v>51</v>
      </c>
      <c r="B52" s="9" t="s">
        <v>324</v>
      </c>
      <c r="C52" s="9"/>
      <c r="D52" s="13" t="s">
        <v>84</v>
      </c>
      <c r="E52" s="13" t="s">
        <v>84</v>
      </c>
      <c r="F52" s="6" t="str">
        <f t="shared" si="4"/>
        <v>both</v>
      </c>
      <c r="G52" s="9" t="s">
        <v>86</v>
      </c>
      <c r="H52" s="9"/>
      <c r="I52" s="9" t="s">
        <v>87</v>
      </c>
      <c r="J52" s="40" t="s">
        <v>619</v>
      </c>
      <c r="K52" s="9">
        <v>10</v>
      </c>
      <c r="BH52" s="17" t="str">
        <f t="shared" si="0"/>
        <v>1-4</v>
      </c>
      <c r="BI52" s="41" t="str">
        <f t="shared" si="1"/>
        <v>1-20</v>
      </c>
      <c r="BJ52" s="18">
        <f t="shared" si="5"/>
        <v>1</v>
      </c>
      <c r="BK52" s="18">
        <f t="shared" si="6"/>
        <v>1</v>
      </c>
      <c r="BL52" t="str">
        <f t="shared" si="2"/>
        <v>genomics</v>
      </c>
      <c r="BM52" s="5" t="str">
        <f t="shared" si="7"/>
        <v>both</v>
      </c>
    </row>
    <row r="53" spans="1:65" x14ac:dyDescent="0.2">
      <c r="A53">
        <v>52</v>
      </c>
      <c r="B53" s="9" t="s">
        <v>119</v>
      </c>
      <c r="C53" s="9" t="s">
        <v>900</v>
      </c>
      <c r="D53" s="13" t="s">
        <v>82</v>
      </c>
      <c r="E53" s="13" t="s">
        <v>84</v>
      </c>
      <c r="F53" s="6" t="str">
        <f t="shared" si="4"/>
        <v>users work</v>
      </c>
      <c r="G53" s="9" t="s">
        <v>106</v>
      </c>
      <c r="H53" s="9"/>
      <c r="I53" s="9" t="s">
        <v>290</v>
      </c>
      <c r="J53" s="40" t="s">
        <v>1924</v>
      </c>
      <c r="K53" s="9" t="s">
        <v>623</v>
      </c>
      <c r="BH53" s="17" t="str">
        <f t="shared" si="0"/>
        <v>9-12</v>
      </c>
      <c r="BI53" s="41" t="str">
        <f t="shared" si="1"/>
        <v>&gt; 100</v>
      </c>
      <c r="BJ53" s="18">
        <f t="shared" si="5"/>
        <v>9</v>
      </c>
      <c r="BK53" s="18">
        <f t="shared" si="6"/>
        <v>101</v>
      </c>
      <c r="BL53" t="str">
        <f t="shared" si="2"/>
        <v>Other</v>
      </c>
      <c r="BM53" s="5" t="str">
        <f t="shared" si="7"/>
        <v>user</v>
      </c>
    </row>
    <row r="54" spans="1:65" x14ac:dyDescent="0.2">
      <c r="A54">
        <v>53</v>
      </c>
      <c r="B54" s="9" t="s">
        <v>363</v>
      </c>
      <c r="C54" s="9"/>
      <c r="D54" s="13" t="s">
        <v>84</v>
      </c>
      <c r="E54" s="13" t="s">
        <v>84</v>
      </c>
      <c r="F54" s="6" t="str">
        <f t="shared" si="4"/>
        <v>both</v>
      </c>
      <c r="G54" s="9" t="s">
        <v>106</v>
      </c>
      <c r="H54" s="9"/>
      <c r="I54" s="9" t="s">
        <v>195</v>
      </c>
      <c r="J54" s="40" t="s">
        <v>620</v>
      </c>
      <c r="K54" s="9" t="s">
        <v>903</v>
      </c>
      <c r="BH54" s="17" t="str">
        <f t="shared" si="0"/>
        <v>&gt;16</v>
      </c>
      <c r="BI54" s="41" t="str">
        <f t="shared" si="1"/>
        <v>21-40</v>
      </c>
      <c r="BJ54" s="18">
        <f t="shared" si="5"/>
        <v>17</v>
      </c>
      <c r="BK54" s="18">
        <f t="shared" si="6"/>
        <v>21</v>
      </c>
      <c r="BL54" t="str">
        <f t="shared" si="2"/>
        <v>mouse</v>
      </c>
      <c r="BM54" s="5" t="str">
        <f t="shared" si="7"/>
        <v>both</v>
      </c>
    </row>
    <row r="55" spans="1:65" x14ac:dyDescent="0.2">
      <c r="A55">
        <v>54</v>
      </c>
      <c r="B55" s="36" t="s">
        <v>920</v>
      </c>
      <c r="C55" s="9" t="s">
        <v>920</v>
      </c>
      <c r="D55" s="13" t="s">
        <v>84</v>
      </c>
      <c r="E55" s="13" t="s">
        <v>84</v>
      </c>
      <c r="F55" s="6" t="str">
        <f t="shared" si="4"/>
        <v>both</v>
      </c>
      <c r="G55" s="9" t="s">
        <v>106</v>
      </c>
      <c r="H55" s="9"/>
      <c r="I55" s="9" t="s">
        <v>87</v>
      </c>
      <c r="J55" s="40" t="s">
        <v>621</v>
      </c>
      <c r="K55" s="9">
        <v>50</v>
      </c>
      <c r="BH55" s="17" t="str">
        <f t="shared" si="0"/>
        <v>1-4</v>
      </c>
      <c r="BI55" s="41" t="str">
        <f t="shared" si="1"/>
        <v>41-60</v>
      </c>
      <c r="BJ55" s="18">
        <f t="shared" si="5"/>
        <v>1</v>
      </c>
      <c r="BK55" s="18">
        <f t="shared" si="6"/>
        <v>41</v>
      </c>
      <c r="BL55" t="str">
        <f t="shared" si="2"/>
        <v>Histology</v>
      </c>
      <c r="BM55" s="5" t="str">
        <f t="shared" si="7"/>
        <v>both</v>
      </c>
    </row>
    <row r="56" spans="1:65" x14ac:dyDescent="0.2">
      <c r="A56">
        <v>55</v>
      </c>
      <c r="B56" s="36" t="s">
        <v>920</v>
      </c>
      <c r="C56" s="9" t="s">
        <v>920</v>
      </c>
      <c r="D56" s="13" t="s">
        <v>82</v>
      </c>
      <c r="E56" s="13" t="s">
        <v>84</v>
      </c>
      <c r="F56" s="6" t="str">
        <f t="shared" si="4"/>
        <v>users work</v>
      </c>
      <c r="G56" s="9" t="s">
        <v>108</v>
      </c>
      <c r="H56" s="9"/>
      <c r="I56" s="9" t="s">
        <v>290</v>
      </c>
      <c r="J56" s="40" t="s">
        <v>621</v>
      </c>
      <c r="K56" s="9" t="s">
        <v>926</v>
      </c>
      <c r="BH56" s="17" t="str">
        <f t="shared" si="0"/>
        <v>9-12</v>
      </c>
      <c r="BI56" s="41" t="str">
        <f t="shared" si="1"/>
        <v>41-60</v>
      </c>
      <c r="BJ56" s="18">
        <f t="shared" si="5"/>
        <v>9</v>
      </c>
      <c r="BK56" s="18">
        <f t="shared" si="6"/>
        <v>41</v>
      </c>
      <c r="BL56" t="str">
        <f t="shared" si="2"/>
        <v>Histology</v>
      </c>
      <c r="BM56" s="5" t="str">
        <f t="shared" si="7"/>
        <v>user</v>
      </c>
    </row>
    <row r="57" spans="1:65" x14ac:dyDescent="0.2">
      <c r="A57">
        <v>56</v>
      </c>
      <c r="B57" s="9" t="s">
        <v>107</v>
      </c>
      <c r="C57" s="9"/>
      <c r="D57" s="13" t="s">
        <v>84</v>
      </c>
      <c r="E57" s="13" t="s">
        <v>84</v>
      </c>
      <c r="F57" s="6" t="str">
        <f t="shared" si="4"/>
        <v>both</v>
      </c>
      <c r="G57" s="9" t="s">
        <v>108</v>
      </c>
      <c r="H57" s="9"/>
      <c r="I57" s="9" t="s">
        <v>253</v>
      </c>
      <c r="J57" s="40" t="s">
        <v>1924</v>
      </c>
      <c r="K57" s="9" t="s">
        <v>946</v>
      </c>
      <c r="BH57" s="17" t="str">
        <f t="shared" si="0"/>
        <v>5-8</v>
      </c>
      <c r="BI57" s="41" t="str">
        <f t="shared" si="1"/>
        <v>&gt; 100</v>
      </c>
      <c r="BJ57" s="18">
        <f t="shared" si="5"/>
        <v>5</v>
      </c>
      <c r="BK57" s="18">
        <f t="shared" si="6"/>
        <v>101</v>
      </c>
      <c r="BL57" t="str">
        <f t="shared" si="2"/>
        <v>microscopy</v>
      </c>
      <c r="BM57" s="5" t="str">
        <f t="shared" si="7"/>
        <v>both</v>
      </c>
    </row>
    <row r="58" spans="1:65" x14ac:dyDescent="0.2">
      <c r="A58">
        <v>57</v>
      </c>
      <c r="B58" s="9" t="s">
        <v>107</v>
      </c>
      <c r="C58" s="9"/>
      <c r="D58" s="13" t="s">
        <v>84</v>
      </c>
      <c r="E58" s="13" t="s">
        <v>84</v>
      </c>
      <c r="F58" s="6" t="str">
        <f t="shared" si="4"/>
        <v>both</v>
      </c>
      <c r="G58" s="9" t="s">
        <v>108</v>
      </c>
      <c r="H58" s="9"/>
      <c r="I58" s="9" t="s">
        <v>87</v>
      </c>
      <c r="J58" s="40" t="s">
        <v>619</v>
      </c>
      <c r="K58" s="9">
        <v>15</v>
      </c>
      <c r="BH58" s="17" t="str">
        <f t="shared" si="0"/>
        <v>1-4</v>
      </c>
      <c r="BI58" s="41" t="str">
        <f t="shared" si="1"/>
        <v>1-20</v>
      </c>
      <c r="BJ58" s="18">
        <f t="shared" si="5"/>
        <v>1</v>
      </c>
      <c r="BK58" s="18">
        <f t="shared" si="6"/>
        <v>1</v>
      </c>
      <c r="BL58" t="str">
        <f t="shared" si="2"/>
        <v>microscopy</v>
      </c>
      <c r="BM58" s="5" t="str">
        <f t="shared" si="7"/>
        <v>both</v>
      </c>
    </row>
    <row r="59" spans="1:65" x14ac:dyDescent="0.2">
      <c r="A59">
        <v>58</v>
      </c>
      <c r="B59" s="9" t="s">
        <v>161</v>
      </c>
      <c r="C59" s="9"/>
      <c r="D59" s="13" t="s">
        <v>82</v>
      </c>
      <c r="E59" s="13" t="s">
        <v>82</v>
      </c>
      <c r="F59" s="6" t="str">
        <f t="shared" si="4"/>
        <v>staff</v>
      </c>
      <c r="G59" s="9" t="s">
        <v>108</v>
      </c>
      <c r="H59" s="9"/>
      <c r="I59" s="9" t="s">
        <v>87</v>
      </c>
      <c r="J59" s="40" t="s">
        <v>619</v>
      </c>
      <c r="K59" s="9">
        <v>10</v>
      </c>
      <c r="BH59" s="17" t="str">
        <f t="shared" si="0"/>
        <v>1-4</v>
      </c>
      <c r="BI59" s="41" t="str">
        <f t="shared" si="1"/>
        <v>1-20</v>
      </c>
      <c r="BJ59" s="18">
        <f t="shared" si="5"/>
        <v>1</v>
      </c>
      <c r="BK59" s="18">
        <f t="shared" si="6"/>
        <v>1</v>
      </c>
      <c r="BL59" t="str">
        <f t="shared" si="2"/>
        <v>proteomics</v>
      </c>
      <c r="BM59" s="5" t="str">
        <f t="shared" si="7"/>
        <v>staff</v>
      </c>
    </row>
    <row r="60" spans="1:65" x14ac:dyDescent="0.2">
      <c r="A60">
        <v>59</v>
      </c>
      <c r="B60" s="9" t="s">
        <v>105</v>
      </c>
      <c r="C60" s="9"/>
      <c r="D60" s="9" t="s">
        <v>82</v>
      </c>
      <c r="E60" s="9" t="s">
        <v>84</v>
      </c>
      <c r="F60" s="6" t="str">
        <f t="shared" si="4"/>
        <v>users work</v>
      </c>
      <c r="G60" s="9" t="s">
        <v>86</v>
      </c>
      <c r="H60" s="9"/>
      <c r="I60" s="9" t="s">
        <v>87</v>
      </c>
      <c r="J60" s="40" t="s">
        <v>620</v>
      </c>
      <c r="K60" s="9">
        <v>30</v>
      </c>
      <c r="BH60" s="17" t="str">
        <f t="shared" si="0"/>
        <v>1-4</v>
      </c>
      <c r="BI60" s="41" t="str">
        <f t="shared" si="1"/>
        <v>21-40</v>
      </c>
      <c r="BJ60" s="18">
        <f t="shared" si="5"/>
        <v>1</v>
      </c>
      <c r="BK60" s="18">
        <f t="shared" si="6"/>
        <v>21</v>
      </c>
      <c r="BL60" t="str">
        <f t="shared" si="2"/>
        <v>flow cytometry</v>
      </c>
      <c r="BM60" s="5" t="str">
        <f t="shared" si="7"/>
        <v>user</v>
      </c>
    </row>
    <row r="61" spans="1:65" x14ac:dyDescent="0.2">
      <c r="A61">
        <v>60</v>
      </c>
      <c r="B61" s="9" t="s">
        <v>105</v>
      </c>
      <c r="C61" s="9"/>
      <c r="D61" s="9" t="s">
        <v>84</v>
      </c>
      <c r="E61" s="9" t="s">
        <v>84</v>
      </c>
      <c r="F61" s="6" t="str">
        <f t="shared" si="4"/>
        <v>both</v>
      </c>
      <c r="G61" s="9" t="s">
        <v>108</v>
      </c>
      <c r="H61" s="9"/>
      <c r="I61" s="9" t="s">
        <v>87</v>
      </c>
      <c r="J61" s="40" t="s">
        <v>620</v>
      </c>
      <c r="K61" s="9">
        <v>30</v>
      </c>
      <c r="BH61" s="17" t="str">
        <f t="shared" si="0"/>
        <v>1-4</v>
      </c>
      <c r="BI61" s="41" t="str">
        <f t="shared" si="1"/>
        <v>21-40</v>
      </c>
      <c r="BJ61" s="18">
        <f t="shared" si="5"/>
        <v>1</v>
      </c>
      <c r="BK61" s="18">
        <f t="shared" si="6"/>
        <v>21</v>
      </c>
      <c r="BL61" t="str">
        <f t="shared" si="2"/>
        <v>flow cytometry</v>
      </c>
      <c r="BM61" s="5" t="str">
        <f t="shared" si="7"/>
        <v>both</v>
      </c>
    </row>
    <row r="62" spans="1:65" s="1" customFormat="1" ht="76.5" x14ac:dyDescent="0.2">
      <c r="A62" s="1">
        <v>61</v>
      </c>
      <c r="B62" s="11" t="s">
        <v>161</v>
      </c>
      <c r="C62" s="11"/>
      <c r="D62" s="24"/>
      <c r="E62" s="24"/>
      <c r="F62" s="7" t="s">
        <v>1294</v>
      </c>
      <c r="G62" s="11" t="s">
        <v>108</v>
      </c>
      <c r="H62" s="11" t="s">
        <v>4226</v>
      </c>
      <c r="I62" s="11" t="s">
        <v>87</v>
      </c>
      <c r="J62" s="11" t="s">
        <v>1296</v>
      </c>
      <c r="K62" s="24"/>
      <c r="BH62" s="17" t="str">
        <f t="shared" si="0"/>
        <v>1-4</v>
      </c>
      <c r="BI62" s="41" t="str">
        <f t="shared" si="1"/>
        <v>1-20  users per month</v>
      </c>
      <c r="BJ62" s="68">
        <f t="shared" si="5"/>
        <v>1</v>
      </c>
      <c r="BK62" s="68">
        <f>IF(BI62="1-20  users per month",1,IF(BI62="21-40  users per month",21,IF(BI62="41-60  users per month",41,IF(BI62="61-80  users per month",61,IF(BI62="81-100  users per month",81,IF(BI62="&gt; 100  users per month",101))))))</f>
        <v>1</v>
      </c>
      <c r="BL62" s="1" t="str">
        <f t="shared" si="2"/>
        <v>proteomics</v>
      </c>
      <c r="BM62" s="56" t="str">
        <f t="shared" ref="BM62:BM93" si="8">IF(ISNUMBER(SEARCH("staff",F62)),"staff",IF(ISNUMBER(SEARCH("users work",F62)),"user",IF(ISNUMBER(SEARCH("both",F62)),"both")))</f>
        <v>staff</v>
      </c>
    </row>
    <row r="63" spans="1:65" s="1" customFormat="1" ht="38.25" x14ac:dyDescent="0.2">
      <c r="A63" s="1">
        <v>62</v>
      </c>
      <c r="B63" s="11" t="s">
        <v>107</v>
      </c>
      <c r="C63" s="11"/>
      <c r="D63" s="24"/>
      <c r="E63" s="24"/>
      <c r="F63" s="7" t="s">
        <v>1309</v>
      </c>
      <c r="G63" s="11" t="s">
        <v>108</v>
      </c>
      <c r="H63" s="11"/>
      <c r="I63" s="11" t="s">
        <v>87</v>
      </c>
      <c r="J63" s="11" t="s">
        <v>1310</v>
      </c>
      <c r="K63" s="24"/>
      <c r="BH63" s="17" t="str">
        <f t="shared" si="0"/>
        <v>1-4</v>
      </c>
      <c r="BI63" s="41" t="str">
        <f t="shared" si="1"/>
        <v>41-60  users per month</v>
      </c>
      <c r="BJ63" s="68">
        <f t="shared" si="5"/>
        <v>1</v>
      </c>
      <c r="BK63" s="68">
        <f t="shared" ref="BK63:BK126" si="9">IF(BI63="1-20  users per month",1,IF(BI63="21-40  users per month",21,IF(BI63="41-60  users per month",41,IF(BI63="61-80  users per month",61,IF(BI63="81-100  users per month",81,IF(BI63="&gt; 100  users per month",101))))))</f>
        <v>41</v>
      </c>
      <c r="BL63" s="1" t="str">
        <f t="shared" si="2"/>
        <v>microscopy</v>
      </c>
      <c r="BM63" s="56" t="str">
        <f t="shared" si="8"/>
        <v>user</v>
      </c>
    </row>
    <row r="64" spans="1:65" s="1" customFormat="1" ht="38.25" x14ac:dyDescent="0.2">
      <c r="A64" s="1">
        <v>63</v>
      </c>
      <c r="B64" s="11" t="s">
        <v>107</v>
      </c>
      <c r="C64" s="11"/>
      <c r="D64" s="24"/>
      <c r="E64" s="24"/>
      <c r="F64" s="7" t="s">
        <v>1319</v>
      </c>
      <c r="G64" s="11" t="s">
        <v>108</v>
      </c>
      <c r="H64" s="11"/>
      <c r="I64" s="11" t="s">
        <v>632</v>
      </c>
      <c r="J64" s="11" t="s">
        <v>1320</v>
      </c>
      <c r="K64" s="24"/>
      <c r="BH64" s="17" t="str">
        <f t="shared" si="0"/>
        <v>13-16</v>
      </c>
      <c r="BI64" s="41" t="str">
        <f t="shared" si="1"/>
        <v>81-100  users per month</v>
      </c>
      <c r="BJ64" s="68">
        <f t="shared" si="5"/>
        <v>13</v>
      </c>
      <c r="BK64" s="68">
        <f t="shared" si="9"/>
        <v>81</v>
      </c>
      <c r="BL64" s="1" t="str">
        <f t="shared" si="2"/>
        <v>microscopy</v>
      </c>
      <c r="BM64" s="56" t="str">
        <f t="shared" si="8"/>
        <v>both</v>
      </c>
    </row>
    <row r="65" spans="1:65" s="1" customFormat="1" ht="38.25" x14ac:dyDescent="0.2">
      <c r="A65" s="1">
        <v>64</v>
      </c>
      <c r="B65" s="33" t="s">
        <v>324</v>
      </c>
      <c r="C65" s="33"/>
      <c r="D65" s="33"/>
      <c r="E65" s="33"/>
      <c r="F65" s="33" t="s">
        <v>1294</v>
      </c>
      <c r="G65" s="33" t="s">
        <v>108</v>
      </c>
      <c r="H65" s="33"/>
      <c r="I65" s="33" t="s">
        <v>253</v>
      </c>
      <c r="J65" s="33" t="s">
        <v>1296</v>
      </c>
      <c r="K65" s="24"/>
      <c r="BH65" s="17" t="str">
        <f t="shared" ref="BH65:BH128" si="10">I65</f>
        <v>5-8</v>
      </c>
      <c r="BI65" s="41" t="str">
        <f t="shared" ref="BI65:BI128" si="11">J65</f>
        <v>1-20  users per month</v>
      </c>
      <c r="BJ65" s="68">
        <f t="shared" si="5"/>
        <v>5</v>
      </c>
      <c r="BK65" s="68">
        <f t="shared" si="9"/>
        <v>1</v>
      </c>
      <c r="BL65" s="1" t="str">
        <f t="shared" si="2"/>
        <v>genomics</v>
      </c>
      <c r="BM65" s="56" t="str">
        <f t="shared" si="8"/>
        <v>staff</v>
      </c>
    </row>
    <row r="66" spans="1:65" s="1" customFormat="1" ht="38.25" x14ac:dyDescent="0.2">
      <c r="A66" s="1">
        <v>65</v>
      </c>
      <c r="B66" s="11" t="s">
        <v>377</v>
      </c>
      <c r="C66" s="11"/>
      <c r="D66" s="24"/>
      <c r="E66" s="24"/>
      <c r="F66" s="11" t="s">
        <v>1294</v>
      </c>
      <c r="G66" s="11" t="s">
        <v>86</v>
      </c>
      <c r="H66" s="11"/>
      <c r="I66" s="11" t="s">
        <v>87</v>
      </c>
      <c r="J66" s="11" t="s">
        <v>1296</v>
      </c>
      <c r="K66" s="24"/>
      <c r="BH66" s="17" t="str">
        <f t="shared" si="10"/>
        <v>1-4</v>
      </c>
      <c r="BI66" s="41" t="str">
        <f t="shared" si="11"/>
        <v>1-20  users per month</v>
      </c>
      <c r="BJ66" s="68">
        <f t="shared" si="5"/>
        <v>1</v>
      </c>
      <c r="BK66" s="68">
        <f t="shared" si="9"/>
        <v>1</v>
      </c>
      <c r="BL66" s="1" t="str">
        <f t="shared" ref="BL66:BL129" si="12">B66</f>
        <v>protein expression</v>
      </c>
      <c r="BM66" s="56" t="str">
        <f t="shared" si="8"/>
        <v>staff</v>
      </c>
    </row>
    <row r="67" spans="1:65" s="1" customFormat="1" ht="38.25" x14ac:dyDescent="0.2">
      <c r="A67" s="1">
        <v>66</v>
      </c>
      <c r="B67" s="11" t="s">
        <v>119</v>
      </c>
      <c r="C67" s="11" t="s">
        <v>4227</v>
      </c>
      <c r="D67" s="24"/>
      <c r="E67" s="24"/>
      <c r="F67" s="11" t="s">
        <v>1294</v>
      </c>
      <c r="G67" s="11" t="s">
        <v>138</v>
      </c>
      <c r="H67" s="11"/>
      <c r="I67" s="11" t="s">
        <v>87</v>
      </c>
      <c r="J67" s="11" t="s">
        <v>1296</v>
      </c>
      <c r="K67" s="24"/>
      <c r="BH67" s="17" t="str">
        <f t="shared" si="10"/>
        <v>1-4</v>
      </c>
      <c r="BI67" s="41" t="str">
        <f t="shared" si="11"/>
        <v>1-20  users per month</v>
      </c>
      <c r="BJ67" s="68">
        <f t="shared" ref="BJ67:BJ130" si="13">IF(BH67="1-4",1,IF(BH67="5-8",5,IF(BH67="9-12",9,IF(BH67="13-16",13,IF(BH67="&gt;16",17)))))</f>
        <v>1</v>
      </c>
      <c r="BK67" s="68">
        <f t="shared" si="9"/>
        <v>1</v>
      </c>
      <c r="BL67" s="1" t="str">
        <f t="shared" si="12"/>
        <v>Other</v>
      </c>
      <c r="BM67" s="56" t="str">
        <f t="shared" si="8"/>
        <v>staff</v>
      </c>
    </row>
    <row r="68" spans="1:65" s="1" customFormat="1" ht="25.5" x14ac:dyDescent="0.2">
      <c r="A68" s="1">
        <v>67</v>
      </c>
      <c r="B68" s="11" t="s">
        <v>119</v>
      </c>
      <c r="C68" s="11" t="s">
        <v>1356</v>
      </c>
      <c r="D68" s="24"/>
      <c r="E68" s="24"/>
      <c r="F68" s="11" t="s">
        <v>1319</v>
      </c>
      <c r="G68" s="11" t="s">
        <v>618</v>
      </c>
      <c r="H68" s="11" t="s">
        <v>1357</v>
      </c>
      <c r="I68" s="11" t="s">
        <v>195</v>
      </c>
      <c r="J68" s="11" t="s">
        <v>1358</v>
      </c>
      <c r="K68" s="24"/>
      <c r="BH68" s="17" t="str">
        <f t="shared" si="10"/>
        <v>&gt;16</v>
      </c>
      <c r="BI68" s="41" t="str">
        <f t="shared" si="11"/>
        <v>21-40  users per month</v>
      </c>
      <c r="BJ68" s="68">
        <f t="shared" si="13"/>
        <v>17</v>
      </c>
      <c r="BK68" s="68">
        <f t="shared" si="9"/>
        <v>21</v>
      </c>
      <c r="BL68" s="1" t="str">
        <f t="shared" si="12"/>
        <v>Other</v>
      </c>
      <c r="BM68" s="56" t="str">
        <f t="shared" si="8"/>
        <v>both</v>
      </c>
    </row>
    <row r="69" spans="1:65" s="1" customFormat="1" ht="38.25" x14ac:dyDescent="0.2">
      <c r="A69" s="1">
        <v>68</v>
      </c>
      <c r="B69" s="11" t="s">
        <v>363</v>
      </c>
      <c r="C69" s="11"/>
      <c r="D69" s="24"/>
      <c r="E69" s="24"/>
      <c r="F69" s="11" t="s">
        <v>1294</v>
      </c>
      <c r="G69" s="11" t="s">
        <v>106</v>
      </c>
      <c r="H69" s="11"/>
      <c r="I69" s="11" t="s">
        <v>87</v>
      </c>
      <c r="J69" s="11" t="s">
        <v>1296</v>
      </c>
      <c r="K69" s="24"/>
      <c r="BH69" s="17" t="str">
        <f t="shared" si="10"/>
        <v>1-4</v>
      </c>
      <c r="BI69" s="41" t="str">
        <f t="shared" si="11"/>
        <v>1-20  users per month</v>
      </c>
      <c r="BJ69" s="68">
        <f t="shared" si="13"/>
        <v>1</v>
      </c>
      <c r="BK69" s="68">
        <f t="shared" si="9"/>
        <v>1</v>
      </c>
      <c r="BL69" s="1" t="str">
        <f t="shared" si="12"/>
        <v>mouse</v>
      </c>
      <c r="BM69" s="56" t="str">
        <f t="shared" si="8"/>
        <v>staff</v>
      </c>
    </row>
    <row r="70" spans="1:65" s="1" customFormat="1" ht="25.5" x14ac:dyDescent="0.2">
      <c r="A70" s="1">
        <v>69</v>
      </c>
      <c r="B70" s="11" t="s">
        <v>107</v>
      </c>
      <c r="C70" s="11"/>
      <c r="D70" s="24"/>
      <c r="E70" s="24"/>
      <c r="F70" s="11" t="s">
        <v>1319</v>
      </c>
      <c r="G70" s="11" t="s">
        <v>108</v>
      </c>
      <c r="H70" s="11"/>
      <c r="I70" s="11" t="s">
        <v>195</v>
      </c>
      <c r="J70" s="11" t="s">
        <v>1375</v>
      </c>
      <c r="K70" s="24"/>
      <c r="BH70" s="17" t="str">
        <f t="shared" si="10"/>
        <v>&gt;16</v>
      </c>
      <c r="BI70" s="41" t="str">
        <f t="shared" si="11"/>
        <v>&gt; 100  users per month</v>
      </c>
      <c r="BJ70" s="68">
        <f t="shared" si="13"/>
        <v>17</v>
      </c>
      <c r="BK70" s="68">
        <f t="shared" si="9"/>
        <v>101</v>
      </c>
      <c r="BL70" s="1" t="str">
        <f t="shared" si="12"/>
        <v>microscopy</v>
      </c>
      <c r="BM70" s="56" t="str">
        <f t="shared" si="8"/>
        <v>both</v>
      </c>
    </row>
    <row r="71" spans="1:65" s="1" customFormat="1" ht="38.25" x14ac:dyDescent="0.2">
      <c r="A71" s="1">
        <v>70</v>
      </c>
      <c r="B71" s="11" t="s">
        <v>107</v>
      </c>
      <c r="C71" s="11"/>
      <c r="D71" s="24"/>
      <c r="E71" s="24"/>
      <c r="F71" s="11" t="s">
        <v>1294</v>
      </c>
      <c r="G71" s="11" t="s">
        <v>618</v>
      </c>
      <c r="H71" s="11"/>
      <c r="I71" s="11" t="s">
        <v>87</v>
      </c>
      <c r="J71" s="11" t="s">
        <v>1358</v>
      </c>
      <c r="K71" s="24"/>
      <c r="BH71" s="17" t="str">
        <f t="shared" si="10"/>
        <v>1-4</v>
      </c>
      <c r="BI71" s="41" t="str">
        <f t="shared" si="11"/>
        <v>21-40  users per month</v>
      </c>
      <c r="BJ71" s="68">
        <f t="shared" si="13"/>
        <v>1</v>
      </c>
      <c r="BK71" s="68">
        <f t="shared" si="9"/>
        <v>21</v>
      </c>
      <c r="BL71" s="1" t="str">
        <f t="shared" si="12"/>
        <v>microscopy</v>
      </c>
      <c r="BM71" s="56" t="str">
        <f t="shared" si="8"/>
        <v>staff</v>
      </c>
    </row>
    <row r="72" spans="1:65" s="1" customFormat="1" ht="25.5" x14ac:dyDescent="0.2">
      <c r="A72" s="1">
        <v>71</v>
      </c>
      <c r="B72" s="11" t="s">
        <v>105</v>
      </c>
      <c r="C72" s="11"/>
      <c r="D72" s="24"/>
      <c r="E72" s="24"/>
      <c r="F72" s="11" t="s">
        <v>1319</v>
      </c>
      <c r="G72" s="11" t="s">
        <v>618</v>
      </c>
      <c r="H72" s="11"/>
      <c r="I72" s="11" t="s">
        <v>87</v>
      </c>
      <c r="J72" s="11" t="s">
        <v>1358</v>
      </c>
      <c r="K72" s="24"/>
      <c r="BH72" s="17" t="str">
        <f t="shared" si="10"/>
        <v>1-4</v>
      </c>
      <c r="BI72" s="41" t="str">
        <f t="shared" si="11"/>
        <v>21-40  users per month</v>
      </c>
      <c r="BJ72" s="68">
        <f t="shared" si="13"/>
        <v>1</v>
      </c>
      <c r="BK72" s="68">
        <f t="shared" si="9"/>
        <v>21</v>
      </c>
      <c r="BL72" s="1" t="str">
        <f t="shared" si="12"/>
        <v>flow cytometry</v>
      </c>
      <c r="BM72" s="56" t="str">
        <f t="shared" si="8"/>
        <v>both</v>
      </c>
    </row>
    <row r="73" spans="1:65" s="1" customFormat="1" ht="38.25" x14ac:dyDescent="0.2">
      <c r="A73" s="1">
        <v>72</v>
      </c>
      <c r="B73" s="11" t="s">
        <v>107</v>
      </c>
      <c r="C73" s="11"/>
      <c r="D73" s="24"/>
      <c r="E73" s="24"/>
      <c r="F73" s="11" t="s">
        <v>1319</v>
      </c>
      <c r="G73" s="11" t="s">
        <v>108</v>
      </c>
      <c r="H73" s="11"/>
      <c r="I73" s="11" t="s">
        <v>87</v>
      </c>
      <c r="J73" s="11" t="s">
        <v>1320</v>
      </c>
      <c r="K73" s="24"/>
      <c r="BH73" s="17" t="str">
        <f t="shared" si="10"/>
        <v>1-4</v>
      </c>
      <c r="BI73" s="41" t="str">
        <f t="shared" si="11"/>
        <v>81-100  users per month</v>
      </c>
      <c r="BJ73" s="68">
        <f t="shared" si="13"/>
        <v>1</v>
      </c>
      <c r="BK73" s="68">
        <f t="shared" si="9"/>
        <v>81</v>
      </c>
      <c r="BL73" s="1" t="str">
        <f t="shared" si="12"/>
        <v>microscopy</v>
      </c>
      <c r="BM73" s="56" t="str">
        <f t="shared" si="8"/>
        <v>both</v>
      </c>
    </row>
    <row r="74" spans="1:65" s="1" customFormat="1" ht="25.5" x14ac:dyDescent="0.2">
      <c r="A74" s="1">
        <v>73</v>
      </c>
      <c r="B74" s="33" t="s">
        <v>324</v>
      </c>
      <c r="C74" s="33"/>
      <c r="D74" s="33"/>
      <c r="E74" s="33"/>
      <c r="F74" s="33" t="s">
        <v>1319</v>
      </c>
      <c r="G74" s="33" t="s">
        <v>618</v>
      </c>
      <c r="H74" s="33"/>
      <c r="I74" s="33" t="s">
        <v>87</v>
      </c>
      <c r="J74" s="33" t="s">
        <v>1296</v>
      </c>
      <c r="K74" s="24"/>
      <c r="BH74" s="17" t="str">
        <f t="shared" si="10"/>
        <v>1-4</v>
      </c>
      <c r="BI74" s="41" t="str">
        <f t="shared" si="11"/>
        <v>1-20  users per month</v>
      </c>
      <c r="BJ74" s="68">
        <f t="shared" si="13"/>
        <v>1</v>
      </c>
      <c r="BK74" s="68">
        <f t="shared" si="9"/>
        <v>1</v>
      </c>
      <c r="BL74" s="1" t="str">
        <f t="shared" si="12"/>
        <v>genomics</v>
      </c>
      <c r="BM74" s="56" t="str">
        <f t="shared" si="8"/>
        <v>both</v>
      </c>
    </row>
    <row r="75" spans="1:65" s="1" customFormat="1" ht="25.5" x14ac:dyDescent="0.2">
      <c r="A75" s="1">
        <v>74</v>
      </c>
      <c r="B75" s="11" t="s">
        <v>324</v>
      </c>
      <c r="C75" s="11"/>
      <c r="D75" s="24"/>
      <c r="E75" s="24"/>
      <c r="F75" s="11" t="s">
        <v>1319</v>
      </c>
      <c r="G75" s="11" t="s">
        <v>138</v>
      </c>
      <c r="H75" s="11"/>
      <c r="I75" s="11" t="s">
        <v>87</v>
      </c>
      <c r="J75" s="11" t="s">
        <v>1296</v>
      </c>
      <c r="K75" s="24"/>
      <c r="BH75" s="17" t="str">
        <f t="shared" si="10"/>
        <v>1-4</v>
      </c>
      <c r="BI75" s="41" t="str">
        <f t="shared" si="11"/>
        <v>1-20  users per month</v>
      </c>
      <c r="BJ75" s="68">
        <f t="shared" si="13"/>
        <v>1</v>
      </c>
      <c r="BK75" s="68">
        <f t="shared" si="9"/>
        <v>1</v>
      </c>
      <c r="BL75" s="1" t="str">
        <f t="shared" si="12"/>
        <v>genomics</v>
      </c>
      <c r="BM75" s="56" t="str">
        <f t="shared" si="8"/>
        <v>both</v>
      </c>
    </row>
    <row r="76" spans="1:65" s="1" customFormat="1" ht="25.5" x14ac:dyDescent="0.2">
      <c r="A76" s="1">
        <v>75</v>
      </c>
      <c r="B76" s="33" t="s">
        <v>324</v>
      </c>
      <c r="C76" s="33"/>
      <c r="D76" s="33"/>
      <c r="E76" s="33"/>
      <c r="F76" s="33" t="s">
        <v>1319</v>
      </c>
      <c r="G76" s="33" t="s">
        <v>108</v>
      </c>
      <c r="H76" s="33"/>
      <c r="I76" s="33" t="s">
        <v>253</v>
      </c>
      <c r="J76" s="33" t="s">
        <v>1375</v>
      </c>
      <c r="K76" s="24"/>
      <c r="BH76" s="17" t="str">
        <f t="shared" si="10"/>
        <v>5-8</v>
      </c>
      <c r="BI76" s="41" t="str">
        <f t="shared" si="11"/>
        <v>&gt; 100  users per month</v>
      </c>
      <c r="BJ76" s="68">
        <f t="shared" si="13"/>
        <v>5</v>
      </c>
      <c r="BK76" s="68">
        <f t="shared" si="9"/>
        <v>101</v>
      </c>
      <c r="BL76" s="1" t="str">
        <f t="shared" si="12"/>
        <v>genomics</v>
      </c>
      <c r="BM76" s="56" t="str">
        <f t="shared" si="8"/>
        <v>both</v>
      </c>
    </row>
    <row r="77" spans="1:65" s="1" customFormat="1" ht="38.25" x14ac:dyDescent="0.2">
      <c r="A77" s="1">
        <v>76</v>
      </c>
      <c r="B77" s="11" t="s">
        <v>119</v>
      </c>
      <c r="C77" s="11" t="s">
        <v>289</v>
      </c>
      <c r="D77" s="24"/>
      <c r="E77" s="24"/>
      <c r="F77" s="11" t="s">
        <v>1294</v>
      </c>
      <c r="G77" s="11" t="s">
        <v>86</v>
      </c>
      <c r="H77" s="11"/>
      <c r="I77" s="11" t="s">
        <v>290</v>
      </c>
      <c r="J77" s="11" t="s">
        <v>1296</v>
      </c>
      <c r="K77" s="24"/>
      <c r="BH77" s="17" t="str">
        <f t="shared" si="10"/>
        <v>9-12</v>
      </c>
      <c r="BI77" s="41" t="str">
        <f t="shared" si="11"/>
        <v>1-20  users per month</v>
      </c>
      <c r="BJ77" s="68">
        <f t="shared" si="13"/>
        <v>9</v>
      </c>
      <c r="BK77" s="68">
        <f t="shared" si="9"/>
        <v>1</v>
      </c>
      <c r="BL77" s="1" t="str">
        <f t="shared" si="12"/>
        <v>Other</v>
      </c>
      <c r="BM77" s="56" t="str">
        <f t="shared" si="8"/>
        <v>staff</v>
      </c>
    </row>
    <row r="78" spans="1:65" s="1" customFormat="1" ht="25.5" x14ac:dyDescent="0.2">
      <c r="A78" s="1">
        <v>77</v>
      </c>
      <c r="B78" s="11" t="s">
        <v>161</v>
      </c>
      <c r="C78" s="11"/>
      <c r="D78" s="24"/>
      <c r="E78" s="24"/>
      <c r="F78" s="11" t="s">
        <v>1319</v>
      </c>
      <c r="G78" s="11" t="s">
        <v>618</v>
      </c>
      <c r="H78" s="11"/>
      <c r="I78" s="11" t="s">
        <v>253</v>
      </c>
      <c r="J78" s="11" t="s">
        <v>1358</v>
      </c>
      <c r="K78" s="24"/>
      <c r="BH78" s="17" t="str">
        <f t="shared" si="10"/>
        <v>5-8</v>
      </c>
      <c r="BI78" s="41" t="str">
        <f t="shared" si="11"/>
        <v>21-40  users per month</v>
      </c>
      <c r="BJ78" s="68">
        <f t="shared" si="13"/>
        <v>5</v>
      </c>
      <c r="BK78" s="68">
        <f t="shared" si="9"/>
        <v>21</v>
      </c>
      <c r="BL78" s="1" t="str">
        <f t="shared" si="12"/>
        <v>proteomics</v>
      </c>
      <c r="BM78" s="56" t="str">
        <f t="shared" si="8"/>
        <v>both</v>
      </c>
    </row>
    <row r="79" spans="1:65" s="1" customFormat="1" ht="25.5" x14ac:dyDescent="0.2">
      <c r="A79" s="1">
        <v>78</v>
      </c>
      <c r="B79" s="11" t="s">
        <v>105</v>
      </c>
      <c r="C79" s="11"/>
      <c r="D79" s="24"/>
      <c r="E79" s="24"/>
      <c r="F79" s="11" t="s">
        <v>1319</v>
      </c>
      <c r="G79" s="11" t="s">
        <v>618</v>
      </c>
      <c r="H79" s="11"/>
      <c r="I79" s="11" t="s">
        <v>87</v>
      </c>
      <c r="J79" s="11" t="s">
        <v>1358</v>
      </c>
      <c r="K79" s="24"/>
      <c r="BH79" s="17" t="str">
        <f t="shared" si="10"/>
        <v>1-4</v>
      </c>
      <c r="BI79" s="41" t="str">
        <f t="shared" si="11"/>
        <v>21-40  users per month</v>
      </c>
      <c r="BJ79" s="68">
        <f t="shared" si="13"/>
        <v>1</v>
      </c>
      <c r="BK79" s="68">
        <f t="shared" si="9"/>
        <v>21</v>
      </c>
      <c r="BL79" s="1" t="str">
        <f t="shared" si="12"/>
        <v>flow cytometry</v>
      </c>
      <c r="BM79" s="56" t="str">
        <f t="shared" si="8"/>
        <v>both</v>
      </c>
    </row>
    <row r="80" spans="1:65" s="1" customFormat="1" ht="38.25" x14ac:dyDescent="0.2">
      <c r="A80" s="1">
        <v>79</v>
      </c>
      <c r="B80" s="39" t="s">
        <v>324</v>
      </c>
      <c r="C80" s="11" t="s">
        <v>1429</v>
      </c>
      <c r="D80" s="24"/>
      <c r="E80" s="24"/>
      <c r="F80" s="11" t="s">
        <v>1294</v>
      </c>
      <c r="G80" s="11" t="s">
        <v>86</v>
      </c>
      <c r="H80" s="11"/>
      <c r="I80" s="11" t="s">
        <v>253</v>
      </c>
      <c r="J80" s="11" t="s">
        <v>1296</v>
      </c>
      <c r="K80" s="24"/>
      <c r="BH80" s="17" t="str">
        <f t="shared" si="10"/>
        <v>5-8</v>
      </c>
      <c r="BI80" s="41" t="str">
        <f t="shared" si="11"/>
        <v>1-20  users per month</v>
      </c>
      <c r="BJ80" s="68">
        <f t="shared" si="13"/>
        <v>5</v>
      </c>
      <c r="BK80" s="68">
        <f t="shared" si="9"/>
        <v>1</v>
      </c>
      <c r="BL80" s="1" t="str">
        <f t="shared" si="12"/>
        <v>genomics</v>
      </c>
      <c r="BM80" s="56" t="str">
        <f t="shared" si="8"/>
        <v>staff</v>
      </c>
    </row>
    <row r="81" spans="1:65" s="1" customFormat="1" ht="51" x14ac:dyDescent="0.2">
      <c r="A81" s="1">
        <v>80</v>
      </c>
      <c r="B81" s="11" t="s">
        <v>105</v>
      </c>
      <c r="C81" s="11"/>
      <c r="D81" s="24"/>
      <c r="E81" s="24"/>
      <c r="F81" s="11" t="s">
        <v>1319</v>
      </c>
      <c r="G81" s="11" t="s">
        <v>106</v>
      </c>
      <c r="H81" s="11" t="s">
        <v>4228</v>
      </c>
      <c r="I81" s="11" t="s">
        <v>87</v>
      </c>
      <c r="J81" s="11" t="s">
        <v>1310</v>
      </c>
      <c r="K81" s="24"/>
      <c r="BH81" s="17" t="str">
        <f t="shared" si="10"/>
        <v>1-4</v>
      </c>
      <c r="BI81" s="41" t="str">
        <f t="shared" si="11"/>
        <v>41-60  users per month</v>
      </c>
      <c r="BJ81" s="68">
        <f t="shared" si="13"/>
        <v>1</v>
      </c>
      <c r="BK81" s="68">
        <f t="shared" si="9"/>
        <v>41</v>
      </c>
      <c r="BL81" s="1" t="str">
        <f t="shared" si="12"/>
        <v>flow cytometry</v>
      </c>
      <c r="BM81" s="56" t="str">
        <f t="shared" si="8"/>
        <v>both</v>
      </c>
    </row>
    <row r="82" spans="1:65" s="1" customFormat="1" ht="38.25" x14ac:dyDescent="0.2">
      <c r="A82" s="1">
        <v>81</v>
      </c>
      <c r="B82" s="11" t="s">
        <v>119</v>
      </c>
      <c r="C82" s="11" t="s">
        <v>1453</v>
      </c>
      <c r="D82" s="24"/>
      <c r="E82" s="24"/>
      <c r="F82" s="11" t="s">
        <v>1294</v>
      </c>
      <c r="G82" s="11" t="s">
        <v>106</v>
      </c>
      <c r="H82" s="11" t="s">
        <v>1454</v>
      </c>
      <c r="I82" s="11" t="s">
        <v>87</v>
      </c>
      <c r="J82" s="11" t="s">
        <v>1296</v>
      </c>
      <c r="K82" s="24"/>
      <c r="BH82" s="17" t="str">
        <f t="shared" si="10"/>
        <v>1-4</v>
      </c>
      <c r="BI82" s="41" t="str">
        <f t="shared" si="11"/>
        <v>1-20  users per month</v>
      </c>
      <c r="BJ82" s="68">
        <f t="shared" si="13"/>
        <v>1</v>
      </c>
      <c r="BK82" s="68">
        <f t="shared" si="9"/>
        <v>1</v>
      </c>
      <c r="BL82" s="1" t="str">
        <f t="shared" si="12"/>
        <v>Other</v>
      </c>
      <c r="BM82" s="56" t="str">
        <f t="shared" si="8"/>
        <v>staff</v>
      </c>
    </row>
    <row r="83" spans="1:65" s="1" customFormat="1" ht="25.5" x14ac:dyDescent="0.2">
      <c r="A83" s="1">
        <v>82</v>
      </c>
      <c r="B83" s="21" t="s">
        <v>402</v>
      </c>
      <c r="C83" s="11" t="s">
        <v>1461</v>
      </c>
      <c r="D83" s="24"/>
      <c r="E83" s="24"/>
      <c r="F83" s="11" t="s">
        <v>1319</v>
      </c>
      <c r="G83" s="11" t="s">
        <v>108</v>
      </c>
      <c r="H83" s="11"/>
      <c r="I83" s="11" t="s">
        <v>87</v>
      </c>
      <c r="J83" s="11" t="s">
        <v>1358</v>
      </c>
      <c r="K83" s="24"/>
      <c r="BH83" s="17" t="str">
        <f t="shared" si="10"/>
        <v>1-4</v>
      </c>
      <c r="BI83" s="41" t="str">
        <f t="shared" si="11"/>
        <v>21-40  users per month</v>
      </c>
      <c r="BJ83" s="68">
        <f t="shared" si="13"/>
        <v>1</v>
      </c>
      <c r="BK83" s="68">
        <f t="shared" si="9"/>
        <v>21</v>
      </c>
      <c r="BL83" s="1" t="str">
        <f t="shared" si="12"/>
        <v>bioinformatics</v>
      </c>
      <c r="BM83" s="56" t="str">
        <f t="shared" si="8"/>
        <v>both</v>
      </c>
    </row>
    <row r="84" spans="1:65" s="1" customFormat="1" ht="38.25" x14ac:dyDescent="0.2">
      <c r="A84" s="1">
        <v>83</v>
      </c>
      <c r="B84" s="11" t="s">
        <v>119</v>
      </c>
      <c r="C84" s="11" t="s">
        <v>251</v>
      </c>
      <c r="D84" s="24"/>
      <c r="E84" s="24"/>
      <c r="F84" s="11" t="s">
        <v>1294</v>
      </c>
      <c r="G84" s="11" t="s">
        <v>618</v>
      </c>
      <c r="H84" s="11"/>
      <c r="I84" s="11" t="s">
        <v>87</v>
      </c>
      <c r="J84" s="11" t="s">
        <v>1296</v>
      </c>
      <c r="K84" s="24"/>
      <c r="BH84" s="17" t="str">
        <f t="shared" si="10"/>
        <v>1-4</v>
      </c>
      <c r="BI84" s="41" t="str">
        <f t="shared" si="11"/>
        <v>1-20  users per month</v>
      </c>
      <c r="BJ84" s="68">
        <f t="shared" si="13"/>
        <v>1</v>
      </c>
      <c r="BK84" s="68">
        <f t="shared" si="9"/>
        <v>1</v>
      </c>
      <c r="BL84" s="1" t="str">
        <f t="shared" si="12"/>
        <v>Other</v>
      </c>
      <c r="BM84" s="56" t="str">
        <f t="shared" si="8"/>
        <v>staff</v>
      </c>
    </row>
    <row r="85" spans="1:65" s="1" customFormat="1" ht="25.5" x14ac:dyDescent="0.2">
      <c r="A85" s="1">
        <v>84</v>
      </c>
      <c r="B85" s="39" t="s">
        <v>107</v>
      </c>
      <c r="C85" s="11" t="s">
        <v>1485</v>
      </c>
      <c r="D85" s="24"/>
      <c r="E85" s="24"/>
      <c r="F85" s="11" t="s">
        <v>1319</v>
      </c>
      <c r="G85" s="11" t="s">
        <v>108</v>
      </c>
      <c r="H85" s="11" t="s">
        <v>1486</v>
      </c>
      <c r="I85" s="11" t="s">
        <v>87</v>
      </c>
      <c r="J85" s="11" t="s">
        <v>1358</v>
      </c>
      <c r="K85" s="24"/>
      <c r="BH85" s="17" t="str">
        <f t="shared" si="10"/>
        <v>1-4</v>
      </c>
      <c r="BI85" s="41" t="str">
        <f t="shared" si="11"/>
        <v>21-40  users per month</v>
      </c>
      <c r="BJ85" s="68">
        <f t="shared" si="13"/>
        <v>1</v>
      </c>
      <c r="BK85" s="68">
        <f t="shared" si="9"/>
        <v>21</v>
      </c>
      <c r="BL85" s="1" t="str">
        <f t="shared" si="12"/>
        <v>microscopy</v>
      </c>
      <c r="BM85" s="56" t="str">
        <f t="shared" si="8"/>
        <v>both</v>
      </c>
    </row>
    <row r="86" spans="1:65" s="1" customFormat="1" ht="25.5" x14ac:dyDescent="0.2">
      <c r="A86" s="1">
        <v>85</v>
      </c>
      <c r="B86" s="11" t="s">
        <v>119</v>
      </c>
      <c r="C86" s="11" t="s">
        <v>1500</v>
      </c>
      <c r="D86" s="24"/>
      <c r="E86" s="24"/>
      <c r="F86" s="11" t="s">
        <v>1319</v>
      </c>
      <c r="G86" s="11" t="s">
        <v>86</v>
      </c>
      <c r="H86" s="11"/>
      <c r="I86" s="11" t="s">
        <v>87</v>
      </c>
      <c r="J86" s="11" t="s">
        <v>1296</v>
      </c>
      <c r="K86" s="24"/>
      <c r="BH86" s="17" t="str">
        <f t="shared" si="10"/>
        <v>1-4</v>
      </c>
      <c r="BI86" s="41" t="str">
        <f t="shared" si="11"/>
        <v>1-20  users per month</v>
      </c>
      <c r="BJ86" s="68">
        <f t="shared" si="13"/>
        <v>1</v>
      </c>
      <c r="BK86" s="68">
        <f t="shared" si="9"/>
        <v>1</v>
      </c>
      <c r="BL86" s="1" t="str">
        <f t="shared" si="12"/>
        <v>Other</v>
      </c>
      <c r="BM86" s="56" t="str">
        <f t="shared" si="8"/>
        <v>both</v>
      </c>
    </row>
    <row r="87" spans="1:65" s="1" customFormat="1" ht="25.5" x14ac:dyDescent="0.2">
      <c r="A87" s="1">
        <v>86</v>
      </c>
      <c r="B87" s="33" t="s">
        <v>107</v>
      </c>
      <c r="C87" s="33"/>
      <c r="D87" s="33"/>
      <c r="E87" s="33"/>
      <c r="F87" s="33" t="s">
        <v>1319</v>
      </c>
      <c r="G87" s="33" t="s">
        <v>108</v>
      </c>
      <c r="H87" s="33"/>
      <c r="I87" s="33" t="s">
        <v>195</v>
      </c>
      <c r="J87" s="33" t="s">
        <v>1375</v>
      </c>
      <c r="K87" s="24"/>
      <c r="BH87" s="17" t="str">
        <f t="shared" si="10"/>
        <v>&gt;16</v>
      </c>
      <c r="BI87" s="41" t="str">
        <f t="shared" si="11"/>
        <v>&gt; 100  users per month</v>
      </c>
      <c r="BJ87" s="68">
        <f t="shared" si="13"/>
        <v>17</v>
      </c>
      <c r="BK87" s="68">
        <f t="shared" si="9"/>
        <v>101</v>
      </c>
      <c r="BL87" s="1" t="str">
        <f t="shared" si="12"/>
        <v>microscopy</v>
      </c>
      <c r="BM87" s="56" t="str">
        <f t="shared" si="8"/>
        <v>both</v>
      </c>
    </row>
    <row r="88" spans="1:65" s="1" customFormat="1" ht="25.5" x14ac:dyDescent="0.2">
      <c r="A88" s="1">
        <v>87</v>
      </c>
      <c r="B88" s="39" t="s">
        <v>377</v>
      </c>
      <c r="C88" s="11" t="s">
        <v>1517</v>
      </c>
      <c r="D88" s="24"/>
      <c r="E88" s="24"/>
      <c r="F88" s="11" t="s">
        <v>1319</v>
      </c>
      <c r="G88" s="11" t="s">
        <v>86</v>
      </c>
      <c r="H88" s="11"/>
      <c r="I88" s="11" t="s">
        <v>87</v>
      </c>
      <c r="J88" s="11" t="s">
        <v>1296</v>
      </c>
      <c r="K88" s="24"/>
      <c r="BH88" s="17" t="str">
        <f t="shared" si="10"/>
        <v>1-4</v>
      </c>
      <c r="BI88" s="41" t="str">
        <f t="shared" si="11"/>
        <v>1-20  users per month</v>
      </c>
      <c r="BJ88" s="68">
        <f t="shared" si="13"/>
        <v>1</v>
      </c>
      <c r="BK88" s="68">
        <f t="shared" si="9"/>
        <v>1</v>
      </c>
      <c r="BL88" s="1" t="str">
        <f t="shared" si="12"/>
        <v>protein expression</v>
      </c>
      <c r="BM88" s="56" t="str">
        <f t="shared" si="8"/>
        <v>both</v>
      </c>
    </row>
    <row r="89" spans="1:65" s="1" customFormat="1" ht="25.5" x14ac:dyDescent="0.2">
      <c r="A89" s="1">
        <v>88</v>
      </c>
      <c r="B89" s="11" t="s">
        <v>105</v>
      </c>
      <c r="C89" s="11"/>
      <c r="D89" s="24"/>
      <c r="E89" s="24"/>
      <c r="F89" s="11" t="s">
        <v>1319</v>
      </c>
      <c r="G89" s="11" t="s">
        <v>618</v>
      </c>
      <c r="H89" s="11"/>
      <c r="I89" s="11" t="s">
        <v>87</v>
      </c>
      <c r="J89" s="11" t="s">
        <v>1310</v>
      </c>
      <c r="K89" s="24"/>
      <c r="BH89" s="17" t="str">
        <f t="shared" si="10"/>
        <v>1-4</v>
      </c>
      <c r="BI89" s="41" t="str">
        <f t="shared" si="11"/>
        <v>41-60  users per month</v>
      </c>
      <c r="BJ89" s="68">
        <f t="shared" si="13"/>
        <v>1</v>
      </c>
      <c r="BK89" s="68">
        <f t="shared" si="9"/>
        <v>41</v>
      </c>
      <c r="BL89" s="1" t="str">
        <f t="shared" si="12"/>
        <v>flow cytometry</v>
      </c>
      <c r="BM89" s="56" t="str">
        <f t="shared" si="8"/>
        <v>both</v>
      </c>
    </row>
    <row r="90" spans="1:65" s="1" customFormat="1" ht="25.5" x14ac:dyDescent="0.2">
      <c r="A90" s="1">
        <v>89</v>
      </c>
      <c r="B90" s="11" t="s">
        <v>107</v>
      </c>
      <c r="C90" s="11"/>
      <c r="D90" s="24"/>
      <c r="E90" s="24"/>
      <c r="F90" s="11" t="s">
        <v>1319</v>
      </c>
      <c r="G90" s="11" t="s">
        <v>618</v>
      </c>
      <c r="H90" s="11"/>
      <c r="I90" s="11" t="s">
        <v>87</v>
      </c>
      <c r="J90" s="11" t="s">
        <v>1358</v>
      </c>
      <c r="K90" s="24"/>
      <c r="BH90" s="17" t="str">
        <f t="shared" si="10"/>
        <v>1-4</v>
      </c>
      <c r="BI90" s="41" t="str">
        <f t="shared" si="11"/>
        <v>21-40  users per month</v>
      </c>
      <c r="BJ90" s="68">
        <f t="shared" si="13"/>
        <v>1</v>
      </c>
      <c r="BK90" s="68">
        <f t="shared" si="9"/>
        <v>21</v>
      </c>
      <c r="BL90" s="1" t="str">
        <f t="shared" si="12"/>
        <v>microscopy</v>
      </c>
      <c r="BM90" s="56" t="str">
        <f t="shared" si="8"/>
        <v>both</v>
      </c>
    </row>
    <row r="91" spans="1:65" s="1" customFormat="1" ht="38.25" x14ac:dyDescent="0.2">
      <c r="A91" s="1">
        <v>90</v>
      </c>
      <c r="B91" s="11" t="s">
        <v>105</v>
      </c>
      <c r="C91" s="11"/>
      <c r="D91" s="24"/>
      <c r="E91" s="24"/>
      <c r="F91" s="11" t="s">
        <v>1309</v>
      </c>
      <c r="G91" s="11" t="s">
        <v>106</v>
      </c>
      <c r="H91" s="11"/>
      <c r="I91" s="11" t="s">
        <v>87</v>
      </c>
      <c r="J91" s="11" t="s">
        <v>1358</v>
      </c>
      <c r="K91" s="24"/>
      <c r="BH91" s="17" t="str">
        <f t="shared" si="10"/>
        <v>1-4</v>
      </c>
      <c r="BI91" s="41" t="str">
        <f t="shared" si="11"/>
        <v>21-40  users per month</v>
      </c>
      <c r="BJ91" s="68">
        <f t="shared" si="13"/>
        <v>1</v>
      </c>
      <c r="BK91" s="68">
        <f t="shared" si="9"/>
        <v>21</v>
      </c>
      <c r="BL91" s="1" t="str">
        <f t="shared" si="12"/>
        <v>flow cytometry</v>
      </c>
      <c r="BM91" s="56" t="str">
        <f t="shared" si="8"/>
        <v>user</v>
      </c>
    </row>
    <row r="92" spans="1:65" s="1" customFormat="1" ht="25.5" x14ac:dyDescent="0.2">
      <c r="A92" s="1">
        <v>91</v>
      </c>
      <c r="B92" s="33" t="s">
        <v>363</v>
      </c>
      <c r="C92" s="33"/>
      <c r="D92" s="33"/>
      <c r="E92" s="33"/>
      <c r="F92" s="33" t="s">
        <v>1319</v>
      </c>
      <c r="G92" s="33" t="s">
        <v>106</v>
      </c>
      <c r="H92" s="33"/>
      <c r="I92" s="33" t="s">
        <v>87</v>
      </c>
      <c r="J92" s="33" t="s">
        <v>1296</v>
      </c>
      <c r="K92" s="24"/>
      <c r="BH92" s="17" t="str">
        <f t="shared" si="10"/>
        <v>1-4</v>
      </c>
      <c r="BI92" s="41" t="str">
        <f t="shared" si="11"/>
        <v>1-20  users per month</v>
      </c>
      <c r="BJ92" s="68">
        <f t="shared" si="13"/>
        <v>1</v>
      </c>
      <c r="BK92" s="68">
        <f t="shared" si="9"/>
        <v>1</v>
      </c>
      <c r="BL92" s="1" t="str">
        <f t="shared" si="12"/>
        <v>mouse</v>
      </c>
      <c r="BM92" s="56" t="str">
        <f t="shared" si="8"/>
        <v>both</v>
      </c>
    </row>
    <row r="93" spans="1:65" s="1" customFormat="1" ht="25.5" x14ac:dyDescent="0.2">
      <c r="A93" s="1">
        <v>92</v>
      </c>
      <c r="B93" s="11" t="s">
        <v>107</v>
      </c>
      <c r="C93" s="11"/>
      <c r="D93" s="24"/>
      <c r="E93" s="24"/>
      <c r="F93" s="11" t="s">
        <v>1319</v>
      </c>
      <c r="G93" s="11" t="s">
        <v>618</v>
      </c>
      <c r="H93" s="11"/>
      <c r="I93" s="11" t="s">
        <v>87</v>
      </c>
      <c r="J93" s="11" t="s">
        <v>1310</v>
      </c>
      <c r="K93" s="24"/>
      <c r="BH93" s="17" t="str">
        <f t="shared" si="10"/>
        <v>1-4</v>
      </c>
      <c r="BI93" s="41" t="str">
        <f t="shared" si="11"/>
        <v>41-60  users per month</v>
      </c>
      <c r="BJ93" s="68">
        <f t="shared" si="13"/>
        <v>1</v>
      </c>
      <c r="BK93" s="68">
        <f t="shared" si="9"/>
        <v>41</v>
      </c>
      <c r="BL93" s="1" t="str">
        <f t="shared" si="12"/>
        <v>microscopy</v>
      </c>
      <c r="BM93" s="56" t="str">
        <f t="shared" si="8"/>
        <v>both</v>
      </c>
    </row>
    <row r="94" spans="1:65" s="1" customFormat="1" ht="25.5" x14ac:dyDescent="0.2">
      <c r="A94" s="1">
        <v>93</v>
      </c>
      <c r="B94" s="11" t="s">
        <v>309</v>
      </c>
      <c r="C94" s="11"/>
      <c r="D94" s="24"/>
      <c r="E94" s="24"/>
      <c r="F94" s="11" t="s">
        <v>1319</v>
      </c>
      <c r="G94" s="11" t="s">
        <v>106</v>
      </c>
      <c r="H94" s="11"/>
      <c r="I94" s="11" t="s">
        <v>87</v>
      </c>
      <c r="J94" s="11" t="s">
        <v>1296</v>
      </c>
      <c r="K94" s="24"/>
      <c r="BH94" s="17" t="str">
        <f t="shared" si="10"/>
        <v>1-4</v>
      </c>
      <c r="BI94" s="41" t="str">
        <f t="shared" si="11"/>
        <v>1-20  users per month</v>
      </c>
      <c r="BJ94" s="68">
        <f t="shared" si="13"/>
        <v>1</v>
      </c>
      <c r="BK94" s="68">
        <f t="shared" si="9"/>
        <v>1</v>
      </c>
      <c r="BL94" s="1" t="str">
        <f t="shared" si="12"/>
        <v>histology</v>
      </c>
      <c r="BM94" s="56" t="str">
        <f t="shared" ref="BM94:BM125" si="14">IF(ISNUMBER(SEARCH("staff",F94)),"staff",IF(ISNUMBER(SEARCH("users work",F94)),"user",IF(ISNUMBER(SEARCH("both",F94)),"both")))</f>
        <v>both</v>
      </c>
    </row>
    <row r="95" spans="1:65" s="1" customFormat="1" ht="25.5" x14ac:dyDescent="0.2">
      <c r="A95" s="1">
        <v>94</v>
      </c>
      <c r="B95" s="11" t="s">
        <v>107</v>
      </c>
      <c r="C95" s="11"/>
      <c r="D95" s="24"/>
      <c r="E95" s="24"/>
      <c r="F95" s="11" t="s">
        <v>1319</v>
      </c>
      <c r="G95" s="11" t="s">
        <v>108</v>
      </c>
      <c r="H95" s="11"/>
      <c r="I95" s="11" t="s">
        <v>87</v>
      </c>
      <c r="J95" s="11" t="s">
        <v>1296</v>
      </c>
      <c r="K95" s="24"/>
      <c r="BH95" s="17" t="str">
        <f t="shared" si="10"/>
        <v>1-4</v>
      </c>
      <c r="BI95" s="41" t="str">
        <f t="shared" si="11"/>
        <v>1-20  users per month</v>
      </c>
      <c r="BJ95" s="68">
        <f t="shared" si="13"/>
        <v>1</v>
      </c>
      <c r="BK95" s="68">
        <f t="shared" si="9"/>
        <v>1</v>
      </c>
      <c r="BL95" s="1" t="str">
        <f t="shared" si="12"/>
        <v>microscopy</v>
      </c>
      <c r="BM95" s="56" t="str">
        <f t="shared" si="14"/>
        <v>both</v>
      </c>
    </row>
    <row r="96" spans="1:65" s="1" customFormat="1" ht="25.5" x14ac:dyDescent="0.2">
      <c r="A96" s="1">
        <v>95</v>
      </c>
      <c r="B96" s="11" t="s">
        <v>105</v>
      </c>
      <c r="C96" s="11"/>
      <c r="D96" s="24"/>
      <c r="E96" s="24"/>
      <c r="F96" s="11" t="s">
        <v>1319</v>
      </c>
      <c r="G96" s="11" t="s">
        <v>108</v>
      </c>
      <c r="H96" s="11"/>
      <c r="I96" s="11" t="s">
        <v>87</v>
      </c>
      <c r="J96" s="11" t="s">
        <v>1375</v>
      </c>
      <c r="K96" s="24"/>
      <c r="BH96" s="17" t="str">
        <f t="shared" si="10"/>
        <v>1-4</v>
      </c>
      <c r="BI96" s="41" t="str">
        <f t="shared" si="11"/>
        <v>&gt; 100  users per month</v>
      </c>
      <c r="BJ96" s="68">
        <f t="shared" si="13"/>
        <v>1</v>
      </c>
      <c r="BK96" s="68">
        <f t="shared" si="9"/>
        <v>101</v>
      </c>
      <c r="BL96" s="1" t="str">
        <f t="shared" si="12"/>
        <v>flow cytometry</v>
      </c>
      <c r="BM96" s="56" t="str">
        <f t="shared" si="14"/>
        <v>both</v>
      </c>
    </row>
    <row r="97" spans="1:65" s="1" customFormat="1" ht="38.25" x14ac:dyDescent="0.2">
      <c r="A97" s="1">
        <v>96</v>
      </c>
      <c r="B97" s="11" t="s">
        <v>161</v>
      </c>
      <c r="C97" s="11"/>
      <c r="D97" s="24"/>
      <c r="E97" s="24"/>
      <c r="F97" s="11" t="s">
        <v>1294</v>
      </c>
      <c r="G97" s="11" t="s">
        <v>618</v>
      </c>
      <c r="H97" s="11"/>
      <c r="I97" s="11" t="s">
        <v>87</v>
      </c>
      <c r="J97" s="11" t="s">
        <v>1358</v>
      </c>
      <c r="K97" s="24"/>
      <c r="BH97" s="17" t="str">
        <f t="shared" si="10"/>
        <v>1-4</v>
      </c>
      <c r="BI97" s="41" t="str">
        <f t="shared" si="11"/>
        <v>21-40  users per month</v>
      </c>
      <c r="BJ97" s="68">
        <f t="shared" si="13"/>
        <v>1</v>
      </c>
      <c r="BK97" s="68">
        <f t="shared" si="9"/>
        <v>21</v>
      </c>
      <c r="BL97" s="1" t="str">
        <f t="shared" si="12"/>
        <v>proteomics</v>
      </c>
      <c r="BM97" s="56" t="str">
        <f t="shared" si="14"/>
        <v>staff</v>
      </c>
    </row>
    <row r="98" spans="1:65" s="1" customFormat="1" ht="25.5" x14ac:dyDescent="0.2">
      <c r="A98" s="1">
        <v>97</v>
      </c>
      <c r="B98" s="21" t="s">
        <v>402</v>
      </c>
      <c r="C98" s="11" t="s">
        <v>402</v>
      </c>
      <c r="D98" s="24"/>
      <c r="E98" s="24"/>
      <c r="F98" s="11" t="s">
        <v>1319</v>
      </c>
      <c r="G98" s="11" t="s">
        <v>108</v>
      </c>
      <c r="H98" s="11"/>
      <c r="I98" s="11" t="s">
        <v>87</v>
      </c>
      <c r="J98" s="11" t="s">
        <v>1358</v>
      </c>
      <c r="K98" s="24"/>
      <c r="BH98" s="17" t="str">
        <f t="shared" si="10"/>
        <v>1-4</v>
      </c>
      <c r="BI98" s="41" t="str">
        <f t="shared" si="11"/>
        <v>21-40  users per month</v>
      </c>
      <c r="BJ98" s="68">
        <f t="shared" si="13"/>
        <v>1</v>
      </c>
      <c r="BK98" s="68">
        <f t="shared" si="9"/>
        <v>21</v>
      </c>
      <c r="BL98" s="1" t="str">
        <f t="shared" si="12"/>
        <v>bioinformatics</v>
      </c>
      <c r="BM98" s="56" t="str">
        <f t="shared" si="14"/>
        <v>both</v>
      </c>
    </row>
    <row r="99" spans="1:65" s="1" customFormat="1" ht="38.25" x14ac:dyDescent="0.2">
      <c r="A99" s="1">
        <v>98</v>
      </c>
      <c r="B99" s="11" t="s">
        <v>324</v>
      </c>
      <c r="C99" s="11"/>
      <c r="D99" s="24"/>
      <c r="E99" s="24"/>
      <c r="F99" s="11" t="s">
        <v>1294</v>
      </c>
      <c r="G99" s="11" t="s">
        <v>108</v>
      </c>
      <c r="H99" s="11"/>
      <c r="I99" s="11" t="s">
        <v>290</v>
      </c>
      <c r="J99" s="11" t="s">
        <v>1358</v>
      </c>
      <c r="K99" s="24"/>
      <c r="BH99" s="17" t="str">
        <f t="shared" si="10"/>
        <v>9-12</v>
      </c>
      <c r="BI99" s="41" t="str">
        <f t="shared" si="11"/>
        <v>21-40  users per month</v>
      </c>
      <c r="BJ99" s="68">
        <f t="shared" si="13"/>
        <v>9</v>
      </c>
      <c r="BK99" s="68">
        <f t="shared" si="9"/>
        <v>21</v>
      </c>
      <c r="BL99" s="1" t="str">
        <f t="shared" si="12"/>
        <v>genomics</v>
      </c>
      <c r="BM99" s="56" t="str">
        <f t="shared" si="14"/>
        <v>staff</v>
      </c>
    </row>
    <row r="100" spans="1:65" s="1" customFormat="1" ht="25.5" x14ac:dyDescent="0.2">
      <c r="A100" s="1">
        <v>99</v>
      </c>
      <c r="B100" s="11" t="s">
        <v>107</v>
      </c>
      <c r="C100" s="11"/>
      <c r="D100" s="24"/>
      <c r="E100" s="24"/>
      <c r="F100" s="11" t="s">
        <v>1319</v>
      </c>
      <c r="G100" s="11" t="s">
        <v>618</v>
      </c>
      <c r="H100" s="11"/>
      <c r="I100" s="11" t="s">
        <v>87</v>
      </c>
      <c r="J100" s="11" t="s">
        <v>1296</v>
      </c>
      <c r="K100" s="24"/>
      <c r="BH100" s="17" t="str">
        <f t="shared" si="10"/>
        <v>1-4</v>
      </c>
      <c r="BI100" s="41" t="str">
        <f t="shared" si="11"/>
        <v>1-20  users per month</v>
      </c>
      <c r="BJ100" s="68">
        <f t="shared" si="13"/>
        <v>1</v>
      </c>
      <c r="BK100" s="68">
        <f t="shared" si="9"/>
        <v>1</v>
      </c>
      <c r="BL100" s="1" t="str">
        <f t="shared" si="12"/>
        <v>microscopy</v>
      </c>
      <c r="BM100" s="56" t="str">
        <f t="shared" si="14"/>
        <v>both</v>
      </c>
    </row>
    <row r="101" spans="1:65" s="1" customFormat="1" ht="114.75" x14ac:dyDescent="0.2">
      <c r="A101" s="1">
        <v>100</v>
      </c>
      <c r="B101" s="11" t="s">
        <v>119</v>
      </c>
      <c r="C101" s="11" t="s">
        <v>1629</v>
      </c>
      <c r="D101" s="24"/>
      <c r="E101" s="24"/>
      <c r="F101" s="11" t="s">
        <v>1319</v>
      </c>
      <c r="G101" s="11" t="s">
        <v>106</v>
      </c>
      <c r="H101" s="11" t="s">
        <v>4229</v>
      </c>
      <c r="I101" s="11" t="s">
        <v>87</v>
      </c>
      <c r="J101" s="11" t="s">
        <v>1296</v>
      </c>
      <c r="K101" s="24"/>
      <c r="BH101" s="17" t="str">
        <f t="shared" si="10"/>
        <v>1-4</v>
      </c>
      <c r="BI101" s="41" t="str">
        <f t="shared" si="11"/>
        <v>1-20  users per month</v>
      </c>
      <c r="BJ101" s="68">
        <f t="shared" si="13"/>
        <v>1</v>
      </c>
      <c r="BK101" s="68">
        <f t="shared" si="9"/>
        <v>1</v>
      </c>
      <c r="BL101" s="1" t="str">
        <f t="shared" si="12"/>
        <v>Other</v>
      </c>
      <c r="BM101" s="56" t="str">
        <f t="shared" si="14"/>
        <v>both</v>
      </c>
    </row>
    <row r="102" spans="1:65" s="1" customFormat="1" ht="25.5" x14ac:dyDescent="0.2">
      <c r="A102" s="1">
        <v>101</v>
      </c>
      <c r="B102" s="11" t="s">
        <v>324</v>
      </c>
      <c r="C102" s="11"/>
      <c r="D102" s="24"/>
      <c r="E102" s="24"/>
      <c r="F102" s="11" t="s">
        <v>1319</v>
      </c>
      <c r="G102" s="11" t="s">
        <v>108</v>
      </c>
      <c r="H102" s="11"/>
      <c r="I102" s="11" t="s">
        <v>632</v>
      </c>
      <c r="J102" s="11" t="s">
        <v>1375</v>
      </c>
      <c r="K102" s="24"/>
      <c r="BH102" s="17" t="str">
        <f t="shared" si="10"/>
        <v>13-16</v>
      </c>
      <c r="BI102" s="41" t="str">
        <f t="shared" si="11"/>
        <v>&gt; 100  users per month</v>
      </c>
      <c r="BJ102" s="68">
        <f t="shared" si="13"/>
        <v>13</v>
      </c>
      <c r="BK102" s="68">
        <f t="shared" si="9"/>
        <v>101</v>
      </c>
      <c r="BL102" s="1" t="str">
        <f t="shared" si="12"/>
        <v>genomics</v>
      </c>
      <c r="BM102" s="56" t="str">
        <f t="shared" si="14"/>
        <v>both</v>
      </c>
    </row>
    <row r="103" spans="1:65" s="1" customFormat="1" ht="25.5" x14ac:dyDescent="0.2">
      <c r="A103" s="1">
        <v>102</v>
      </c>
      <c r="B103" s="11" t="s">
        <v>377</v>
      </c>
      <c r="C103" s="11"/>
      <c r="D103" s="24"/>
      <c r="E103" s="24"/>
      <c r="F103" s="11" t="s">
        <v>1319</v>
      </c>
      <c r="G103" s="11" t="s">
        <v>618</v>
      </c>
      <c r="H103" s="11"/>
      <c r="I103" s="11" t="s">
        <v>253</v>
      </c>
      <c r="J103" s="11" t="s">
        <v>1358</v>
      </c>
      <c r="K103" s="24"/>
      <c r="BH103" s="17" t="str">
        <f t="shared" si="10"/>
        <v>5-8</v>
      </c>
      <c r="BI103" s="41" t="str">
        <f t="shared" si="11"/>
        <v>21-40  users per month</v>
      </c>
      <c r="BJ103" s="68">
        <f t="shared" si="13"/>
        <v>5</v>
      </c>
      <c r="BK103" s="68">
        <f t="shared" si="9"/>
        <v>21</v>
      </c>
      <c r="BL103" s="1" t="str">
        <f t="shared" si="12"/>
        <v>protein expression</v>
      </c>
      <c r="BM103" s="56" t="str">
        <f t="shared" si="14"/>
        <v>both</v>
      </c>
    </row>
    <row r="104" spans="1:65" s="1" customFormat="1" ht="25.5" x14ac:dyDescent="0.2">
      <c r="A104" s="1">
        <v>103</v>
      </c>
      <c r="B104" s="11" t="s">
        <v>309</v>
      </c>
      <c r="C104" s="11"/>
      <c r="D104" s="24"/>
      <c r="E104" s="24"/>
      <c r="F104" s="11" t="s">
        <v>1319</v>
      </c>
      <c r="G104" s="11" t="s">
        <v>106</v>
      </c>
      <c r="H104" s="11"/>
      <c r="I104" s="11" t="s">
        <v>87</v>
      </c>
      <c r="J104" s="11" t="s">
        <v>1296</v>
      </c>
      <c r="K104" s="24"/>
      <c r="BH104" s="17" t="str">
        <f t="shared" si="10"/>
        <v>1-4</v>
      </c>
      <c r="BI104" s="41" t="str">
        <f t="shared" si="11"/>
        <v>1-20  users per month</v>
      </c>
      <c r="BJ104" s="68">
        <f t="shared" si="13"/>
        <v>1</v>
      </c>
      <c r="BK104" s="68">
        <f t="shared" si="9"/>
        <v>1</v>
      </c>
      <c r="BL104" s="1" t="str">
        <f t="shared" si="12"/>
        <v>histology</v>
      </c>
      <c r="BM104" s="56" t="str">
        <f t="shared" si="14"/>
        <v>both</v>
      </c>
    </row>
    <row r="105" spans="1:65" s="1" customFormat="1" ht="25.5" x14ac:dyDescent="0.2">
      <c r="A105" s="1">
        <v>104</v>
      </c>
      <c r="B105" s="11" t="s">
        <v>336</v>
      </c>
      <c r="C105" s="11"/>
      <c r="D105" s="24"/>
      <c r="E105" s="24"/>
      <c r="F105" s="11" t="s">
        <v>1319</v>
      </c>
      <c r="G105" s="11" t="s">
        <v>106</v>
      </c>
      <c r="H105" s="11"/>
      <c r="I105" s="11" t="s">
        <v>87</v>
      </c>
      <c r="J105" s="11" t="s">
        <v>1375</v>
      </c>
      <c r="K105" s="24"/>
      <c r="BH105" s="17" t="str">
        <f t="shared" si="10"/>
        <v>1-4</v>
      </c>
      <c r="BI105" s="41" t="str">
        <f t="shared" si="11"/>
        <v>&gt; 100  users per month</v>
      </c>
      <c r="BJ105" s="68">
        <f t="shared" si="13"/>
        <v>1</v>
      </c>
      <c r="BK105" s="68">
        <f t="shared" si="9"/>
        <v>101</v>
      </c>
      <c r="BL105" s="1" t="str">
        <f t="shared" si="12"/>
        <v>cell culture</v>
      </c>
      <c r="BM105" s="56" t="str">
        <f t="shared" si="14"/>
        <v>both</v>
      </c>
    </row>
    <row r="106" spans="1:65" s="1" customFormat="1" ht="38.25" x14ac:dyDescent="0.2">
      <c r="A106" s="1">
        <v>105</v>
      </c>
      <c r="B106" s="11" t="s">
        <v>107</v>
      </c>
      <c r="C106" s="11"/>
      <c r="D106" s="24"/>
      <c r="E106" s="24"/>
      <c r="F106" s="11" t="s">
        <v>1294</v>
      </c>
      <c r="G106" s="11" t="s">
        <v>86</v>
      </c>
      <c r="H106" s="11"/>
      <c r="I106" s="11" t="s">
        <v>87</v>
      </c>
      <c r="J106" s="11" t="s">
        <v>1296</v>
      </c>
      <c r="K106" s="24"/>
      <c r="BH106" s="17" t="str">
        <f t="shared" si="10"/>
        <v>1-4</v>
      </c>
      <c r="BI106" s="41" t="str">
        <f t="shared" si="11"/>
        <v>1-20  users per month</v>
      </c>
      <c r="BJ106" s="68">
        <f t="shared" si="13"/>
        <v>1</v>
      </c>
      <c r="BK106" s="68">
        <f t="shared" si="9"/>
        <v>1</v>
      </c>
      <c r="BL106" s="1" t="str">
        <f t="shared" si="12"/>
        <v>microscopy</v>
      </c>
      <c r="BM106" s="56" t="str">
        <f t="shared" si="14"/>
        <v>staff</v>
      </c>
    </row>
    <row r="107" spans="1:65" s="1" customFormat="1" ht="25.5" x14ac:dyDescent="0.2">
      <c r="A107" s="1">
        <v>106</v>
      </c>
      <c r="B107" s="39" t="s">
        <v>324</v>
      </c>
      <c r="C107" s="11" t="s">
        <v>1674</v>
      </c>
      <c r="D107" s="24"/>
      <c r="E107" s="24"/>
      <c r="F107" s="11" t="s">
        <v>1319</v>
      </c>
      <c r="G107" s="11" t="s">
        <v>86</v>
      </c>
      <c r="H107" s="11"/>
      <c r="I107" s="11" t="s">
        <v>195</v>
      </c>
      <c r="J107" s="11" t="s">
        <v>1358</v>
      </c>
      <c r="K107" s="24"/>
      <c r="BH107" s="17" t="str">
        <f t="shared" si="10"/>
        <v>&gt;16</v>
      </c>
      <c r="BI107" s="41" t="str">
        <f t="shared" si="11"/>
        <v>21-40  users per month</v>
      </c>
      <c r="BJ107" s="68">
        <f t="shared" si="13"/>
        <v>17</v>
      </c>
      <c r="BK107" s="68">
        <f t="shared" si="9"/>
        <v>21</v>
      </c>
      <c r="BL107" s="1" t="str">
        <f t="shared" si="12"/>
        <v>genomics</v>
      </c>
      <c r="BM107" s="56" t="str">
        <f t="shared" si="14"/>
        <v>both</v>
      </c>
    </row>
    <row r="108" spans="1:65" s="1" customFormat="1" ht="25.5" x14ac:dyDescent="0.2">
      <c r="A108" s="1">
        <v>107</v>
      </c>
      <c r="B108" s="11" t="s">
        <v>377</v>
      </c>
      <c r="C108" s="11"/>
      <c r="D108" s="24"/>
      <c r="E108" s="24"/>
      <c r="F108" s="11" t="s">
        <v>1319</v>
      </c>
      <c r="G108" s="11" t="s">
        <v>106</v>
      </c>
      <c r="H108" s="11"/>
      <c r="I108" s="11" t="s">
        <v>87</v>
      </c>
      <c r="J108" s="11" t="s">
        <v>1296</v>
      </c>
      <c r="K108" s="24"/>
      <c r="BH108" s="17" t="str">
        <f t="shared" si="10"/>
        <v>1-4</v>
      </c>
      <c r="BI108" s="41" t="str">
        <f t="shared" si="11"/>
        <v>1-20  users per month</v>
      </c>
      <c r="BJ108" s="68">
        <f t="shared" si="13"/>
        <v>1</v>
      </c>
      <c r="BK108" s="68">
        <f t="shared" si="9"/>
        <v>1</v>
      </c>
      <c r="BL108" s="1" t="str">
        <f t="shared" si="12"/>
        <v>protein expression</v>
      </c>
      <c r="BM108" s="56" t="str">
        <f t="shared" si="14"/>
        <v>both</v>
      </c>
    </row>
    <row r="109" spans="1:65" s="1" customFormat="1" ht="25.5" x14ac:dyDescent="0.2">
      <c r="A109" s="1">
        <v>108</v>
      </c>
      <c r="B109" s="11" t="s">
        <v>107</v>
      </c>
      <c r="C109" s="11"/>
      <c r="D109" s="24"/>
      <c r="E109" s="24"/>
      <c r="F109" s="11" t="s">
        <v>1319</v>
      </c>
      <c r="G109" s="11" t="s">
        <v>618</v>
      </c>
      <c r="H109" s="11"/>
      <c r="I109" s="11" t="s">
        <v>87</v>
      </c>
      <c r="J109" s="11" t="s">
        <v>1310</v>
      </c>
      <c r="K109" s="24"/>
      <c r="BH109" s="17" t="str">
        <f t="shared" si="10"/>
        <v>1-4</v>
      </c>
      <c r="BI109" s="41" t="str">
        <f t="shared" si="11"/>
        <v>41-60  users per month</v>
      </c>
      <c r="BJ109" s="68">
        <f t="shared" si="13"/>
        <v>1</v>
      </c>
      <c r="BK109" s="68">
        <f t="shared" si="9"/>
        <v>41</v>
      </c>
      <c r="BL109" s="1" t="str">
        <f t="shared" si="12"/>
        <v>microscopy</v>
      </c>
      <c r="BM109" s="56" t="str">
        <f t="shared" si="14"/>
        <v>both</v>
      </c>
    </row>
    <row r="110" spans="1:65" s="1" customFormat="1" ht="38.25" x14ac:dyDescent="0.2">
      <c r="A110" s="1">
        <v>109</v>
      </c>
      <c r="B110" s="11" t="s">
        <v>443</v>
      </c>
      <c r="C110" s="11"/>
      <c r="D110" s="24"/>
      <c r="E110" s="24"/>
      <c r="F110" s="11" t="s">
        <v>1294</v>
      </c>
      <c r="G110" s="11" t="s">
        <v>86</v>
      </c>
      <c r="H110" s="11"/>
      <c r="I110" s="11" t="s">
        <v>87</v>
      </c>
      <c r="J110" s="11" t="s">
        <v>1296</v>
      </c>
      <c r="K110" s="24"/>
      <c r="BH110" s="17" t="str">
        <f t="shared" si="10"/>
        <v>1-4</v>
      </c>
      <c r="BI110" s="41" t="str">
        <f t="shared" si="11"/>
        <v>1-20  users per month</v>
      </c>
      <c r="BJ110" s="68">
        <f t="shared" si="13"/>
        <v>1</v>
      </c>
      <c r="BK110" s="68">
        <f t="shared" si="9"/>
        <v>1</v>
      </c>
      <c r="BL110" s="1" t="str">
        <f t="shared" si="12"/>
        <v>metabolomics</v>
      </c>
      <c r="BM110" s="56" t="str">
        <f t="shared" si="14"/>
        <v>staff</v>
      </c>
    </row>
    <row r="111" spans="1:65" s="1" customFormat="1" ht="25.5" x14ac:dyDescent="0.2">
      <c r="A111" s="1">
        <v>110</v>
      </c>
      <c r="B111" s="11" t="s">
        <v>105</v>
      </c>
      <c r="C111" s="11"/>
      <c r="D111" s="24"/>
      <c r="E111" s="24"/>
      <c r="F111" s="11" t="s">
        <v>1319</v>
      </c>
      <c r="G111" s="11" t="s">
        <v>618</v>
      </c>
      <c r="H111" s="11"/>
      <c r="I111" s="11" t="s">
        <v>87</v>
      </c>
      <c r="J111" s="11" t="s">
        <v>1375</v>
      </c>
      <c r="K111" s="24"/>
      <c r="BH111" s="17" t="str">
        <f t="shared" si="10"/>
        <v>1-4</v>
      </c>
      <c r="BI111" s="41" t="str">
        <f t="shared" si="11"/>
        <v>&gt; 100  users per month</v>
      </c>
      <c r="BJ111" s="68">
        <f t="shared" si="13"/>
        <v>1</v>
      </c>
      <c r="BK111" s="68">
        <f t="shared" si="9"/>
        <v>101</v>
      </c>
      <c r="BL111" s="1" t="str">
        <f t="shared" si="12"/>
        <v>flow cytometry</v>
      </c>
      <c r="BM111" s="56" t="str">
        <f t="shared" si="14"/>
        <v>both</v>
      </c>
    </row>
    <row r="112" spans="1:65" s="1" customFormat="1" ht="25.5" x14ac:dyDescent="0.2">
      <c r="A112" s="1">
        <v>111</v>
      </c>
      <c r="B112" s="11" t="s">
        <v>324</v>
      </c>
      <c r="C112" s="11"/>
      <c r="D112" s="24"/>
      <c r="E112" s="24"/>
      <c r="F112" s="11" t="s">
        <v>1319</v>
      </c>
      <c r="G112" s="11" t="s">
        <v>108</v>
      </c>
      <c r="H112" s="11"/>
      <c r="I112" s="11" t="s">
        <v>253</v>
      </c>
      <c r="J112" s="11" t="s">
        <v>1296</v>
      </c>
      <c r="K112" s="24"/>
      <c r="BH112" s="17" t="str">
        <f t="shared" si="10"/>
        <v>5-8</v>
      </c>
      <c r="BI112" s="41" t="str">
        <f t="shared" si="11"/>
        <v>1-20  users per month</v>
      </c>
      <c r="BJ112" s="68">
        <f t="shared" si="13"/>
        <v>5</v>
      </c>
      <c r="BK112" s="68">
        <f t="shared" si="9"/>
        <v>1</v>
      </c>
      <c r="BL112" s="1" t="str">
        <f t="shared" si="12"/>
        <v>genomics</v>
      </c>
      <c r="BM112" s="56" t="str">
        <f t="shared" si="14"/>
        <v>both</v>
      </c>
    </row>
    <row r="113" spans="1:65" s="1" customFormat="1" ht="25.5" x14ac:dyDescent="0.2">
      <c r="A113" s="1">
        <v>112</v>
      </c>
      <c r="B113" s="11" t="s">
        <v>107</v>
      </c>
      <c r="C113" s="11"/>
      <c r="D113" s="24"/>
      <c r="E113" s="24"/>
      <c r="F113" s="11" t="s">
        <v>1319</v>
      </c>
      <c r="G113" s="11" t="s">
        <v>108</v>
      </c>
      <c r="H113" s="11"/>
      <c r="I113" s="11" t="s">
        <v>290</v>
      </c>
      <c r="J113" s="11" t="s">
        <v>1310</v>
      </c>
      <c r="K113" s="24"/>
      <c r="BH113" s="17" t="str">
        <f t="shared" si="10"/>
        <v>9-12</v>
      </c>
      <c r="BI113" s="41" t="str">
        <f t="shared" si="11"/>
        <v>41-60  users per month</v>
      </c>
      <c r="BJ113" s="68">
        <f t="shared" si="13"/>
        <v>9</v>
      </c>
      <c r="BK113" s="68">
        <f t="shared" si="9"/>
        <v>41</v>
      </c>
      <c r="BL113" s="1" t="str">
        <f t="shared" si="12"/>
        <v>microscopy</v>
      </c>
      <c r="BM113" s="56" t="str">
        <f t="shared" si="14"/>
        <v>both</v>
      </c>
    </row>
    <row r="114" spans="1:65" s="1" customFormat="1" ht="25.5" x14ac:dyDescent="0.2">
      <c r="A114" s="1">
        <v>113</v>
      </c>
      <c r="B114" s="33" t="s">
        <v>105</v>
      </c>
      <c r="C114" s="33"/>
      <c r="D114" s="33"/>
      <c r="E114" s="33"/>
      <c r="F114" s="33" t="s">
        <v>1319</v>
      </c>
      <c r="G114" s="33" t="s">
        <v>618</v>
      </c>
      <c r="H114" s="33"/>
      <c r="I114" s="33" t="s">
        <v>87</v>
      </c>
      <c r="J114" s="33" t="s">
        <v>1310</v>
      </c>
      <c r="K114" s="24"/>
      <c r="BH114" s="17" t="str">
        <f t="shared" si="10"/>
        <v>1-4</v>
      </c>
      <c r="BI114" s="41" t="str">
        <f t="shared" si="11"/>
        <v>41-60  users per month</v>
      </c>
      <c r="BJ114" s="68">
        <f t="shared" si="13"/>
        <v>1</v>
      </c>
      <c r="BK114" s="68">
        <f t="shared" si="9"/>
        <v>41</v>
      </c>
      <c r="BL114" s="1" t="str">
        <f t="shared" si="12"/>
        <v>flow cytometry</v>
      </c>
      <c r="BM114" s="56" t="str">
        <f t="shared" si="14"/>
        <v>both</v>
      </c>
    </row>
    <row r="115" spans="1:65" s="1" customFormat="1" ht="25.5" x14ac:dyDescent="0.2">
      <c r="A115" s="1">
        <v>114</v>
      </c>
      <c r="B115" s="11" t="s">
        <v>105</v>
      </c>
      <c r="C115" s="11"/>
      <c r="D115" s="24"/>
      <c r="E115" s="24"/>
      <c r="F115" s="11" t="s">
        <v>1319</v>
      </c>
      <c r="G115" s="11" t="s">
        <v>106</v>
      </c>
      <c r="H115" s="11"/>
      <c r="I115" s="11" t="s">
        <v>253</v>
      </c>
      <c r="J115" s="11" t="s">
        <v>1375</v>
      </c>
      <c r="K115" s="24"/>
      <c r="BH115" s="17" t="str">
        <f t="shared" si="10"/>
        <v>5-8</v>
      </c>
      <c r="BI115" s="41" t="str">
        <f t="shared" si="11"/>
        <v>&gt; 100  users per month</v>
      </c>
      <c r="BJ115" s="68">
        <f t="shared" si="13"/>
        <v>5</v>
      </c>
      <c r="BK115" s="68">
        <f t="shared" si="9"/>
        <v>101</v>
      </c>
      <c r="BL115" s="1" t="str">
        <f t="shared" si="12"/>
        <v>flow cytometry</v>
      </c>
      <c r="BM115" s="56" t="str">
        <f t="shared" si="14"/>
        <v>both</v>
      </c>
    </row>
    <row r="116" spans="1:65" s="1" customFormat="1" ht="25.5" x14ac:dyDescent="0.2">
      <c r="A116" s="1">
        <v>115</v>
      </c>
      <c r="B116" s="11" t="s">
        <v>107</v>
      </c>
      <c r="C116" s="11"/>
      <c r="D116" s="24"/>
      <c r="E116" s="24"/>
      <c r="F116" s="11" t="s">
        <v>1319</v>
      </c>
      <c r="G116" s="11" t="s">
        <v>618</v>
      </c>
      <c r="H116" s="11"/>
      <c r="I116" s="11" t="s">
        <v>87</v>
      </c>
      <c r="J116" s="11" t="s">
        <v>1296</v>
      </c>
      <c r="K116" s="24"/>
      <c r="BH116" s="17" t="str">
        <f t="shared" si="10"/>
        <v>1-4</v>
      </c>
      <c r="BI116" s="41" t="str">
        <f t="shared" si="11"/>
        <v>1-20  users per month</v>
      </c>
      <c r="BJ116" s="68">
        <f t="shared" si="13"/>
        <v>1</v>
      </c>
      <c r="BK116" s="68">
        <f t="shared" si="9"/>
        <v>1</v>
      </c>
      <c r="BL116" s="1" t="str">
        <f t="shared" si="12"/>
        <v>microscopy</v>
      </c>
      <c r="BM116" s="56" t="str">
        <f t="shared" si="14"/>
        <v>both</v>
      </c>
    </row>
    <row r="117" spans="1:65" s="1" customFormat="1" ht="25.5" x14ac:dyDescent="0.2">
      <c r="A117" s="1">
        <v>116</v>
      </c>
      <c r="B117" s="11" t="s">
        <v>443</v>
      </c>
      <c r="C117" s="11"/>
      <c r="D117" s="24"/>
      <c r="E117" s="24"/>
      <c r="F117" s="11" t="s">
        <v>1319</v>
      </c>
      <c r="G117" s="11" t="s">
        <v>618</v>
      </c>
      <c r="H117" s="11"/>
      <c r="I117" s="11" t="s">
        <v>87</v>
      </c>
      <c r="J117" s="11" t="s">
        <v>1296</v>
      </c>
      <c r="K117" s="24"/>
      <c r="BH117" s="17" t="str">
        <f t="shared" si="10"/>
        <v>1-4</v>
      </c>
      <c r="BI117" s="41" t="str">
        <f t="shared" si="11"/>
        <v>1-20  users per month</v>
      </c>
      <c r="BJ117" s="68">
        <f t="shared" si="13"/>
        <v>1</v>
      </c>
      <c r="BK117" s="68">
        <f t="shared" si="9"/>
        <v>1</v>
      </c>
      <c r="BL117" s="1" t="str">
        <f t="shared" si="12"/>
        <v>metabolomics</v>
      </c>
      <c r="BM117" s="56" t="str">
        <f t="shared" si="14"/>
        <v>both</v>
      </c>
    </row>
    <row r="118" spans="1:65" s="1" customFormat="1" ht="25.5" x14ac:dyDescent="0.2">
      <c r="A118" s="1">
        <v>117</v>
      </c>
      <c r="B118" s="11" t="s">
        <v>105</v>
      </c>
      <c r="C118" s="11"/>
      <c r="D118" s="24"/>
      <c r="E118" s="24"/>
      <c r="F118" s="11" t="s">
        <v>1319</v>
      </c>
      <c r="G118" s="11" t="s">
        <v>618</v>
      </c>
      <c r="H118" s="11" t="s">
        <v>1748</v>
      </c>
      <c r="I118" s="11" t="s">
        <v>253</v>
      </c>
      <c r="J118" s="11" t="s">
        <v>1310</v>
      </c>
      <c r="K118" s="24"/>
      <c r="BH118" s="17" t="str">
        <f t="shared" si="10"/>
        <v>5-8</v>
      </c>
      <c r="BI118" s="41" t="str">
        <f t="shared" si="11"/>
        <v>41-60  users per month</v>
      </c>
      <c r="BJ118" s="68">
        <f t="shared" si="13"/>
        <v>5</v>
      </c>
      <c r="BK118" s="68">
        <f t="shared" si="9"/>
        <v>41</v>
      </c>
      <c r="BL118" s="1" t="str">
        <f t="shared" si="12"/>
        <v>flow cytometry</v>
      </c>
      <c r="BM118" s="56" t="str">
        <f t="shared" si="14"/>
        <v>both</v>
      </c>
    </row>
    <row r="119" spans="1:65" s="1" customFormat="1" ht="38.25" x14ac:dyDescent="0.2">
      <c r="A119" s="1">
        <v>118</v>
      </c>
      <c r="B119" s="11" t="s">
        <v>324</v>
      </c>
      <c r="C119" s="11"/>
      <c r="D119" s="24"/>
      <c r="E119" s="24"/>
      <c r="F119" s="11" t="s">
        <v>1294</v>
      </c>
      <c r="G119" s="11" t="s">
        <v>108</v>
      </c>
      <c r="H119" s="11"/>
      <c r="I119" s="11" t="s">
        <v>195</v>
      </c>
      <c r="J119" s="11" t="s">
        <v>1320</v>
      </c>
      <c r="K119" s="24"/>
      <c r="BH119" s="17" t="str">
        <f t="shared" si="10"/>
        <v>&gt;16</v>
      </c>
      <c r="BI119" s="41" t="str">
        <f t="shared" si="11"/>
        <v>81-100  users per month</v>
      </c>
      <c r="BJ119" s="68">
        <f t="shared" si="13"/>
        <v>17</v>
      </c>
      <c r="BK119" s="68">
        <f t="shared" si="9"/>
        <v>81</v>
      </c>
      <c r="BL119" s="1" t="str">
        <f t="shared" si="12"/>
        <v>genomics</v>
      </c>
      <c r="BM119" s="56" t="str">
        <f t="shared" si="14"/>
        <v>staff</v>
      </c>
    </row>
    <row r="120" spans="1:65" s="1" customFormat="1" ht="25.5" x14ac:dyDescent="0.2">
      <c r="A120" s="1">
        <v>119</v>
      </c>
      <c r="B120" s="11" t="s">
        <v>107</v>
      </c>
      <c r="C120" s="11"/>
      <c r="D120" s="24"/>
      <c r="E120" s="24"/>
      <c r="F120" s="11" t="s">
        <v>1319</v>
      </c>
      <c r="G120" s="11" t="s">
        <v>618</v>
      </c>
      <c r="H120" s="11"/>
      <c r="I120" s="11" t="s">
        <v>87</v>
      </c>
      <c r="J120" s="11" t="s">
        <v>1766</v>
      </c>
      <c r="K120" s="24"/>
      <c r="BH120" s="17" t="str">
        <f t="shared" si="10"/>
        <v>1-4</v>
      </c>
      <c r="BI120" s="41" t="str">
        <f t="shared" si="11"/>
        <v>61-80  users per month</v>
      </c>
      <c r="BJ120" s="68">
        <f t="shared" si="13"/>
        <v>1</v>
      </c>
      <c r="BK120" s="68">
        <f t="shared" si="9"/>
        <v>61</v>
      </c>
      <c r="BL120" s="1" t="str">
        <f t="shared" si="12"/>
        <v>microscopy</v>
      </c>
      <c r="BM120" s="56" t="str">
        <f t="shared" si="14"/>
        <v>both</v>
      </c>
    </row>
    <row r="121" spans="1:65" s="1" customFormat="1" ht="38.25" x14ac:dyDescent="0.2">
      <c r="A121" s="1">
        <v>120</v>
      </c>
      <c r="B121" s="11" t="s">
        <v>161</v>
      </c>
      <c r="C121" s="11"/>
      <c r="D121" s="24"/>
      <c r="E121" s="24"/>
      <c r="F121" s="11" t="s">
        <v>1294</v>
      </c>
      <c r="G121" s="11" t="s">
        <v>618</v>
      </c>
      <c r="H121" s="11"/>
      <c r="I121" s="11" t="s">
        <v>253</v>
      </c>
      <c r="J121" s="11" t="s">
        <v>1296</v>
      </c>
      <c r="K121" s="24"/>
      <c r="BH121" s="17" t="str">
        <f t="shared" si="10"/>
        <v>5-8</v>
      </c>
      <c r="BI121" s="41" t="str">
        <f t="shared" si="11"/>
        <v>1-20  users per month</v>
      </c>
      <c r="BJ121" s="68">
        <f t="shared" si="13"/>
        <v>5</v>
      </c>
      <c r="BK121" s="68">
        <f t="shared" si="9"/>
        <v>1</v>
      </c>
      <c r="BL121" s="1" t="str">
        <f t="shared" si="12"/>
        <v>proteomics</v>
      </c>
      <c r="BM121" s="56" t="str">
        <f t="shared" si="14"/>
        <v>staff</v>
      </c>
    </row>
    <row r="122" spans="1:65" s="1" customFormat="1" ht="25.5" x14ac:dyDescent="0.2">
      <c r="A122" s="1">
        <v>121</v>
      </c>
      <c r="B122" s="11" t="s">
        <v>107</v>
      </c>
      <c r="C122" s="11"/>
      <c r="D122" s="24"/>
      <c r="E122" s="24"/>
      <c r="F122" s="11" t="s">
        <v>1319</v>
      </c>
      <c r="G122" s="11" t="s">
        <v>618</v>
      </c>
      <c r="H122" s="11"/>
      <c r="I122" s="11" t="s">
        <v>87</v>
      </c>
      <c r="J122" s="11" t="s">
        <v>1296</v>
      </c>
      <c r="K122" s="24"/>
      <c r="BH122" s="17" t="str">
        <f t="shared" si="10"/>
        <v>1-4</v>
      </c>
      <c r="BI122" s="41" t="str">
        <f t="shared" si="11"/>
        <v>1-20  users per month</v>
      </c>
      <c r="BJ122" s="68">
        <f t="shared" si="13"/>
        <v>1</v>
      </c>
      <c r="BK122" s="68">
        <f t="shared" si="9"/>
        <v>1</v>
      </c>
      <c r="BL122" s="1" t="str">
        <f t="shared" si="12"/>
        <v>microscopy</v>
      </c>
      <c r="BM122" s="56" t="str">
        <f t="shared" si="14"/>
        <v>both</v>
      </c>
    </row>
    <row r="123" spans="1:65" s="1" customFormat="1" ht="25.5" x14ac:dyDescent="0.2">
      <c r="A123" s="1">
        <v>122</v>
      </c>
      <c r="B123" s="11" t="s">
        <v>119</v>
      </c>
      <c r="C123" s="11" t="s">
        <v>1801</v>
      </c>
      <c r="D123" s="24"/>
      <c r="E123" s="24"/>
      <c r="F123" s="11" t="s">
        <v>1319</v>
      </c>
      <c r="G123" s="11" t="s">
        <v>618</v>
      </c>
      <c r="H123" s="11"/>
      <c r="I123" s="11" t="s">
        <v>87</v>
      </c>
      <c r="J123" s="11" t="s">
        <v>1296</v>
      </c>
      <c r="K123" s="24"/>
      <c r="BH123" s="17" t="str">
        <f t="shared" si="10"/>
        <v>1-4</v>
      </c>
      <c r="BI123" s="41" t="str">
        <f t="shared" si="11"/>
        <v>1-20  users per month</v>
      </c>
      <c r="BJ123" s="68">
        <f t="shared" si="13"/>
        <v>1</v>
      </c>
      <c r="BK123" s="68">
        <f t="shared" si="9"/>
        <v>1</v>
      </c>
      <c r="BL123" s="1" t="str">
        <f t="shared" si="12"/>
        <v>Other</v>
      </c>
      <c r="BM123" s="56" t="str">
        <f t="shared" si="14"/>
        <v>both</v>
      </c>
    </row>
    <row r="124" spans="1:65" s="1" customFormat="1" ht="25.5" x14ac:dyDescent="0.2">
      <c r="A124" s="1">
        <v>123</v>
      </c>
      <c r="B124" s="11" t="s">
        <v>119</v>
      </c>
      <c r="C124" s="11" t="s">
        <v>1803</v>
      </c>
      <c r="D124" s="24"/>
      <c r="E124" s="24"/>
      <c r="F124" s="11" t="s">
        <v>1319</v>
      </c>
      <c r="G124" s="11" t="s">
        <v>618</v>
      </c>
      <c r="H124" s="11"/>
      <c r="I124" s="11" t="s">
        <v>253</v>
      </c>
      <c r="J124" s="11" t="s">
        <v>1358</v>
      </c>
      <c r="K124" s="24"/>
      <c r="BH124" s="17" t="str">
        <f t="shared" si="10"/>
        <v>5-8</v>
      </c>
      <c r="BI124" s="41" t="str">
        <f t="shared" si="11"/>
        <v>21-40  users per month</v>
      </c>
      <c r="BJ124" s="68">
        <f t="shared" si="13"/>
        <v>5</v>
      </c>
      <c r="BK124" s="68">
        <f t="shared" si="9"/>
        <v>21</v>
      </c>
      <c r="BL124" s="1" t="str">
        <f t="shared" si="12"/>
        <v>Other</v>
      </c>
      <c r="BM124" s="56" t="str">
        <f t="shared" si="14"/>
        <v>both</v>
      </c>
    </row>
    <row r="125" spans="1:65" s="1" customFormat="1" ht="38.25" x14ac:dyDescent="0.2">
      <c r="A125" s="1">
        <v>124</v>
      </c>
      <c r="B125" s="11" t="s">
        <v>309</v>
      </c>
      <c r="C125" s="11"/>
      <c r="D125" s="24"/>
      <c r="E125" s="24"/>
      <c r="F125" s="11" t="s">
        <v>1294</v>
      </c>
      <c r="G125" s="11" t="s">
        <v>106</v>
      </c>
      <c r="H125" s="11"/>
      <c r="I125" s="11" t="s">
        <v>87</v>
      </c>
      <c r="J125" s="11" t="s">
        <v>1296</v>
      </c>
      <c r="K125" s="24"/>
      <c r="BH125" s="17" t="str">
        <f t="shared" si="10"/>
        <v>1-4</v>
      </c>
      <c r="BI125" s="41" t="str">
        <f t="shared" si="11"/>
        <v>1-20  users per month</v>
      </c>
      <c r="BJ125" s="68">
        <f t="shared" si="13"/>
        <v>1</v>
      </c>
      <c r="BK125" s="68">
        <f t="shared" si="9"/>
        <v>1</v>
      </c>
      <c r="BL125" s="1" t="str">
        <f t="shared" si="12"/>
        <v>histology</v>
      </c>
      <c r="BM125" s="56" t="str">
        <f t="shared" si="14"/>
        <v>staff</v>
      </c>
    </row>
    <row r="126" spans="1:65" s="1" customFormat="1" ht="25.5" x14ac:dyDescent="0.2">
      <c r="A126" s="1">
        <v>125</v>
      </c>
      <c r="B126" s="11" t="s">
        <v>161</v>
      </c>
      <c r="C126" s="11"/>
      <c r="D126" s="24"/>
      <c r="E126" s="24"/>
      <c r="F126" s="11" t="s">
        <v>1319</v>
      </c>
      <c r="G126" s="11" t="s">
        <v>108</v>
      </c>
      <c r="H126" s="11"/>
      <c r="I126" s="11" t="s">
        <v>632</v>
      </c>
      <c r="J126" s="11" t="s">
        <v>1375</v>
      </c>
      <c r="K126" s="24"/>
      <c r="BH126" s="17" t="str">
        <f t="shared" si="10"/>
        <v>13-16</v>
      </c>
      <c r="BI126" s="41" t="str">
        <f t="shared" si="11"/>
        <v>&gt; 100  users per month</v>
      </c>
      <c r="BJ126" s="68">
        <f t="shared" si="13"/>
        <v>13</v>
      </c>
      <c r="BK126" s="68">
        <f t="shared" si="9"/>
        <v>101</v>
      </c>
      <c r="BL126" s="1" t="str">
        <f t="shared" si="12"/>
        <v>proteomics</v>
      </c>
      <c r="BM126" s="56" t="str">
        <f t="shared" ref="BM126:BM157" si="15">IF(ISNUMBER(SEARCH("staff",F126)),"staff",IF(ISNUMBER(SEARCH("users work",F126)),"user",IF(ISNUMBER(SEARCH("both",F126)),"both")))</f>
        <v>both</v>
      </c>
    </row>
    <row r="127" spans="1:65" s="1" customFormat="1" ht="89.25" x14ac:dyDescent="0.2">
      <c r="A127" s="1">
        <v>126</v>
      </c>
      <c r="B127" s="11" t="s">
        <v>105</v>
      </c>
      <c r="C127" s="11"/>
      <c r="D127" s="24"/>
      <c r="E127" s="24"/>
      <c r="F127" s="11" t="s">
        <v>1309</v>
      </c>
      <c r="G127" s="11" t="s">
        <v>106</v>
      </c>
      <c r="H127" s="11" t="s">
        <v>1832</v>
      </c>
      <c r="I127" s="11" t="s">
        <v>253</v>
      </c>
      <c r="J127" s="11" t="s">
        <v>1310</v>
      </c>
      <c r="K127" s="24"/>
      <c r="BH127" s="17" t="str">
        <f t="shared" si="10"/>
        <v>5-8</v>
      </c>
      <c r="BI127" s="41" t="str">
        <f t="shared" si="11"/>
        <v>41-60  users per month</v>
      </c>
      <c r="BJ127" s="68">
        <f t="shared" si="13"/>
        <v>5</v>
      </c>
      <c r="BK127" s="68">
        <f t="shared" ref="BK127:BK190" si="16">IF(BI127="1-20  users per month",1,IF(BI127="21-40  users per month",21,IF(BI127="41-60  users per month",41,IF(BI127="61-80  users per month",61,IF(BI127="81-100  users per month",81,IF(BI127="&gt; 100  users per month",101))))))</f>
        <v>41</v>
      </c>
      <c r="BL127" s="1" t="str">
        <f t="shared" si="12"/>
        <v>flow cytometry</v>
      </c>
      <c r="BM127" s="56" t="str">
        <f t="shared" si="15"/>
        <v>user</v>
      </c>
    </row>
    <row r="128" spans="1:65" s="1" customFormat="1" ht="25.5" x14ac:dyDescent="0.2">
      <c r="A128" s="1">
        <v>127</v>
      </c>
      <c r="B128" s="11" t="s">
        <v>107</v>
      </c>
      <c r="C128" s="11"/>
      <c r="D128" s="24"/>
      <c r="E128" s="24"/>
      <c r="F128" s="11" t="s">
        <v>1319</v>
      </c>
      <c r="G128" s="11" t="s">
        <v>108</v>
      </c>
      <c r="H128" s="11"/>
      <c r="I128" s="11" t="s">
        <v>87</v>
      </c>
      <c r="J128" s="11" t="s">
        <v>1310</v>
      </c>
      <c r="K128" s="24"/>
      <c r="BH128" s="17" t="str">
        <f t="shared" si="10"/>
        <v>1-4</v>
      </c>
      <c r="BI128" s="41" t="str">
        <f t="shared" si="11"/>
        <v>41-60  users per month</v>
      </c>
      <c r="BJ128" s="68">
        <f t="shared" si="13"/>
        <v>1</v>
      </c>
      <c r="BK128" s="68">
        <f t="shared" si="16"/>
        <v>41</v>
      </c>
      <c r="BL128" s="1" t="str">
        <f t="shared" si="12"/>
        <v>microscopy</v>
      </c>
      <c r="BM128" s="56" t="str">
        <f t="shared" si="15"/>
        <v>both</v>
      </c>
    </row>
    <row r="129" spans="1:65" s="1" customFormat="1" ht="38.25" x14ac:dyDescent="0.2">
      <c r="A129" s="1">
        <v>128</v>
      </c>
      <c r="B129" s="11" t="s">
        <v>107</v>
      </c>
      <c r="C129" s="11"/>
      <c r="D129" s="24"/>
      <c r="E129" s="24"/>
      <c r="F129" s="11" t="s">
        <v>1319</v>
      </c>
      <c r="G129" s="11" t="s">
        <v>618</v>
      </c>
      <c r="H129" s="11"/>
      <c r="I129" s="11" t="s">
        <v>87</v>
      </c>
      <c r="J129" s="11" t="s">
        <v>1320</v>
      </c>
      <c r="K129" s="24"/>
      <c r="BH129" s="17" t="str">
        <f t="shared" ref="BH129:BH192" si="17">I129</f>
        <v>1-4</v>
      </c>
      <c r="BI129" s="41" t="str">
        <f t="shared" ref="BI129:BI192" si="18">J129</f>
        <v>81-100  users per month</v>
      </c>
      <c r="BJ129" s="68">
        <f t="shared" si="13"/>
        <v>1</v>
      </c>
      <c r="BK129" s="68">
        <f t="shared" si="16"/>
        <v>81</v>
      </c>
      <c r="BL129" s="1" t="str">
        <f t="shared" si="12"/>
        <v>microscopy</v>
      </c>
      <c r="BM129" s="56" t="str">
        <f t="shared" si="15"/>
        <v>both</v>
      </c>
    </row>
    <row r="130" spans="1:65" s="1" customFormat="1" ht="25.5" x14ac:dyDescent="0.2">
      <c r="A130" s="1">
        <v>129</v>
      </c>
      <c r="B130" s="11" t="s">
        <v>107</v>
      </c>
      <c r="C130" s="11"/>
      <c r="D130" s="24"/>
      <c r="E130" s="24"/>
      <c r="F130" s="11" t="s">
        <v>1319</v>
      </c>
      <c r="G130" s="11" t="s">
        <v>618</v>
      </c>
      <c r="H130" s="11"/>
      <c r="I130" s="11" t="s">
        <v>87</v>
      </c>
      <c r="J130" s="11" t="s">
        <v>1358</v>
      </c>
      <c r="K130" s="24"/>
      <c r="BH130" s="17" t="str">
        <f t="shared" si="17"/>
        <v>1-4</v>
      </c>
      <c r="BI130" s="41" t="str">
        <f t="shared" si="18"/>
        <v>21-40  users per month</v>
      </c>
      <c r="BJ130" s="68">
        <f t="shared" si="13"/>
        <v>1</v>
      </c>
      <c r="BK130" s="68">
        <f t="shared" si="16"/>
        <v>21</v>
      </c>
      <c r="BL130" s="1" t="str">
        <f t="shared" ref="BL130:BL193" si="19">B130</f>
        <v>microscopy</v>
      </c>
      <c r="BM130" s="56" t="str">
        <f t="shared" si="15"/>
        <v>both</v>
      </c>
    </row>
    <row r="131" spans="1:65" s="1" customFormat="1" ht="25.5" x14ac:dyDescent="0.2">
      <c r="A131" s="1">
        <v>130</v>
      </c>
      <c r="B131" s="11" t="s">
        <v>105</v>
      </c>
      <c r="C131" s="11"/>
      <c r="D131" s="24"/>
      <c r="E131" s="24"/>
      <c r="F131" s="11" t="s">
        <v>1319</v>
      </c>
      <c r="G131" s="11" t="s">
        <v>618</v>
      </c>
      <c r="H131" s="11"/>
      <c r="I131" s="11" t="s">
        <v>87</v>
      </c>
      <c r="J131" s="11" t="s">
        <v>1766</v>
      </c>
      <c r="K131" s="24"/>
      <c r="BH131" s="17" t="str">
        <f t="shared" si="17"/>
        <v>1-4</v>
      </c>
      <c r="BI131" s="41" t="str">
        <f t="shared" si="18"/>
        <v>61-80  users per month</v>
      </c>
      <c r="BJ131" s="68">
        <f t="shared" ref="BJ131:BJ194" si="20">IF(BH131="1-4",1,IF(BH131="5-8",5,IF(BH131="9-12",9,IF(BH131="13-16",13,IF(BH131="&gt;16",17)))))</f>
        <v>1</v>
      </c>
      <c r="BK131" s="68">
        <f t="shared" si="16"/>
        <v>61</v>
      </c>
      <c r="BL131" s="1" t="str">
        <f t="shared" si="19"/>
        <v>flow cytometry</v>
      </c>
      <c r="BM131" s="56" t="str">
        <f t="shared" si="15"/>
        <v>both</v>
      </c>
    </row>
    <row r="132" spans="1:65" s="1" customFormat="1" ht="25.5" x14ac:dyDescent="0.2">
      <c r="A132" s="1">
        <v>131</v>
      </c>
      <c r="B132" s="11" t="s">
        <v>105</v>
      </c>
      <c r="C132" s="11"/>
      <c r="D132" s="24"/>
      <c r="E132" s="24"/>
      <c r="F132" s="11" t="s">
        <v>1319</v>
      </c>
      <c r="G132" s="11" t="s">
        <v>106</v>
      </c>
      <c r="H132" s="11"/>
      <c r="I132" s="11" t="s">
        <v>632</v>
      </c>
      <c r="J132" s="11" t="s">
        <v>1375</v>
      </c>
      <c r="K132" s="24"/>
      <c r="BH132" s="17" t="str">
        <f t="shared" si="17"/>
        <v>13-16</v>
      </c>
      <c r="BI132" s="41" t="str">
        <f t="shared" si="18"/>
        <v>&gt; 100  users per month</v>
      </c>
      <c r="BJ132" s="68">
        <f t="shared" si="20"/>
        <v>13</v>
      </c>
      <c r="BK132" s="68">
        <f t="shared" si="16"/>
        <v>101</v>
      </c>
      <c r="BL132" s="1" t="str">
        <f t="shared" si="19"/>
        <v>flow cytometry</v>
      </c>
      <c r="BM132" s="56" t="str">
        <f t="shared" si="15"/>
        <v>both</v>
      </c>
    </row>
    <row r="133" spans="1:65" s="1" customFormat="1" ht="25.5" x14ac:dyDescent="0.2">
      <c r="A133" s="1">
        <v>132</v>
      </c>
      <c r="B133" s="11" t="s">
        <v>105</v>
      </c>
      <c r="C133" s="11"/>
      <c r="D133" s="24"/>
      <c r="E133" s="24"/>
      <c r="F133" s="11" t="s">
        <v>1319</v>
      </c>
      <c r="G133" s="11" t="s">
        <v>618</v>
      </c>
      <c r="H133" s="11"/>
      <c r="I133" s="11" t="s">
        <v>87</v>
      </c>
      <c r="J133" s="11" t="s">
        <v>1358</v>
      </c>
      <c r="K133" s="24"/>
      <c r="BH133" s="17" t="str">
        <f t="shared" si="17"/>
        <v>1-4</v>
      </c>
      <c r="BI133" s="41" t="str">
        <f t="shared" si="18"/>
        <v>21-40  users per month</v>
      </c>
      <c r="BJ133" s="68">
        <f t="shared" si="20"/>
        <v>1</v>
      </c>
      <c r="BK133" s="68">
        <f t="shared" si="16"/>
        <v>21</v>
      </c>
      <c r="BL133" s="1" t="str">
        <f t="shared" si="19"/>
        <v>flow cytometry</v>
      </c>
      <c r="BM133" s="56" t="str">
        <f t="shared" si="15"/>
        <v>both</v>
      </c>
    </row>
    <row r="134" spans="1:65" s="1" customFormat="1" ht="38.25" x14ac:dyDescent="0.2">
      <c r="A134" s="1">
        <v>133</v>
      </c>
      <c r="B134" s="11" t="s">
        <v>324</v>
      </c>
      <c r="C134" s="11"/>
      <c r="D134" s="24"/>
      <c r="E134" s="24"/>
      <c r="F134" s="11" t="s">
        <v>1294</v>
      </c>
      <c r="G134" s="11" t="s">
        <v>618</v>
      </c>
      <c r="H134" s="11"/>
      <c r="I134" s="11" t="s">
        <v>87</v>
      </c>
      <c r="J134" s="11" t="s">
        <v>1358</v>
      </c>
      <c r="K134" s="24"/>
      <c r="BH134" s="17" t="str">
        <f t="shared" si="17"/>
        <v>1-4</v>
      </c>
      <c r="BI134" s="41" t="str">
        <f t="shared" si="18"/>
        <v>21-40  users per month</v>
      </c>
      <c r="BJ134" s="68">
        <f t="shared" si="20"/>
        <v>1</v>
      </c>
      <c r="BK134" s="68">
        <f t="shared" si="16"/>
        <v>21</v>
      </c>
      <c r="BL134" s="1" t="str">
        <f t="shared" si="19"/>
        <v>genomics</v>
      </c>
      <c r="BM134" s="56" t="str">
        <f t="shared" si="15"/>
        <v>staff</v>
      </c>
    </row>
    <row r="135" spans="1:65" s="1" customFormat="1" ht="25.5" x14ac:dyDescent="0.2">
      <c r="A135" s="1">
        <v>134</v>
      </c>
      <c r="B135" s="11" t="s">
        <v>107</v>
      </c>
      <c r="C135" s="11"/>
      <c r="D135" s="24"/>
      <c r="E135" s="24"/>
      <c r="F135" s="11" t="s">
        <v>1319</v>
      </c>
      <c r="G135" s="11" t="s">
        <v>86</v>
      </c>
      <c r="H135" s="11"/>
      <c r="I135" s="11" t="s">
        <v>87</v>
      </c>
      <c r="J135" s="11" t="s">
        <v>1296</v>
      </c>
      <c r="K135" s="24"/>
      <c r="BH135" s="17" t="str">
        <f t="shared" si="17"/>
        <v>1-4</v>
      </c>
      <c r="BI135" s="41" t="str">
        <f t="shared" si="18"/>
        <v>1-20  users per month</v>
      </c>
      <c r="BJ135" s="68">
        <f t="shared" si="20"/>
        <v>1</v>
      </c>
      <c r="BK135" s="68">
        <f t="shared" si="16"/>
        <v>1</v>
      </c>
      <c r="BL135" s="1" t="str">
        <f t="shared" si="19"/>
        <v>microscopy</v>
      </c>
      <c r="BM135" s="56" t="str">
        <f t="shared" si="15"/>
        <v>both</v>
      </c>
    </row>
    <row r="136" spans="1:65" s="1" customFormat="1" ht="38.25" x14ac:dyDescent="0.2">
      <c r="A136" s="1">
        <v>135</v>
      </c>
      <c r="B136" s="39" t="s">
        <v>363</v>
      </c>
      <c r="C136" s="11" t="s">
        <v>2000</v>
      </c>
      <c r="D136" s="24"/>
      <c r="E136" s="24"/>
      <c r="F136" s="11" t="s">
        <v>1309</v>
      </c>
      <c r="G136" s="11" t="s">
        <v>618</v>
      </c>
      <c r="H136" s="11"/>
      <c r="I136" s="11" t="s">
        <v>87</v>
      </c>
      <c r="J136" s="11" t="s">
        <v>1296</v>
      </c>
      <c r="K136" s="24"/>
      <c r="BH136" s="17" t="str">
        <f t="shared" si="17"/>
        <v>1-4</v>
      </c>
      <c r="BI136" s="41" t="str">
        <f t="shared" si="18"/>
        <v>1-20  users per month</v>
      </c>
      <c r="BJ136" s="68">
        <f t="shared" si="20"/>
        <v>1</v>
      </c>
      <c r="BK136" s="68">
        <f t="shared" si="16"/>
        <v>1</v>
      </c>
      <c r="BL136" s="1" t="str">
        <f t="shared" si="19"/>
        <v>mouse</v>
      </c>
      <c r="BM136" s="56" t="str">
        <f t="shared" si="15"/>
        <v>user</v>
      </c>
    </row>
    <row r="137" spans="1:65" s="1" customFormat="1" ht="25.5" x14ac:dyDescent="0.2">
      <c r="A137" s="1">
        <v>136</v>
      </c>
      <c r="B137" s="11" t="s">
        <v>107</v>
      </c>
      <c r="C137" s="11"/>
      <c r="D137" s="24"/>
      <c r="E137" s="24"/>
      <c r="F137" s="11" t="s">
        <v>1319</v>
      </c>
      <c r="G137" s="11" t="s">
        <v>618</v>
      </c>
      <c r="H137" s="11"/>
      <c r="I137" s="11" t="s">
        <v>87</v>
      </c>
      <c r="J137" s="11" t="s">
        <v>1296</v>
      </c>
      <c r="K137" s="24"/>
      <c r="BH137" s="17" t="str">
        <f t="shared" si="17"/>
        <v>1-4</v>
      </c>
      <c r="BI137" s="41" t="str">
        <f t="shared" si="18"/>
        <v>1-20  users per month</v>
      </c>
      <c r="BJ137" s="68">
        <f t="shared" si="20"/>
        <v>1</v>
      </c>
      <c r="BK137" s="68">
        <f t="shared" si="16"/>
        <v>1</v>
      </c>
      <c r="BL137" s="1" t="str">
        <f t="shared" si="19"/>
        <v>microscopy</v>
      </c>
      <c r="BM137" s="56" t="str">
        <f t="shared" si="15"/>
        <v>both</v>
      </c>
    </row>
    <row r="138" spans="1:65" s="1" customFormat="1" ht="25.5" x14ac:dyDescent="0.2">
      <c r="A138" s="1">
        <v>137</v>
      </c>
      <c r="B138" s="11" t="s">
        <v>105</v>
      </c>
      <c r="C138" s="11"/>
      <c r="D138" s="24"/>
      <c r="E138" s="24"/>
      <c r="F138" s="11" t="s">
        <v>1319</v>
      </c>
      <c r="G138" s="11" t="s">
        <v>106</v>
      </c>
      <c r="H138" s="11"/>
      <c r="I138" s="11" t="s">
        <v>87</v>
      </c>
      <c r="J138" s="11" t="s">
        <v>1296</v>
      </c>
      <c r="K138" s="24"/>
      <c r="BH138" s="17" t="str">
        <f t="shared" si="17"/>
        <v>1-4</v>
      </c>
      <c r="BI138" s="41" t="str">
        <f t="shared" si="18"/>
        <v>1-20  users per month</v>
      </c>
      <c r="BJ138" s="68">
        <f t="shared" si="20"/>
        <v>1</v>
      </c>
      <c r="BK138" s="68">
        <f t="shared" si="16"/>
        <v>1</v>
      </c>
      <c r="BL138" s="1" t="str">
        <f t="shared" si="19"/>
        <v>flow cytometry</v>
      </c>
      <c r="BM138" s="56" t="str">
        <f t="shared" si="15"/>
        <v>both</v>
      </c>
    </row>
    <row r="139" spans="1:65" s="1" customFormat="1" ht="25.5" x14ac:dyDescent="0.2">
      <c r="A139" s="1">
        <v>138</v>
      </c>
      <c r="B139" s="33" t="s">
        <v>105</v>
      </c>
      <c r="C139" s="11"/>
      <c r="D139" s="33"/>
      <c r="E139" s="33"/>
      <c r="F139" s="33" t="s">
        <v>1319</v>
      </c>
      <c r="G139" s="33" t="s">
        <v>86</v>
      </c>
      <c r="H139" s="33"/>
      <c r="I139" s="33" t="s">
        <v>87</v>
      </c>
      <c r="J139" s="33" t="s">
        <v>1296</v>
      </c>
      <c r="K139" s="24"/>
      <c r="BH139" s="17" t="str">
        <f t="shared" si="17"/>
        <v>1-4</v>
      </c>
      <c r="BI139" s="41" t="str">
        <f t="shared" si="18"/>
        <v>1-20  users per month</v>
      </c>
      <c r="BJ139" s="68">
        <f t="shared" si="20"/>
        <v>1</v>
      </c>
      <c r="BK139" s="68">
        <f t="shared" si="16"/>
        <v>1</v>
      </c>
      <c r="BL139" s="1" t="str">
        <f t="shared" si="19"/>
        <v>flow cytometry</v>
      </c>
      <c r="BM139" s="56" t="str">
        <f t="shared" si="15"/>
        <v>both</v>
      </c>
    </row>
    <row r="140" spans="1:65" s="1" customFormat="1" ht="25.5" x14ac:dyDescent="0.2">
      <c r="A140" s="1">
        <v>139</v>
      </c>
      <c r="B140" s="11" t="s">
        <v>443</v>
      </c>
      <c r="C140" s="11"/>
      <c r="D140" s="24"/>
      <c r="E140" s="24"/>
      <c r="F140" s="11" t="s">
        <v>1319</v>
      </c>
      <c r="G140" s="11" t="s">
        <v>618</v>
      </c>
      <c r="H140" s="11"/>
      <c r="I140" s="11" t="s">
        <v>87</v>
      </c>
      <c r="J140" s="11" t="s">
        <v>1358</v>
      </c>
      <c r="K140" s="24"/>
      <c r="BH140" s="17" t="str">
        <f t="shared" si="17"/>
        <v>1-4</v>
      </c>
      <c r="BI140" s="41" t="str">
        <f t="shared" si="18"/>
        <v>21-40  users per month</v>
      </c>
      <c r="BJ140" s="68">
        <f t="shared" si="20"/>
        <v>1</v>
      </c>
      <c r="BK140" s="68">
        <f t="shared" si="16"/>
        <v>21</v>
      </c>
      <c r="BL140" s="1" t="str">
        <f t="shared" si="19"/>
        <v>metabolomics</v>
      </c>
      <c r="BM140" s="56" t="str">
        <f t="shared" si="15"/>
        <v>both</v>
      </c>
    </row>
    <row r="141" spans="1:65" s="1" customFormat="1" ht="25.5" x14ac:dyDescent="0.2">
      <c r="A141" s="1">
        <v>140</v>
      </c>
      <c r="B141" s="11" t="s">
        <v>107</v>
      </c>
      <c r="C141" s="11"/>
      <c r="D141" s="24"/>
      <c r="E141" s="24"/>
      <c r="F141" s="11" t="s">
        <v>1319</v>
      </c>
      <c r="G141" s="11" t="s">
        <v>108</v>
      </c>
      <c r="H141" s="11"/>
      <c r="I141" s="11" t="s">
        <v>87</v>
      </c>
      <c r="J141" s="11" t="s">
        <v>1296</v>
      </c>
      <c r="K141" s="24"/>
      <c r="BH141" s="17" t="str">
        <f t="shared" si="17"/>
        <v>1-4</v>
      </c>
      <c r="BI141" s="41" t="str">
        <f t="shared" si="18"/>
        <v>1-20  users per month</v>
      </c>
      <c r="BJ141" s="68">
        <f t="shared" si="20"/>
        <v>1</v>
      </c>
      <c r="BK141" s="68">
        <f t="shared" si="16"/>
        <v>1</v>
      </c>
      <c r="BL141" s="1" t="str">
        <f t="shared" si="19"/>
        <v>microscopy</v>
      </c>
      <c r="BM141" s="56" t="str">
        <f t="shared" si="15"/>
        <v>both</v>
      </c>
    </row>
    <row r="142" spans="1:65" s="1" customFormat="1" ht="25.5" x14ac:dyDescent="0.2">
      <c r="A142" s="1">
        <v>141</v>
      </c>
      <c r="B142" s="11" t="s">
        <v>105</v>
      </c>
      <c r="C142" s="11"/>
      <c r="D142" s="24"/>
      <c r="E142" s="24"/>
      <c r="F142" s="11" t="s">
        <v>1319</v>
      </c>
      <c r="G142" s="11" t="s">
        <v>618</v>
      </c>
      <c r="H142" s="11"/>
      <c r="I142" s="11" t="s">
        <v>290</v>
      </c>
      <c r="J142" s="11" t="s">
        <v>1375</v>
      </c>
      <c r="K142" s="24"/>
      <c r="BH142" s="17" t="str">
        <f t="shared" si="17"/>
        <v>9-12</v>
      </c>
      <c r="BI142" s="41" t="str">
        <f t="shared" si="18"/>
        <v>&gt; 100  users per month</v>
      </c>
      <c r="BJ142" s="68">
        <f t="shared" si="20"/>
        <v>9</v>
      </c>
      <c r="BK142" s="68">
        <f t="shared" si="16"/>
        <v>101</v>
      </c>
      <c r="BL142" s="1" t="str">
        <f t="shared" si="19"/>
        <v>flow cytometry</v>
      </c>
      <c r="BM142" s="56" t="str">
        <f t="shared" si="15"/>
        <v>both</v>
      </c>
    </row>
    <row r="143" spans="1:65" s="1" customFormat="1" ht="25.5" x14ac:dyDescent="0.2">
      <c r="A143" s="1">
        <v>142</v>
      </c>
      <c r="B143" s="33" t="s">
        <v>119</v>
      </c>
      <c r="C143" s="11" t="s">
        <v>2001</v>
      </c>
      <c r="D143" s="33"/>
      <c r="E143" s="33"/>
      <c r="F143" s="33" t="s">
        <v>1319</v>
      </c>
      <c r="G143" s="33" t="s">
        <v>618</v>
      </c>
      <c r="H143" s="33"/>
      <c r="I143" s="33" t="s">
        <v>290</v>
      </c>
      <c r="J143" s="33" t="s">
        <v>1375</v>
      </c>
      <c r="K143" s="24"/>
      <c r="BH143" s="17" t="str">
        <f t="shared" si="17"/>
        <v>9-12</v>
      </c>
      <c r="BI143" s="41" t="str">
        <f t="shared" si="18"/>
        <v>&gt; 100  users per month</v>
      </c>
      <c r="BJ143" s="68">
        <f t="shared" si="20"/>
        <v>9</v>
      </c>
      <c r="BK143" s="68">
        <f t="shared" si="16"/>
        <v>101</v>
      </c>
      <c r="BL143" s="1" t="str">
        <f t="shared" si="19"/>
        <v>Other</v>
      </c>
      <c r="BM143" s="56" t="str">
        <f t="shared" si="15"/>
        <v>both</v>
      </c>
    </row>
    <row r="144" spans="1:65" s="1" customFormat="1" ht="38.25" x14ac:dyDescent="0.2">
      <c r="A144" s="1">
        <v>143</v>
      </c>
      <c r="B144" s="11" t="s">
        <v>105</v>
      </c>
      <c r="C144" s="11"/>
      <c r="D144" s="24"/>
      <c r="E144" s="24"/>
      <c r="F144" s="11" t="s">
        <v>1309</v>
      </c>
      <c r="G144" s="11" t="s">
        <v>618</v>
      </c>
      <c r="H144" s="11"/>
      <c r="I144" s="11" t="s">
        <v>87</v>
      </c>
      <c r="J144" s="11" t="s">
        <v>1310</v>
      </c>
      <c r="K144" s="24"/>
      <c r="BH144" s="17" t="str">
        <f t="shared" si="17"/>
        <v>1-4</v>
      </c>
      <c r="BI144" s="41" t="str">
        <f t="shared" si="18"/>
        <v>41-60  users per month</v>
      </c>
      <c r="BJ144" s="68">
        <f t="shared" si="20"/>
        <v>1</v>
      </c>
      <c r="BK144" s="68">
        <f t="shared" si="16"/>
        <v>41</v>
      </c>
      <c r="BL144" s="1" t="str">
        <f t="shared" si="19"/>
        <v>flow cytometry</v>
      </c>
      <c r="BM144" s="56" t="str">
        <f t="shared" si="15"/>
        <v>user</v>
      </c>
    </row>
    <row r="145" spans="1:65" s="1" customFormat="1" ht="25.5" x14ac:dyDescent="0.2">
      <c r="A145" s="1">
        <v>144</v>
      </c>
      <c r="B145" s="11" t="s">
        <v>119</v>
      </c>
      <c r="C145" s="11" t="s">
        <v>2002</v>
      </c>
      <c r="D145" s="24"/>
      <c r="E145" s="24"/>
      <c r="F145" s="11" t="s">
        <v>1319</v>
      </c>
      <c r="G145" s="11" t="s">
        <v>618</v>
      </c>
      <c r="H145" s="11"/>
      <c r="I145" s="11" t="s">
        <v>87</v>
      </c>
      <c r="J145" s="11" t="s">
        <v>1296</v>
      </c>
      <c r="K145" s="24"/>
      <c r="BH145" s="17" t="str">
        <f t="shared" si="17"/>
        <v>1-4</v>
      </c>
      <c r="BI145" s="41" t="str">
        <f t="shared" si="18"/>
        <v>1-20  users per month</v>
      </c>
      <c r="BJ145" s="68">
        <f t="shared" si="20"/>
        <v>1</v>
      </c>
      <c r="BK145" s="68">
        <f t="shared" si="16"/>
        <v>1</v>
      </c>
      <c r="BL145" s="1" t="str">
        <f t="shared" si="19"/>
        <v>Other</v>
      </c>
      <c r="BM145" s="56" t="str">
        <f t="shared" si="15"/>
        <v>both</v>
      </c>
    </row>
    <row r="146" spans="1:65" s="1" customFormat="1" ht="25.5" x14ac:dyDescent="0.2">
      <c r="A146" s="1">
        <v>145</v>
      </c>
      <c r="B146" s="11" t="s">
        <v>377</v>
      </c>
      <c r="C146" s="11"/>
      <c r="D146" s="24"/>
      <c r="E146" s="24"/>
      <c r="F146" s="11" t="s">
        <v>1319</v>
      </c>
      <c r="G146" s="11" t="s">
        <v>106</v>
      </c>
      <c r="H146" s="11"/>
      <c r="I146" s="11" t="s">
        <v>87</v>
      </c>
      <c r="J146" s="11" t="s">
        <v>1310</v>
      </c>
      <c r="K146" s="24"/>
      <c r="BH146" s="17" t="str">
        <f t="shared" si="17"/>
        <v>1-4</v>
      </c>
      <c r="BI146" s="41" t="str">
        <f t="shared" si="18"/>
        <v>41-60  users per month</v>
      </c>
      <c r="BJ146" s="68">
        <f t="shared" si="20"/>
        <v>1</v>
      </c>
      <c r="BK146" s="68">
        <f t="shared" si="16"/>
        <v>41</v>
      </c>
      <c r="BL146" s="1" t="str">
        <f t="shared" si="19"/>
        <v>protein expression</v>
      </c>
      <c r="BM146" s="56" t="str">
        <f t="shared" si="15"/>
        <v>both</v>
      </c>
    </row>
    <row r="147" spans="1:65" s="1" customFormat="1" ht="25.5" x14ac:dyDescent="0.2">
      <c r="A147" s="1">
        <v>146</v>
      </c>
      <c r="B147" s="11" t="s">
        <v>105</v>
      </c>
      <c r="C147" s="11"/>
      <c r="D147" s="24"/>
      <c r="E147" s="24"/>
      <c r="F147" s="11" t="s">
        <v>1319</v>
      </c>
      <c r="G147" s="11" t="s">
        <v>106</v>
      </c>
      <c r="H147" s="11"/>
      <c r="I147" s="11" t="s">
        <v>87</v>
      </c>
      <c r="J147" s="11" t="s">
        <v>1358</v>
      </c>
      <c r="K147" s="24"/>
      <c r="BH147" s="17" t="str">
        <f t="shared" si="17"/>
        <v>1-4</v>
      </c>
      <c r="BI147" s="41" t="str">
        <f t="shared" si="18"/>
        <v>21-40  users per month</v>
      </c>
      <c r="BJ147" s="68">
        <f t="shared" si="20"/>
        <v>1</v>
      </c>
      <c r="BK147" s="68">
        <f t="shared" si="16"/>
        <v>21</v>
      </c>
      <c r="BL147" s="1" t="str">
        <f t="shared" si="19"/>
        <v>flow cytometry</v>
      </c>
      <c r="BM147" s="56" t="str">
        <f t="shared" si="15"/>
        <v>both</v>
      </c>
    </row>
    <row r="148" spans="1:65" s="1" customFormat="1" ht="25.5" x14ac:dyDescent="0.2">
      <c r="A148" s="1">
        <v>147</v>
      </c>
      <c r="B148" s="11" t="s">
        <v>105</v>
      </c>
      <c r="C148" s="11"/>
      <c r="D148" s="24"/>
      <c r="E148" s="24"/>
      <c r="F148" s="11" t="s">
        <v>1319</v>
      </c>
      <c r="G148" s="11" t="s">
        <v>106</v>
      </c>
      <c r="H148" s="11"/>
      <c r="I148" s="11" t="s">
        <v>253</v>
      </c>
      <c r="J148" s="11" t="s">
        <v>1310</v>
      </c>
      <c r="K148" s="24"/>
      <c r="BH148" s="17" t="str">
        <f t="shared" si="17"/>
        <v>5-8</v>
      </c>
      <c r="BI148" s="41" t="str">
        <f t="shared" si="18"/>
        <v>41-60  users per month</v>
      </c>
      <c r="BJ148" s="68">
        <f t="shared" si="20"/>
        <v>5</v>
      </c>
      <c r="BK148" s="68">
        <f t="shared" si="16"/>
        <v>41</v>
      </c>
      <c r="BL148" s="1" t="str">
        <f t="shared" si="19"/>
        <v>flow cytometry</v>
      </c>
      <c r="BM148" s="56" t="str">
        <f t="shared" si="15"/>
        <v>both</v>
      </c>
    </row>
    <row r="149" spans="1:65" s="1" customFormat="1" ht="38.25" x14ac:dyDescent="0.2">
      <c r="A149" s="1">
        <v>148</v>
      </c>
      <c r="B149" s="11" t="s">
        <v>107</v>
      </c>
      <c r="C149" s="11"/>
      <c r="D149" s="24"/>
      <c r="E149" s="24"/>
      <c r="F149" s="11" t="s">
        <v>1309</v>
      </c>
      <c r="G149" s="11" t="s">
        <v>108</v>
      </c>
      <c r="H149" s="11" t="s">
        <v>2008</v>
      </c>
      <c r="I149" s="11" t="s">
        <v>87</v>
      </c>
      <c r="J149" s="11" t="s">
        <v>1766</v>
      </c>
      <c r="K149" s="24"/>
      <c r="BH149" s="17" t="str">
        <f t="shared" si="17"/>
        <v>1-4</v>
      </c>
      <c r="BI149" s="41" t="str">
        <f t="shared" si="18"/>
        <v>61-80  users per month</v>
      </c>
      <c r="BJ149" s="68">
        <f t="shared" si="20"/>
        <v>1</v>
      </c>
      <c r="BK149" s="68">
        <f t="shared" si="16"/>
        <v>61</v>
      </c>
      <c r="BL149" s="1" t="str">
        <f t="shared" si="19"/>
        <v>microscopy</v>
      </c>
      <c r="BM149" s="56" t="str">
        <f t="shared" si="15"/>
        <v>user</v>
      </c>
    </row>
    <row r="150" spans="1:65" s="1" customFormat="1" ht="25.5" x14ac:dyDescent="0.2">
      <c r="A150" s="1">
        <v>149</v>
      </c>
      <c r="B150" s="11" t="s">
        <v>630</v>
      </c>
      <c r="C150" s="11"/>
      <c r="D150" s="24"/>
      <c r="E150" s="24"/>
      <c r="F150" s="11" t="s">
        <v>1319</v>
      </c>
      <c r="G150" s="11" t="s">
        <v>86</v>
      </c>
      <c r="H150" s="11"/>
      <c r="I150" s="11" t="s">
        <v>87</v>
      </c>
      <c r="J150" s="11" t="s">
        <v>1296</v>
      </c>
      <c r="K150" s="24"/>
      <c r="BH150" s="17" t="str">
        <f t="shared" si="17"/>
        <v>1-4</v>
      </c>
      <c r="BI150" s="41" t="str">
        <f t="shared" si="18"/>
        <v>1-20  users per month</v>
      </c>
      <c r="BJ150" s="68">
        <f t="shared" si="20"/>
        <v>1</v>
      </c>
      <c r="BK150" s="68">
        <f t="shared" si="16"/>
        <v>1</v>
      </c>
      <c r="BL150" s="1" t="str">
        <f t="shared" si="19"/>
        <v>NMR</v>
      </c>
      <c r="BM150" s="56" t="str">
        <f t="shared" si="15"/>
        <v>both</v>
      </c>
    </row>
    <row r="151" spans="1:65" s="1" customFormat="1" ht="25.5" x14ac:dyDescent="0.2">
      <c r="A151" s="1">
        <v>150</v>
      </c>
      <c r="B151" s="11" t="s">
        <v>107</v>
      </c>
      <c r="C151" s="11"/>
      <c r="D151" s="24"/>
      <c r="E151" s="24"/>
      <c r="F151" s="11" t="s">
        <v>1319</v>
      </c>
      <c r="G151" s="11" t="s">
        <v>106</v>
      </c>
      <c r="H151" s="11"/>
      <c r="I151" s="11" t="s">
        <v>87</v>
      </c>
      <c r="J151" s="11" t="s">
        <v>1296</v>
      </c>
      <c r="K151" s="24"/>
      <c r="BH151" s="17" t="str">
        <f t="shared" si="17"/>
        <v>1-4</v>
      </c>
      <c r="BI151" s="41" t="str">
        <f t="shared" si="18"/>
        <v>1-20  users per month</v>
      </c>
      <c r="BJ151" s="68">
        <f t="shared" si="20"/>
        <v>1</v>
      </c>
      <c r="BK151" s="68">
        <f t="shared" si="16"/>
        <v>1</v>
      </c>
      <c r="BL151" s="1" t="str">
        <f t="shared" si="19"/>
        <v>microscopy</v>
      </c>
      <c r="BM151" s="56" t="str">
        <f t="shared" si="15"/>
        <v>both</v>
      </c>
    </row>
    <row r="152" spans="1:65" s="1" customFormat="1" ht="38.25" x14ac:dyDescent="0.2">
      <c r="A152" s="1">
        <v>151</v>
      </c>
      <c r="B152" s="33" t="s">
        <v>105</v>
      </c>
      <c r="C152" s="11"/>
      <c r="D152" s="33"/>
      <c r="E152" s="33"/>
      <c r="F152" s="33" t="s">
        <v>1319</v>
      </c>
      <c r="G152" s="33" t="s">
        <v>618</v>
      </c>
      <c r="H152" s="33"/>
      <c r="I152" s="33" t="s">
        <v>87</v>
      </c>
      <c r="J152" s="33" t="s">
        <v>1320</v>
      </c>
      <c r="K152" s="24"/>
      <c r="BH152" s="17" t="str">
        <f t="shared" si="17"/>
        <v>1-4</v>
      </c>
      <c r="BI152" s="41" t="str">
        <f t="shared" si="18"/>
        <v>81-100  users per month</v>
      </c>
      <c r="BJ152" s="68">
        <f t="shared" si="20"/>
        <v>1</v>
      </c>
      <c r="BK152" s="68">
        <f t="shared" si="16"/>
        <v>81</v>
      </c>
      <c r="BL152" s="1" t="str">
        <f t="shared" si="19"/>
        <v>flow cytometry</v>
      </c>
      <c r="BM152" s="56" t="str">
        <f t="shared" si="15"/>
        <v>both</v>
      </c>
    </row>
    <row r="153" spans="1:65" s="1" customFormat="1" ht="25.5" x14ac:dyDescent="0.2">
      <c r="A153" s="1">
        <v>152</v>
      </c>
      <c r="B153" s="11" t="s">
        <v>105</v>
      </c>
      <c r="C153" s="11"/>
      <c r="D153" s="24"/>
      <c r="E153" s="24"/>
      <c r="F153" s="11" t="s">
        <v>1319</v>
      </c>
      <c r="G153" s="11" t="s">
        <v>618</v>
      </c>
      <c r="H153" s="11"/>
      <c r="I153" s="11" t="s">
        <v>87</v>
      </c>
      <c r="J153" s="11" t="s">
        <v>1296</v>
      </c>
      <c r="K153" s="24"/>
      <c r="BH153" s="17" t="str">
        <f t="shared" si="17"/>
        <v>1-4</v>
      </c>
      <c r="BI153" s="41" t="str">
        <f t="shared" si="18"/>
        <v>1-20  users per month</v>
      </c>
      <c r="BJ153" s="68">
        <f t="shared" si="20"/>
        <v>1</v>
      </c>
      <c r="BK153" s="68">
        <f t="shared" si="16"/>
        <v>1</v>
      </c>
      <c r="BL153" s="1" t="str">
        <f t="shared" si="19"/>
        <v>flow cytometry</v>
      </c>
      <c r="BM153" s="56" t="str">
        <f t="shared" si="15"/>
        <v>both</v>
      </c>
    </row>
    <row r="154" spans="1:65" s="1" customFormat="1" ht="38.25" x14ac:dyDescent="0.2">
      <c r="A154" s="1">
        <v>153</v>
      </c>
      <c r="B154" s="11" t="s">
        <v>161</v>
      </c>
      <c r="C154" s="11"/>
      <c r="D154" s="24"/>
      <c r="E154" s="24"/>
      <c r="F154" s="11" t="s">
        <v>1294</v>
      </c>
      <c r="G154" s="11" t="s">
        <v>618</v>
      </c>
      <c r="H154" s="11"/>
      <c r="I154" s="11" t="s">
        <v>87</v>
      </c>
      <c r="J154" s="11" t="s">
        <v>1358</v>
      </c>
      <c r="K154" s="24"/>
      <c r="BH154" s="17" t="str">
        <f t="shared" si="17"/>
        <v>1-4</v>
      </c>
      <c r="BI154" s="41" t="str">
        <f t="shared" si="18"/>
        <v>21-40  users per month</v>
      </c>
      <c r="BJ154" s="68">
        <f t="shared" si="20"/>
        <v>1</v>
      </c>
      <c r="BK154" s="68">
        <f t="shared" si="16"/>
        <v>21</v>
      </c>
      <c r="BL154" s="1" t="str">
        <f t="shared" si="19"/>
        <v>proteomics</v>
      </c>
      <c r="BM154" s="56" t="str">
        <f t="shared" si="15"/>
        <v>staff</v>
      </c>
    </row>
    <row r="155" spans="1:65" s="1" customFormat="1" ht="25.5" x14ac:dyDescent="0.2">
      <c r="A155" s="1">
        <v>154</v>
      </c>
      <c r="B155" s="11" t="s">
        <v>105</v>
      </c>
      <c r="C155" s="11"/>
      <c r="D155" s="24"/>
      <c r="E155" s="24"/>
      <c r="F155" s="11" t="s">
        <v>1319</v>
      </c>
      <c r="G155" s="11" t="s">
        <v>106</v>
      </c>
      <c r="H155" s="11"/>
      <c r="I155" s="11" t="s">
        <v>253</v>
      </c>
      <c r="J155" s="11" t="s">
        <v>1296</v>
      </c>
      <c r="K155" s="24"/>
      <c r="BH155" s="17" t="str">
        <f t="shared" si="17"/>
        <v>5-8</v>
      </c>
      <c r="BI155" s="41" t="str">
        <f t="shared" si="18"/>
        <v>1-20  users per month</v>
      </c>
      <c r="BJ155" s="68">
        <f t="shared" si="20"/>
        <v>5</v>
      </c>
      <c r="BK155" s="68">
        <f t="shared" si="16"/>
        <v>1</v>
      </c>
      <c r="BL155" s="1" t="str">
        <f t="shared" si="19"/>
        <v>flow cytometry</v>
      </c>
      <c r="BM155" s="56" t="str">
        <f t="shared" si="15"/>
        <v>both</v>
      </c>
    </row>
    <row r="156" spans="1:65" s="1" customFormat="1" ht="25.5" x14ac:dyDescent="0.2">
      <c r="A156" s="1">
        <v>155</v>
      </c>
      <c r="B156" s="11" t="s">
        <v>105</v>
      </c>
      <c r="C156" s="11"/>
      <c r="D156" s="24"/>
      <c r="E156" s="24"/>
      <c r="F156" s="11" t="s">
        <v>1319</v>
      </c>
      <c r="G156" s="11" t="s">
        <v>86</v>
      </c>
      <c r="H156" s="11"/>
      <c r="I156" s="11" t="s">
        <v>87</v>
      </c>
      <c r="J156" s="11" t="s">
        <v>1296</v>
      </c>
      <c r="K156" s="24"/>
      <c r="BH156" s="17" t="str">
        <f t="shared" si="17"/>
        <v>1-4</v>
      </c>
      <c r="BI156" s="41" t="str">
        <f t="shared" si="18"/>
        <v>1-20  users per month</v>
      </c>
      <c r="BJ156" s="68">
        <f t="shared" si="20"/>
        <v>1</v>
      </c>
      <c r="BK156" s="68">
        <f t="shared" si="16"/>
        <v>1</v>
      </c>
      <c r="BL156" s="1" t="str">
        <f t="shared" si="19"/>
        <v>flow cytometry</v>
      </c>
      <c r="BM156" s="56" t="str">
        <f t="shared" si="15"/>
        <v>both</v>
      </c>
    </row>
    <row r="157" spans="1:65" s="1" customFormat="1" ht="51" x14ac:dyDescent="0.2">
      <c r="A157" s="1">
        <v>156</v>
      </c>
      <c r="B157" s="11" t="s">
        <v>107</v>
      </c>
      <c r="C157" s="11"/>
      <c r="D157" s="24"/>
      <c r="E157" s="24"/>
      <c r="F157" s="11" t="s">
        <v>1319</v>
      </c>
      <c r="G157" s="11" t="s">
        <v>108</v>
      </c>
      <c r="H157" s="11" t="s">
        <v>2009</v>
      </c>
      <c r="I157" s="11" t="s">
        <v>87</v>
      </c>
      <c r="J157" s="11" t="s">
        <v>1310</v>
      </c>
      <c r="K157" s="24"/>
      <c r="BH157" s="17" t="str">
        <f t="shared" si="17"/>
        <v>1-4</v>
      </c>
      <c r="BI157" s="41" t="str">
        <f t="shared" si="18"/>
        <v>41-60  users per month</v>
      </c>
      <c r="BJ157" s="68">
        <f t="shared" si="20"/>
        <v>1</v>
      </c>
      <c r="BK157" s="68">
        <f t="shared" si="16"/>
        <v>41</v>
      </c>
      <c r="BL157" s="1" t="str">
        <f t="shared" si="19"/>
        <v>microscopy</v>
      </c>
      <c r="BM157" s="56" t="str">
        <f t="shared" si="15"/>
        <v>both</v>
      </c>
    </row>
    <row r="158" spans="1:65" s="1" customFormat="1" ht="25.5" x14ac:dyDescent="0.2">
      <c r="A158" s="1">
        <v>157</v>
      </c>
      <c r="B158" s="11" t="s">
        <v>105</v>
      </c>
      <c r="C158" s="11"/>
      <c r="D158" s="24"/>
      <c r="E158" s="24"/>
      <c r="F158" s="11" t="s">
        <v>1319</v>
      </c>
      <c r="G158" s="11" t="s">
        <v>108</v>
      </c>
      <c r="H158" s="11"/>
      <c r="I158" s="11" t="s">
        <v>87</v>
      </c>
      <c r="J158" s="11" t="s">
        <v>1310</v>
      </c>
      <c r="K158" s="24"/>
      <c r="BH158" s="17" t="str">
        <f t="shared" si="17"/>
        <v>1-4</v>
      </c>
      <c r="BI158" s="41" t="str">
        <f t="shared" si="18"/>
        <v>41-60  users per month</v>
      </c>
      <c r="BJ158" s="68">
        <f t="shared" si="20"/>
        <v>1</v>
      </c>
      <c r="BK158" s="68">
        <f t="shared" si="16"/>
        <v>41</v>
      </c>
      <c r="BL158" s="1" t="str">
        <f t="shared" si="19"/>
        <v>flow cytometry</v>
      </c>
      <c r="BM158" s="56" t="str">
        <f t="shared" ref="BM158:BM189" si="21">IF(ISNUMBER(SEARCH("staff",F158)),"staff",IF(ISNUMBER(SEARCH("users work",F158)),"user",IF(ISNUMBER(SEARCH("both",F158)),"both")))</f>
        <v>both</v>
      </c>
    </row>
    <row r="159" spans="1:65" s="1" customFormat="1" ht="25.5" x14ac:dyDescent="0.2">
      <c r="A159" s="1">
        <v>158</v>
      </c>
      <c r="B159" s="11" t="s">
        <v>105</v>
      </c>
      <c r="C159" s="11"/>
      <c r="D159" s="24"/>
      <c r="E159" s="24"/>
      <c r="F159" s="11" t="s">
        <v>1319</v>
      </c>
      <c r="G159" s="11" t="s">
        <v>618</v>
      </c>
      <c r="H159" s="11"/>
      <c r="I159" s="11" t="s">
        <v>87</v>
      </c>
      <c r="J159" s="11" t="s">
        <v>1310</v>
      </c>
      <c r="K159" s="24"/>
      <c r="BH159" s="17" t="str">
        <f t="shared" si="17"/>
        <v>1-4</v>
      </c>
      <c r="BI159" s="41" t="str">
        <f t="shared" si="18"/>
        <v>41-60  users per month</v>
      </c>
      <c r="BJ159" s="68">
        <f t="shared" si="20"/>
        <v>1</v>
      </c>
      <c r="BK159" s="68">
        <f t="shared" si="16"/>
        <v>41</v>
      </c>
      <c r="BL159" s="1" t="str">
        <f t="shared" si="19"/>
        <v>flow cytometry</v>
      </c>
      <c r="BM159" s="56" t="str">
        <f t="shared" si="21"/>
        <v>both</v>
      </c>
    </row>
    <row r="160" spans="1:65" s="1" customFormat="1" ht="25.5" x14ac:dyDescent="0.2">
      <c r="A160" s="1">
        <v>159</v>
      </c>
      <c r="B160" s="11" t="s">
        <v>107</v>
      </c>
      <c r="C160" s="11"/>
      <c r="D160" s="24"/>
      <c r="E160" s="24"/>
      <c r="F160" s="11" t="s">
        <v>1319</v>
      </c>
      <c r="G160" s="11" t="s">
        <v>108</v>
      </c>
      <c r="H160" s="11"/>
      <c r="I160" s="11" t="s">
        <v>253</v>
      </c>
      <c r="J160" s="11" t="s">
        <v>1310</v>
      </c>
      <c r="K160" s="24"/>
      <c r="BH160" s="17" t="str">
        <f t="shared" si="17"/>
        <v>5-8</v>
      </c>
      <c r="BI160" s="41" t="str">
        <f t="shared" si="18"/>
        <v>41-60  users per month</v>
      </c>
      <c r="BJ160" s="68">
        <f t="shared" si="20"/>
        <v>5</v>
      </c>
      <c r="BK160" s="68">
        <f t="shared" si="16"/>
        <v>41</v>
      </c>
      <c r="BL160" s="1" t="str">
        <f t="shared" si="19"/>
        <v>microscopy</v>
      </c>
      <c r="BM160" s="56" t="str">
        <f t="shared" si="21"/>
        <v>both</v>
      </c>
    </row>
    <row r="161" spans="1:65" s="1" customFormat="1" ht="25.5" x14ac:dyDescent="0.2">
      <c r="A161" s="1">
        <v>160</v>
      </c>
      <c r="B161" s="11" t="s">
        <v>363</v>
      </c>
      <c r="C161" s="11"/>
      <c r="D161" s="24"/>
      <c r="E161" s="24"/>
      <c r="F161" s="11" t="s">
        <v>1319</v>
      </c>
      <c r="G161" s="11" t="s">
        <v>106</v>
      </c>
      <c r="H161" s="11"/>
      <c r="I161" s="11" t="s">
        <v>87</v>
      </c>
      <c r="J161" s="11" t="s">
        <v>1358</v>
      </c>
      <c r="K161" s="24"/>
      <c r="BH161" s="17" t="str">
        <f t="shared" si="17"/>
        <v>1-4</v>
      </c>
      <c r="BI161" s="41" t="str">
        <f t="shared" si="18"/>
        <v>21-40  users per month</v>
      </c>
      <c r="BJ161" s="68">
        <f t="shared" si="20"/>
        <v>1</v>
      </c>
      <c r="BK161" s="68">
        <f t="shared" si="16"/>
        <v>21</v>
      </c>
      <c r="BL161" s="1" t="str">
        <f t="shared" si="19"/>
        <v>mouse</v>
      </c>
      <c r="BM161" s="56" t="str">
        <f t="shared" si="21"/>
        <v>both</v>
      </c>
    </row>
    <row r="162" spans="1:65" s="1" customFormat="1" ht="25.5" x14ac:dyDescent="0.2">
      <c r="A162" s="1">
        <v>161</v>
      </c>
      <c r="B162" s="11" t="s">
        <v>309</v>
      </c>
      <c r="C162" s="11"/>
      <c r="D162" s="24"/>
      <c r="E162" s="24"/>
      <c r="F162" s="11" t="s">
        <v>1319</v>
      </c>
      <c r="G162" s="11" t="s">
        <v>106</v>
      </c>
      <c r="H162" s="11"/>
      <c r="I162" s="11" t="s">
        <v>290</v>
      </c>
      <c r="J162" s="11" t="s">
        <v>1358</v>
      </c>
      <c r="K162" s="24"/>
      <c r="BH162" s="17" t="str">
        <f t="shared" si="17"/>
        <v>9-12</v>
      </c>
      <c r="BI162" s="41" t="str">
        <f t="shared" si="18"/>
        <v>21-40  users per month</v>
      </c>
      <c r="BJ162" s="68">
        <f t="shared" si="20"/>
        <v>9</v>
      </c>
      <c r="BK162" s="68">
        <f t="shared" si="16"/>
        <v>21</v>
      </c>
      <c r="BL162" s="1" t="str">
        <f t="shared" si="19"/>
        <v>histology</v>
      </c>
      <c r="BM162" s="56" t="str">
        <f t="shared" si="21"/>
        <v>both</v>
      </c>
    </row>
    <row r="163" spans="1:65" s="1" customFormat="1" ht="38.25" x14ac:dyDescent="0.2">
      <c r="A163" s="1">
        <v>162</v>
      </c>
      <c r="B163" s="11" t="s">
        <v>119</v>
      </c>
      <c r="C163" s="11" t="s">
        <v>2003</v>
      </c>
      <c r="D163" s="24"/>
      <c r="E163" s="24"/>
      <c r="F163" s="11" t="s">
        <v>1294</v>
      </c>
      <c r="G163" s="11" t="s">
        <v>138</v>
      </c>
      <c r="H163" s="11"/>
      <c r="I163" s="11" t="s">
        <v>253</v>
      </c>
      <c r="J163" s="11" t="s">
        <v>1296</v>
      </c>
      <c r="K163" s="24"/>
      <c r="BH163" s="17" t="str">
        <f t="shared" si="17"/>
        <v>5-8</v>
      </c>
      <c r="BI163" s="41" t="str">
        <f t="shared" si="18"/>
        <v>1-20  users per month</v>
      </c>
      <c r="BJ163" s="68">
        <f t="shared" si="20"/>
        <v>5</v>
      </c>
      <c r="BK163" s="68">
        <f t="shared" si="16"/>
        <v>1</v>
      </c>
      <c r="BL163" s="1" t="str">
        <f t="shared" si="19"/>
        <v>Other</v>
      </c>
      <c r="BM163" s="56" t="str">
        <f t="shared" si="21"/>
        <v>staff</v>
      </c>
    </row>
    <row r="164" spans="1:65" s="1" customFormat="1" ht="25.5" x14ac:dyDescent="0.2">
      <c r="A164" s="1">
        <v>163</v>
      </c>
      <c r="B164" s="11" t="s">
        <v>107</v>
      </c>
      <c r="C164" s="11"/>
      <c r="D164" s="24"/>
      <c r="E164" s="24"/>
      <c r="F164" s="11" t="s">
        <v>1319</v>
      </c>
      <c r="G164" s="11" t="s">
        <v>108</v>
      </c>
      <c r="H164" s="11"/>
      <c r="I164" s="11" t="s">
        <v>87</v>
      </c>
      <c r="J164" s="11" t="s">
        <v>1296</v>
      </c>
      <c r="K164" s="24"/>
      <c r="BH164" s="17" t="str">
        <f t="shared" si="17"/>
        <v>1-4</v>
      </c>
      <c r="BI164" s="41" t="str">
        <f t="shared" si="18"/>
        <v>1-20  users per month</v>
      </c>
      <c r="BJ164" s="68">
        <f t="shared" si="20"/>
        <v>1</v>
      </c>
      <c r="BK164" s="68">
        <f t="shared" si="16"/>
        <v>1</v>
      </c>
      <c r="BL164" s="1" t="str">
        <f t="shared" si="19"/>
        <v>microscopy</v>
      </c>
      <c r="BM164" s="56" t="str">
        <f t="shared" si="21"/>
        <v>both</v>
      </c>
    </row>
    <row r="165" spans="1:65" s="1" customFormat="1" ht="25.5" x14ac:dyDescent="0.2">
      <c r="A165" s="1">
        <v>164</v>
      </c>
      <c r="B165" s="11" t="s">
        <v>630</v>
      </c>
      <c r="C165" s="11"/>
      <c r="D165" s="24"/>
      <c r="E165" s="24"/>
      <c r="F165" s="11" t="s">
        <v>1319</v>
      </c>
      <c r="G165" s="11" t="s">
        <v>618</v>
      </c>
      <c r="H165" s="11"/>
      <c r="I165" s="11" t="s">
        <v>87</v>
      </c>
      <c r="J165" s="11" t="s">
        <v>1296</v>
      </c>
      <c r="K165" s="24"/>
      <c r="BH165" s="17" t="str">
        <f t="shared" si="17"/>
        <v>1-4</v>
      </c>
      <c r="BI165" s="41" t="str">
        <f t="shared" si="18"/>
        <v>1-20  users per month</v>
      </c>
      <c r="BJ165" s="68">
        <f t="shared" si="20"/>
        <v>1</v>
      </c>
      <c r="BK165" s="68">
        <f t="shared" si="16"/>
        <v>1</v>
      </c>
      <c r="BL165" s="1" t="str">
        <f t="shared" si="19"/>
        <v>NMR</v>
      </c>
      <c r="BM165" s="56" t="str">
        <f t="shared" si="21"/>
        <v>both</v>
      </c>
    </row>
    <row r="166" spans="1:65" s="1" customFormat="1" ht="114.75" x14ac:dyDescent="0.2">
      <c r="A166" s="1">
        <v>165</v>
      </c>
      <c r="B166" s="11" t="s">
        <v>443</v>
      </c>
      <c r="C166" s="11"/>
      <c r="D166" s="24"/>
      <c r="E166" s="24"/>
      <c r="F166" s="11" t="s">
        <v>1319</v>
      </c>
      <c r="G166" s="11" t="s">
        <v>618</v>
      </c>
      <c r="H166" s="11" t="s">
        <v>2010</v>
      </c>
      <c r="I166" s="11" t="s">
        <v>253</v>
      </c>
      <c r="J166" s="11" t="s">
        <v>1766</v>
      </c>
      <c r="K166" s="24"/>
      <c r="BH166" s="17" t="str">
        <f t="shared" si="17"/>
        <v>5-8</v>
      </c>
      <c r="BI166" s="41" t="str">
        <f t="shared" si="18"/>
        <v>61-80  users per month</v>
      </c>
      <c r="BJ166" s="68">
        <f t="shared" si="20"/>
        <v>5</v>
      </c>
      <c r="BK166" s="68">
        <f t="shared" si="16"/>
        <v>61</v>
      </c>
      <c r="BL166" s="1" t="str">
        <f t="shared" si="19"/>
        <v>metabolomics</v>
      </c>
      <c r="BM166" s="56" t="str">
        <f t="shared" si="21"/>
        <v>both</v>
      </c>
    </row>
    <row r="167" spans="1:65" s="1" customFormat="1" ht="25.5" x14ac:dyDescent="0.2">
      <c r="A167" s="1">
        <v>166</v>
      </c>
      <c r="B167" s="11" t="s">
        <v>105</v>
      </c>
      <c r="C167" s="11"/>
      <c r="D167" s="24"/>
      <c r="E167" s="24"/>
      <c r="F167" s="11" t="s">
        <v>1319</v>
      </c>
      <c r="G167" s="11" t="s">
        <v>618</v>
      </c>
      <c r="H167" s="11"/>
      <c r="I167" s="11" t="s">
        <v>290</v>
      </c>
      <c r="J167" s="11" t="s">
        <v>1310</v>
      </c>
      <c r="K167" s="24"/>
      <c r="BH167" s="17" t="str">
        <f t="shared" si="17"/>
        <v>9-12</v>
      </c>
      <c r="BI167" s="41" t="str">
        <f t="shared" si="18"/>
        <v>41-60  users per month</v>
      </c>
      <c r="BJ167" s="68">
        <f t="shared" si="20"/>
        <v>9</v>
      </c>
      <c r="BK167" s="68">
        <f t="shared" si="16"/>
        <v>41</v>
      </c>
      <c r="BL167" s="1" t="str">
        <f t="shared" si="19"/>
        <v>flow cytometry</v>
      </c>
      <c r="BM167" s="56" t="str">
        <f t="shared" si="21"/>
        <v>both</v>
      </c>
    </row>
    <row r="168" spans="1:65" s="1" customFormat="1" ht="25.5" x14ac:dyDescent="0.2">
      <c r="A168" s="1">
        <v>167</v>
      </c>
      <c r="B168" s="11" t="s">
        <v>105</v>
      </c>
      <c r="C168" s="11"/>
      <c r="D168" s="24"/>
      <c r="E168" s="24"/>
      <c r="F168" s="11" t="s">
        <v>1319</v>
      </c>
      <c r="G168" s="11" t="s">
        <v>86</v>
      </c>
      <c r="H168" s="11"/>
      <c r="I168" s="11" t="s">
        <v>87</v>
      </c>
      <c r="J168" s="11" t="s">
        <v>1766</v>
      </c>
      <c r="K168" s="24"/>
      <c r="BH168" s="17" t="str">
        <f t="shared" si="17"/>
        <v>1-4</v>
      </c>
      <c r="BI168" s="41" t="str">
        <f t="shared" si="18"/>
        <v>61-80  users per month</v>
      </c>
      <c r="BJ168" s="68">
        <f t="shared" si="20"/>
        <v>1</v>
      </c>
      <c r="BK168" s="68">
        <f t="shared" si="16"/>
        <v>61</v>
      </c>
      <c r="BL168" s="1" t="str">
        <f t="shared" si="19"/>
        <v>flow cytometry</v>
      </c>
      <c r="BM168" s="56" t="str">
        <f t="shared" si="21"/>
        <v>both</v>
      </c>
    </row>
    <row r="169" spans="1:65" s="1" customFormat="1" ht="25.5" x14ac:dyDescent="0.2">
      <c r="A169" s="1">
        <v>168</v>
      </c>
      <c r="B169" s="11" t="s">
        <v>336</v>
      </c>
      <c r="C169" s="11"/>
      <c r="D169" s="24"/>
      <c r="E169" s="24"/>
      <c r="F169" s="11" t="s">
        <v>1319</v>
      </c>
      <c r="G169" s="11" t="s">
        <v>86</v>
      </c>
      <c r="H169" s="11"/>
      <c r="I169" s="11" t="s">
        <v>87</v>
      </c>
      <c r="J169" s="11" t="s">
        <v>1296</v>
      </c>
      <c r="K169" s="24"/>
      <c r="BH169" s="17" t="str">
        <f t="shared" si="17"/>
        <v>1-4</v>
      </c>
      <c r="BI169" s="41" t="str">
        <f t="shared" si="18"/>
        <v>1-20  users per month</v>
      </c>
      <c r="BJ169" s="68">
        <f t="shared" si="20"/>
        <v>1</v>
      </c>
      <c r="BK169" s="68">
        <f t="shared" si="16"/>
        <v>1</v>
      </c>
      <c r="BL169" s="1" t="str">
        <f t="shared" si="19"/>
        <v>cell culture</v>
      </c>
      <c r="BM169" s="56" t="str">
        <f t="shared" si="21"/>
        <v>both</v>
      </c>
    </row>
    <row r="170" spans="1:65" s="1" customFormat="1" ht="25.5" x14ac:dyDescent="0.2">
      <c r="A170" s="1">
        <v>169</v>
      </c>
      <c r="B170" s="11" t="s">
        <v>324</v>
      </c>
      <c r="C170" s="11"/>
      <c r="D170" s="24"/>
      <c r="E170" s="24"/>
      <c r="F170" s="11" t="s">
        <v>1319</v>
      </c>
      <c r="G170" s="11" t="s">
        <v>618</v>
      </c>
      <c r="H170" s="11"/>
      <c r="I170" s="11" t="s">
        <v>87</v>
      </c>
      <c r="J170" s="11" t="s">
        <v>1358</v>
      </c>
      <c r="K170" s="24"/>
      <c r="BH170" s="17" t="str">
        <f t="shared" si="17"/>
        <v>1-4</v>
      </c>
      <c r="BI170" s="41" t="str">
        <f t="shared" si="18"/>
        <v>21-40  users per month</v>
      </c>
      <c r="BJ170" s="68">
        <f t="shared" si="20"/>
        <v>1</v>
      </c>
      <c r="BK170" s="68">
        <f t="shared" si="16"/>
        <v>21</v>
      </c>
      <c r="BL170" s="1" t="str">
        <f t="shared" si="19"/>
        <v>genomics</v>
      </c>
      <c r="BM170" s="56" t="str">
        <f t="shared" si="21"/>
        <v>both</v>
      </c>
    </row>
    <row r="171" spans="1:65" s="1" customFormat="1" ht="38.25" x14ac:dyDescent="0.2">
      <c r="A171" s="1">
        <v>170</v>
      </c>
      <c r="B171" s="11" t="s">
        <v>107</v>
      </c>
      <c r="C171" s="11"/>
      <c r="D171" s="24"/>
      <c r="E171" s="24"/>
      <c r="F171" s="11" t="s">
        <v>1309</v>
      </c>
      <c r="G171" s="11" t="s">
        <v>106</v>
      </c>
      <c r="H171" s="11"/>
      <c r="I171" s="11" t="s">
        <v>87</v>
      </c>
      <c r="J171" s="11" t="s">
        <v>1320</v>
      </c>
      <c r="K171" s="24"/>
      <c r="BH171" s="17" t="str">
        <f t="shared" si="17"/>
        <v>1-4</v>
      </c>
      <c r="BI171" s="41" t="str">
        <f t="shared" si="18"/>
        <v>81-100  users per month</v>
      </c>
      <c r="BJ171" s="68">
        <f t="shared" si="20"/>
        <v>1</v>
      </c>
      <c r="BK171" s="68">
        <f t="shared" si="16"/>
        <v>81</v>
      </c>
      <c r="BL171" s="1" t="str">
        <f t="shared" si="19"/>
        <v>microscopy</v>
      </c>
      <c r="BM171" s="56" t="str">
        <f t="shared" si="21"/>
        <v>user</v>
      </c>
    </row>
    <row r="172" spans="1:65" s="1" customFormat="1" ht="25.5" x14ac:dyDescent="0.2">
      <c r="A172" s="1">
        <v>171</v>
      </c>
      <c r="B172" s="11" t="s">
        <v>119</v>
      </c>
      <c r="C172" s="11" t="s">
        <v>2004</v>
      </c>
      <c r="D172" s="24"/>
      <c r="E172" s="24"/>
      <c r="F172" s="11" t="s">
        <v>1319</v>
      </c>
      <c r="G172" s="11" t="s">
        <v>108</v>
      </c>
      <c r="H172" s="11"/>
      <c r="I172" s="11" t="s">
        <v>87</v>
      </c>
      <c r="J172" s="11" t="s">
        <v>1358</v>
      </c>
      <c r="K172" s="24"/>
      <c r="BH172" s="17" t="str">
        <f t="shared" si="17"/>
        <v>1-4</v>
      </c>
      <c r="BI172" s="41" t="str">
        <f t="shared" si="18"/>
        <v>21-40  users per month</v>
      </c>
      <c r="BJ172" s="68">
        <f t="shared" si="20"/>
        <v>1</v>
      </c>
      <c r="BK172" s="68">
        <f t="shared" si="16"/>
        <v>21</v>
      </c>
      <c r="BL172" s="1" t="str">
        <f t="shared" si="19"/>
        <v>Other</v>
      </c>
      <c r="BM172" s="56" t="str">
        <f t="shared" si="21"/>
        <v>both</v>
      </c>
    </row>
    <row r="173" spans="1:65" s="1" customFormat="1" ht="38.25" x14ac:dyDescent="0.2">
      <c r="A173" s="1">
        <v>172</v>
      </c>
      <c r="B173" s="11" t="s">
        <v>161</v>
      </c>
      <c r="C173" s="11"/>
      <c r="D173" s="24"/>
      <c r="E173" s="24"/>
      <c r="F173" s="11" t="s">
        <v>1294</v>
      </c>
      <c r="G173" s="11" t="s">
        <v>618</v>
      </c>
      <c r="H173" s="11"/>
      <c r="I173" s="11" t="s">
        <v>253</v>
      </c>
      <c r="J173" s="11" t="s">
        <v>1358</v>
      </c>
      <c r="K173" s="24"/>
      <c r="BH173" s="17" t="str">
        <f t="shared" si="17"/>
        <v>5-8</v>
      </c>
      <c r="BI173" s="41" t="str">
        <f t="shared" si="18"/>
        <v>21-40  users per month</v>
      </c>
      <c r="BJ173" s="68">
        <f t="shared" si="20"/>
        <v>5</v>
      </c>
      <c r="BK173" s="68">
        <f t="shared" si="16"/>
        <v>21</v>
      </c>
      <c r="BL173" s="1" t="str">
        <f t="shared" si="19"/>
        <v>proteomics</v>
      </c>
      <c r="BM173" s="56" t="str">
        <f t="shared" si="21"/>
        <v>staff</v>
      </c>
    </row>
    <row r="174" spans="1:65" s="1" customFormat="1" ht="25.5" x14ac:dyDescent="0.2">
      <c r="A174" s="1">
        <v>173</v>
      </c>
      <c r="B174" s="11" t="s">
        <v>107</v>
      </c>
      <c r="C174" s="11"/>
      <c r="D174" s="24"/>
      <c r="E174" s="24"/>
      <c r="F174" s="11" t="s">
        <v>1319</v>
      </c>
      <c r="G174" s="11" t="s">
        <v>108</v>
      </c>
      <c r="H174" s="11"/>
      <c r="I174" s="11" t="s">
        <v>253</v>
      </c>
      <c r="J174" s="11" t="s">
        <v>1766</v>
      </c>
      <c r="K174" s="24"/>
      <c r="BH174" s="17" t="str">
        <f t="shared" si="17"/>
        <v>5-8</v>
      </c>
      <c r="BI174" s="41" t="str">
        <f t="shared" si="18"/>
        <v>61-80  users per month</v>
      </c>
      <c r="BJ174" s="68">
        <f t="shared" si="20"/>
        <v>5</v>
      </c>
      <c r="BK174" s="68">
        <f t="shared" si="16"/>
        <v>61</v>
      </c>
      <c r="BL174" s="1" t="str">
        <f t="shared" si="19"/>
        <v>microscopy</v>
      </c>
      <c r="BM174" s="56" t="str">
        <f t="shared" si="21"/>
        <v>both</v>
      </c>
    </row>
    <row r="175" spans="1:65" s="1" customFormat="1" ht="25.5" x14ac:dyDescent="0.2">
      <c r="A175" s="1">
        <v>174</v>
      </c>
      <c r="B175" s="11" t="s">
        <v>105</v>
      </c>
      <c r="C175" s="11"/>
      <c r="D175" s="24"/>
      <c r="E175" s="24"/>
      <c r="F175" s="11" t="s">
        <v>1319</v>
      </c>
      <c r="G175" s="11" t="s">
        <v>618</v>
      </c>
      <c r="H175" s="11"/>
      <c r="I175" s="11" t="s">
        <v>87</v>
      </c>
      <c r="J175" s="11" t="s">
        <v>1296</v>
      </c>
      <c r="K175" s="24"/>
      <c r="BH175" s="17" t="str">
        <f t="shared" si="17"/>
        <v>1-4</v>
      </c>
      <c r="BI175" s="41" t="str">
        <f t="shared" si="18"/>
        <v>1-20  users per month</v>
      </c>
      <c r="BJ175" s="68">
        <f t="shared" si="20"/>
        <v>1</v>
      </c>
      <c r="BK175" s="68">
        <f t="shared" si="16"/>
        <v>1</v>
      </c>
      <c r="BL175" s="1" t="str">
        <f t="shared" si="19"/>
        <v>flow cytometry</v>
      </c>
      <c r="BM175" s="56" t="str">
        <f t="shared" si="21"/>
        <v>both</v>
      </c>
    </row>
    <row r="176" spans="1:65" s="1" customFormat="1" ht="25.5" x14ac:dyDescent="0.2">
      <c r="A176" s="1">
        <v>175</v>
      </c>
      <c r="B176" s="11" t="s">
        <v>324</v>
      </c>
      <c r="C176" s="11"/>
      <c r="D176" s="24"/>
      <c r="E176" s="24"/>
      <c r="F176" s="11" t="s">
        <v>1319</v>
      </c>
      <c r="G176" s="11" t="s">
        <v>108</v>
      </c>
      <c r="H176" s="11"/>
      <c r="I176" s="11" t="s">
        <v>253</v>
      </c>
      <c r="J176" s="11" t="s">
        <v>1296</v>
      </c>
      <c r="K176" s="24"/>
      <c r="BH176" s="17" t="str">
        <f t="shared" si="17"/>
        <v>5-8</v>
      </c>
      <c r="BI176" s="41" t="str">
        <f t="shared" si="18"/>
        <v>1-20  users per month</v>
      </c>
      <c r="BJ176" s="68">
        <f t="shared" si="20"/>
        <v>5</v>
      </c>
      <c r="BK176" s="68">
        <f t="shared" si="16"/>
        <v>1</v>
      </c>
      <c r="BL176" s="1" t="str">
        <f t="shared" si="19"/>
        <v>genomics</v>
      </c>
      <c r="BM176" s="56" t="str">
        <f t="shared" si="21"/>
        <v>both</v>
      </c>
    </row>
    <row r="177" spans="1:65" s="1" customFormat="1" ht="25.5" x14ac:dyDescent="0.2">
      <c r="A177" s="1">
        <v>176</v>
      </c>
      <c r="B177" s="11" t="s">
        <v>107</v>
      </c>
      <c r="C177" s="11"/>
      <c r="D177" s="24"/>
      <c r="E177" s="24"/>
      <c r="F177" s="11" t="s">
        <v>1319</v>
      </c>
      <c r="G177" s="11" t="s">
        <v>108</v>
      </c>
      <c r="H177" s="11"/>
      <c r="I177" s="11" t="s">
        <v>87</v>
      </c>
      <c r="J177" s="11" t="s">
        <v>1310</v>
      </c>
      <c r="K177" s="24"/>
      <c r="BH177" s="17" t="str">
        <f t="shared" si="17"/>
        <v>1-4</v>
      </c>
      <c r="BI177" s="41" t="str">
        <f t="shared" si="18"/>
        <v>41-60  users per month</v>
      </c>
      <c r="BJ177" s="68">
        <f t="shared" si="20"/>
        <v>1</v>
      </c>
      <c r="BK177" s="68">
        <f t="shared" si="16"/>
        <v>41</v>
      </c>
      <c r="BL177" s="1" t="str">
        <f t="shared" si="19"/>
        <v>microscopy</v>
      </c>
      <c r="BM177" s="56" t="str">
        <f t="shared" si="21"/>
        <v>both</v>
      </c>
    </row>
    <row r="178" spans="1:65" s="1" customFormat="1" ht="25.5" x14ac:dyDescent="0.2">
      <c r="A178" s="1">
        <v>177</v>
      </c>
      <c r="B178" s="43" t="s">
        <v>107</v>
      </c>
      <c r="C178" s="11" t="s">
        <v>1485</v>
      </c>
      <c r="D178" s="24"/>
      <c r="E178" s="24"/>
      <c r="F178" s="11" t="s">
        <v>1319</v>
      </c>
      <c r="G178" s="11" t="s">
        <v>618</v>
      </c>
      <c r="H178" s="11"/>
      <c r="I178" s="11" t="s">
        <v>87</v>
      </c>
      <c r="J178" s="11" t="s">
        <v>1296</v>
      </c>
      <c r="K178" s="24"/>
      <c r="BH178" s="17" t="str">
        <f t="shared" si="17"/>
        <v>1-4</v>
      </c>
      <c r="BI178" s="41" t="str">
        <f t="shared" si="18"/>
        <v>1-20  users per month</v>
      </c>
      <c r="BJ178" s="68">
        <f t="shared" si="20"/>
        <v>1</v>
      </c>
      <c r="BK178" s="68">
        <f t="shared" si="16"/>
        <v>1</v>
      </c>
      <c r="BL178" s="1" t="str">
        <f t="shared" si="19"/>
        <v>microscopy</v>
      </c>
      <c r="BM178" s="56" t="str">
        <f t="shared" si="21"/>
        <v>both</v>
      </c>
    </row>
    <row r="179" spans="1:65" s="1" customFormat="1" ht="25.5" x14ac:dyDescent="0.2">
      <c r="A179" s="1">
        <v>178</v>
      </c>
      <c r="B179" s="11" t="s">
        <v>105</v>
      </c>
      <c r="C179" s="11"/>
      <c r="D179" s="24"/>
      <c r="E179" s="24"/>
      <c r="F179" s="11" t="s">
        <v>1319</v>
      </c>
      <c r="G179" s="11" t="s">
        <v>86</v>
      </c>
      <c r="H179" s="11"/>
      <c r="I179" s="11" t="s">
        <v>87</v>
      </c>
      <c r="J179" s="11" t="s">
        <v>1296</v>
      </c>
      <c r="K179" s="24"/>
      <c r="BH179" s="17" t="str">
        <f t="shared" si="17"/>
        <v>1-4</v>
      </c>
      <c r="BI179" s="41" t="str">
        <f t="shared" si="18"/>
        <v>1-20  users per month</v>
      </c>
      <c r="BJ179" s="68">
        <f t="shared" si="20"/>
        <v>1</v>
      </c>
      <c r="BK179" s="68">
        <f t="shared" si="16"/>
        <v>1</v>
      </c>
      <c r="BL179" s="1" t="str">
        <f t="shared" si="19"/>
        <v>flow cytometry</v>
      </c>
      <c r="BM179" s="56" t="str">
        <f t="shared" si="21"/>
        <v>both</v>
      </c>
    </row>
    <row r="180" spans="1:65" s="1" customFormat="1" ht="38.25" x14ac:dyDescent="0.2">
      <c r="A180" s="1">
        <v>179</v>
      </c>
      <c r="B180" s="11" t="s">
        <v>161</v>
      </c>
      <c r="C180" s="11"/>
      <c r="D180" s="24"/>
      <c r="E180" s="24"/>
      <c r="F180" s="11" t="s">
        <v>1294</v>
      </c>
      <c r="G180" s="11" t="s">
        <v>108</v>
      </c>
      <c r="H180" s="11"/>
      <c r="I180" s="11" t="s">
        <v>87</v>
      </c>
      <c r="J180" s="11" t="s">
        <v>1296</v>
      </c>
      <c r="K180" s="24"/>
      <c r="BH180" s="17" t="str">
        <f t="shared" si="17"/>
        <v>1-4</v>
      </c>
      <c r="BI180" s="41" t="str">
        <f t="shared" si="18"/>
        <v>1-20  users per month</v>
      </c>
      <c r="BJ180" s="68">
        <f t="shared" si="20"/>
        <v>1</v>
      </c>
      <c r="BK180" s="68">
        <f t="shared" si="16"/>
        <v>1</v>
      </c>
      <c r="BL180" s="1" t="str">
        <f t="shared" si="19"/>
        <v>proteomics</v>
      </c>
      <c r="BM180" s="56" t="str">
        <f t="shared" si="21"/>
        <v>staff</v>
      </c>
    </row>
    <row r="181" spans="1:65" s="1" customFormat="1" ht="25.5" x14ac:dyDescent="0.2">
      <c r="A181" s="1">
        <v>180</v>
      </c>
      <c r="B181" s="11" t="s">
        <v>107</v>
      </c>
      <c r="C181" s="11"/>
      <c r="D181" s="24"/>
      <c r="E181" s="24"/>
      <c r="F181" s="11" t="s">
        <v>1319</v>
      </c>
      <c r="G181" s="11" t="s">
        <v>618</v>
      </c>
      <c r="H181" s="11"/>
      <c r="I181" s="11" t="s">
        <v>87</v>
      </c>
      <c r="J181" s="11" t="s">
        <v>1358</v>
      </c>
      <c r="K181" s="24"/>
      <c r="BH181" s="17" t="str">
        <f t="shared" si="17"/>
        <v>1-4</v>
      </c>
      <c r="BI181" s="41" t="str">
        <f t="shared" si="18"/>
        <v>21-40  users per month</v>
      </c>
      <c r="BJ181" s="68">
        <f t="shared" si="20"/>
        <v>1</v>
      </c>
      <c r="BK181" s="68">
        <f t="shared" si="16"/>
        <v>21</v>
      </c>
      <c r="BL181" s="1" t="str">
        <f t="shared" si="19"/>
        <v>microscopy</v>
      </c>
      <c r="BM181" s="56" t="str">
        <f t="shared" si="21"/>
        <v>both</v>
      </c>
    </row>
    <row r="182" spans="1:65" s="1" customFormat="1" ht="38.25" x14ac:dyDescent="0.2">
      <c r="A182" s="1">
        <v>181</v>
      </c>
      <c r="B182" s="39" t="s">
        <v>377</v>
      </c>
      <c r="C182" s="11" t="s">
        <v>2005</v>
      </c>
      <c r="D182" s="24"/>
      <c r="E182" s="24"/>
      <c r="F182" s="11" t="s">
        <v>1294</v>
      </c>
      <c r="G182" s="11" t="s">
        <v>138</v>
      </c>
      <c r="H182" s="11" t="s">
        <v>2011</v>
      </c>
      <c r="I182" s="11" t="s">
        <v>87</v>
      </c>
      <c r="J182" s="11" t="s">
        <v>1296</v>
      </c>
      <c r="K182" s="24"/>
      <c r="BH182" s="17" t="str">
        <f t="shared" si="17"/>
        <v>1-4</v>
      </c>
      <c r="BI182" s="41" t="str">
        <f t="shared" si="18"/>
        <v>1-20  users per month</v>
      </c>
      <c r="BJ182" s="68">
        <f t="shared" si="20"/>
        <v>1</v>
      </c>
      <c r="BK182" s="68">
        <f t="shared" si="16"/>
        <v>1</v>
      </c>
      <c r="BL182" s="1" t="str">
        <f t="shared" si="19"/>
        <v>protein expression</v>
      </c>
      <c r="BM182" s="56" t="str">
        <f t="shared" si="21"/>
        <v>staff</v>
      </c>
    </row>
    <row r="183" spans="1:65" s="1" customFormat="1" ht="25.5" x14ac:dyDescent="0.2">
      <c r="A183" s="1">
        <v>182</v>
      </c>
      <c r="B183" s="11" t="s">
        <v>324</v>
      </c>
      <c r="C183" s="11"/>
      <c r="D183" s="24"/>
      <c r="E183" s="24"/>
      <c r="F183" s="11" t="s">
        <v>1319</v>
      </c>
      <c r="G183" s="11" t="s">
        <v>618</v>
      </c>
      <c r="H183" s="11"/>
      <c r="I183" s="11" t="s">
        <v>87</v>
      </c>
      <c r="J183" s="11" t="s">
        <v>1296</v>
      </c>
      <c r="K183" s="24"/>
      <c r="BH183" s="17" t="str">
        <f t="shared" si="17"/>
        <v>1-4</v>
      </c>
      <c r="BI183" s="41" t="str">
        <f t="shared" si="18"/>
        <v>1-20  users per month</v>
      </c>
      <c r="BJ183" s="68">
        <f t="shared" si="20"/>
        <v>1</v>
      </c>
      <c r="BK183" s="68">
        <f t="shared" si="16"/>
        <v>1</v>
      </c>
      <c r="BL183" s="1" t="str">
        <f t="shared" si="19"/>
        <v>genomics</v>
      </c>
      <c r="BM183" s="56" t="str">
        <f t="shared" si="21"/>
        <v>both</v>
      </c>
    </row>
    <row r="184" spans="1:65" s="1" customFormat="1" ht="38.25" x14ac:dyDescent="0.2">
      <c r="A184" s="1">
        <v>183</v>
      </c>
      <c r="B184" s="11" t="s">
        <v>161</v>
      </c>
      <c r="C184" s="11"/>
      <c r="D184" s="24"/>
      <c r="E184" s="24"/>
      <c r="F184" s="11" t="s">
        <v>1294</v>
      </c>
      <c r="G184" s="11" t="s">
        <v>618</v>
      </c>
      <c r="H184" s="11"/>
      <c r="I184" s="11" t="s">
        <v>87</v>
      </c>
      <c r="J184" s="11" t="s">
        <v>1296</v>
      </c>
      <c r="K184" s="24"/>
      <c r="BH184" s="17" t="str">
        <f t="shared" si="17"/>
        <v>1-4</v>
      </c>
      <c r="BI184" s="41" t="str">
        <f t="shared" si="18"/>
        <v>1-20  users per month</v>
      </c>
      <c r="BJ184" s="68">
        <f t="shared" si="20"/>
        <v>1</v>
      </c>
      <c r="BK184" s="68">
        <f t="shared" si="16"/>
        <v>1</v>
      </c>
      <c r="BL184" s="1" t="str">
        <f t="shared" si="19"/>
        <v>proteomics</v>
      </c>
      <c r="BM184" s="56" t="str">
        <f t="shared" si="21"/>
        <v>staff</v>
      </c>
    </row>
    <row r="185" spans="1:65" s="1" customFormat="1" ht="25.5" x14ac:dyDescent="0.2">
      <c r="A185" s="1">
        <v>184</v>
      </c>
      <c r="B185" s="11" t="s">
        <v>105</v>
      </c>
      <c r="C185" s="11"/>
      <c r="D185" s="24"/>
      <c r="E185" s="24"/>
      <c r="F185" s="11" t="s">
        <v>1319</v>
      </c>
      <c r="G185" s="11" t="s">
        <v>618</v>
      </c>
      <c r="H185" s="11"/>
      <c r="I185" s="11" t="s">
        <v>87</v>
      </c>
      <c r="J185" s="11" t="s">
        <v>1310</v>
      </c>
      <c r="K185" s="24"/>
      <c r="BH185" s="17" t="str">
        <f t="shared" si="17"/>
        <v>1-4</v>
      </c>
      <c r="BI185" s="41" t="str">
        <f t="shared" si="18"/>
        <v>41-60  users per month</v>
      </c>
      <c r="BJ185" s="68">
        <f t="shared" si="20"/>
        <v>1</v>
      </c>
      <c r="BK185" s="68">
        <f t="shared" si="16"/>
        <v>41</v>
      </c>
      <c r="BL185" s="1" t="str">
        <f t="shared" si="19"/>
        <v>flow cytometry</v>
      </c>
      <c r="BM185" s="56" t="str">
        <f t="shared" si="21"/>
        <v>both</v>
      </c>
    </row>
    <row r="186" spans="1:65" s="1" customFormat="1" ht="38.25" x14ac:dyDescent="0.2">
      <c r="A186" s="1">
        <v>185</v>
      </c>
      <c r="B186" s="11" t="s">
        <v>324</v>
      </c>
      <c r="C186" s="11"/>
      <c r="D186" s="24"/>
      <c r="E186" s="24"/>
      <c r="F186" s="11" t="s">
        <v>1294</v>
      </c>
      <c r="G186" s="11" t="s">
        <v>108</v>
      </c>
      <c r="H186" s="11"/>
      <c r="I186" s="11" t="s">
        <v>195</v>
      </c>
      <c r="J186" s="11" t="s">
        <v>1296</v>
      </c>
      <c r="K186" s="24"/>
      <c r="BH186" s="17" t="str">
        <f t="shared" si="17"/>
        <v>&gt;16</v>
      </c>
      <c r="BI186" s="41" t="str">
        <f t="shared" si="18"/>
        <v>1-20  users per month</v>
      </c>
      <c r="BJ186" s="68">
        <f t="shared" si="20"/>
        <v>17</v>
      </c>
      <c r="BK186" s="68">
        <f t="shared" si="16"/>
        <v>1</v>
      </c>
      <c r="BL186" s="1" t="str">
        <f t="shared" si="19"/>
        <v>genomics</v>
      </c>
      <c r="BM186" s="56" t="str">
        <f t="shared" si="21"/>
        <v>staff</v>
      </c>
    </row>
    <row r="187" spans="1:65" s="1" customFormat="1" ht="38.25" x14ac:dyDescent="0.2">
      <c r="A187" s="1">
        <v>186</v>
      </c>
      <c r="B187" s="11" t="s">
        <v>119</v>
      </c>
      <c r="C187" s="11" t="s">
        <v>2006</v>
      </c>
      <c r="D187" s="24"/>
      <c r="E187" s="24"/>
      <c r="F187" s="11" t="s">
        <v>1294</v>
      </c>
      <c r="G187" s="11" t="s">
        <v>138</v>
      </c>
      <c r="H187" s="11"/>
      <c r="I187" s="11" t="s">
        <v>87</v>
      </c>
      <c r="J187" s="11" t="s">
        <v>1296</v>
      </c>
      <c r="K187" s="24"/>
      <c r="BH187" s="17" t="str">
        <f t="shared" si="17"/>
        <v>1-4</v>
      </c>
      <c r="BI187" s="41" t="str">
        <f t="shared" si="18"/>
        <v>1-20  users per month</v>
      </c>
      <c r="BJ187" s="68">
        <f t="shared" si="20"/>
        <v>1</v>
      </c>
      <c r="BK187" s="68">
        <f t="shared" si="16"/>
        <v>1</v>
      </c>
      <c r="BL187" s="1" t="str">
        <f t="shared" si="19"/>
        <v>Other</v>
      </c>
      <c r="BM187" s="56" t="str">
        <f t="shared" si="21"/>
        <v>staff</v>
      </c>
    </row>
    <row r="188" spans="1:65" s="1" customFormat="1" ht="25.5" x14ac:dyDescent="0.2">
      <c r="A188" s="1">
        <v>187</v>
      </c>
      <c r="B188" s="11" t="s">
        <v>324</v>
      </c>
      <c r="C188" s="11"/>
      <c r="D188" s="24"/>
      <c r="E188" s="24"/>
      <c r="F188" s="11" t="s">
        <v>1319</v>
      </c>
      <c r="G188" s="11" t="s">
        <v>108</v>
      </c>
      <c r="H188" s="11"/>
      <c r="I188" s="11" t="s">
        <v>253</v>
      </c>
      <c r="J188" s="11" t="s">
        <v>1296</v>
      </c>
      <c r="K188" s="24"/>
      <c r="BH188" s="17" t="str">
        <f t="shared" si="17"/>
        <v>5-8</v>
      </c>
      <c r="BI188" s="41" t="str">
        <f t="shared" si="18"/>
        <v>1-20  users per month</v>
      </c>
      <c r="BJ188" s="68">
        <f t="shared" si="20"/>
        <v>5</v>
      </c>
      <c r="BK188" s="68">
        <f t="shared" si="16"/>
        <v>1</v>
      </c>
      <c r="BL188" s="1" t="str">
        <f t="shared" si="19"/>
        <v>genomics</v>
      </c>
      <c r="BM188" s="56" t="str">
        <f t="shared" si="21"/>
        <v>both</v>
      </c>
    </row>
    <row r="189" spans="1:65" s="1" customFormat="1" ht="38.25" x14ac:dyDescent="0.2">
      <c r="A189" s="1">
        <v>188</v>
      </c>
      <c r="B189" s="11" t="s">
        <v>161</v>
      </c>
      <c r="C189" s="11"/>
      <c r="D189" s="24"/>
      <c r="E189" s="24"/>
      <c r="F189" s="11" t="s">
        <v>1294</v>
      </c>
      <c r="G189" s="11" t="s">
        <v>106</v>
      </c>
      <c r="H189" s="11"/>
      <c r="I189" s="11" t="s">
        <v>195</v>
      </c>
      <c r="J189" s="11" t="s">
        <v>1296</v>
      </c>
      <c r="K189" s="24"/>
      <c r="BH189" s="17" t="str">
        <f t="shared" si="17"/>
        <v>&gt;16</v>
      </c>
      <c r="BI189" s="41" t="str">
        <f t="shared" si="18"/>
        <v>1-20  users per month</v>
      </c>
      <c r="BJ189" s="68">
        <f t="shared" si="20"/>
        <v>17</v>
      </c>
      <c r="BK189" s="68">
        <f t="shared" si="16"/>
        <v>1</v>
      </c>
      <c r="BL189" s="1" t="str">
        <f t="shared" si="19"/>
        <v>proteomics</v>
      </c>
      <c r="BM189" s="56" t="str">
        <f t="shared" si="21"/>
        <v>staff</v>
      </c>
    </row>
    <row r="190" spans="1:65" s="1" customFormat="1" ht="38.25" x14ac:dyDescent="0.2">
      <c r="A190" s="1">
        <v>189</v>
      </c>
      <c r="B190" s="11" t="s">
        <v>85</v>
      </c>
      <c r="C190" s="11"/>
      <c r="D190" s="24"/>
      <c r="E190" s="24"/>
      <c r="F190" s="11" t="s">
        <v>1294</v>
      </c>
      <c r="G190" s="11" t="s">
        <v>618</v>
      </c>
      <c r="H190" s="11"/>
      <c r="I190" s="11" t="s">
        <v>87</v>
      </c>
      <c r="J190" s="11" t="s">
        <v>1296</v>
      </c>
      <c r="K190" s="24"/>
      <c r="BH190" s="17" t="str">
        <f t="shared" si="17"/>
        <v>1-4</v>
      </c>
      <c r="BI190" s="41" t="str">
        <f t="shared" si="18"/>
        <v>1-20  users per month</v>
      </c>
      <c r="BJ190" s="68">
        <f t="shared" si="20"/>
        <v>1</v>
      </c>
      <c r="BK190" s="68">
        <f t="shared" si="16"/>
        <v>1</v>
      </c>
      <c r="BL190" s="1" t="str">
        <f t="shared" si="19"/>
        <v>crystallography</v>
      </c>
      <c r="BM190" s="56" t="str">
        <f t="shared" ref="BM190:BM221" si="22">IF(ISNUMBER(SEARCH("staff",F190)),"staff",IF(ISNUMBER(SEARCH("users work",F190)),"user",IF(ISNUMBER(SEARCH("both",F190)),"both")))</f>
        <v>staff</v>
      </c>
    </row>
    <row r="191" spans="1:65" s="1" customFormat="1" ht="25.5" x14ac:dyDescent="0.2">
      <c r="A191" s="1">
        <v>190</v>
      </c>
      <c r="B191" s="21" t="s">
        <v>402</v>
      </c>
      <c r="C191" s="11" t="s">
        <v>402</v>
      </c>
      <c r="D191" s="24"/>
      <c r="E191" s="24"/>
      <c r="F191" s="11" t="s">
        <v>1319</v>
      </c>
      <c r="G191" s="11" t="s">
        <v>618</v>
      </c>
      <c r="H191" s="11"/>
      <c r="I191" s="11" t="s">
        <v>87</v>
      </c>
      <c r="J191" s="11" t="s">
        <v>1296</v>
      </c>
      <c r="K191" s="24"/>
      <c r="BH191" s="17" t="str">
        <f t="shared" si="17"/>
        <v>1-4</v>
      </c>
      <c r="BI191" s="41" t="str">
        <f t="shared" si="18"/>
        <v>1-20  users per month</v>
      </c>
      <c r="BJ191" s="68">
        <f t="shared" si="20"/>
        <v>1</v>
      </c>
      <c r="BK191" s="68">
        <f t="shared" ref="BK191:BK254" si="23">IF(BI191="1-20  users per month",1,IF(BI191="21-40  users per month",21,IF(BI191="41-60  users per month",41,IF(BI191="61-80  users per month",61,IF(BI191="81-100  users per month",81,IF(BI191="&gt; 100  users per month",101))))))</f>
        <v>1</v>
      </c>
      <c r="BL191" s="1" t="str">
        <f t="shared" si="19"/>
        <v>bioinformatics</v>
      </c>
      <c r="BM191" s="56" t="str">
        <f t="shared" si="22"/>
        <v>both</v>
      </c>
    </row>
    <row r="192" spans="1:65" s="1" customFormat="1" ht="38.25" x14ac:dyDescent="0.2">
      <c r="A192" s="1">
        <v>191</v>
      </c>
      <c r="B192" s="11" t="s">
        <v>161</v>
      </c>
      <c r="C192" s="11"/>
      <c r="D192" s="24"/>
      <c r="E192" s="24"/>
      <c r="F192" s="11" t="s">
        <v>1294</v>
      </c>
      <c r="G192" s="11" t="s">
        <v>618</v>
      </c>
      <c r="H192" s="11"/>
      <c r="I192" s="11" t="s">
        <v>87</v>
      </c>
      <c r="J192" s="11" t="s">
        <v>1296</v>
      </c>
      <c r="K192" s="24"/>
      <c r="BH192" s="17" t="str">
        <f t="shared" si="17"/>
        <v>1-4</v>
      </c>
      <c r="BI192" s="41" t="str">
        <f t="shared" si="18"/>
        <v>1-20  users per month</v>
      </c>
      <c r="BJ192" s="68">
        <f t="shared" si="20"/>
        <v>1</v>
      </c>
      <c r="BK192" s="68">
        <f t="shared" si="23"/>
        <v>1</v>
      </c>
      <c r="BL192" s="1" t="str">
        <f t="shared" si="19"/>
        <v>proteomics</v>
      </c>
      <c r="BM192" s="56" t="str">
        <f t="shared" si="22"/>
        <v>staff</v>
      </c>
    </row>
    <row r="193" spans="1:65" s="1" customFormat="1" ht="38.25" x14ac:dyDescent="0.2">
      <c r="A193" s="1">
        <v>192</v>
      </c>
      <c r="B193" s="11" t="s">
        <v>161</v>
      </c>
      <c r="C193" s="11"/>
      <c r="D193" s="24"/>
      <c r="E193" s="24"/>
      <c r="F193" s="11" t="s">
        <v>1294</v>
      </c>
      <c r="G193" s="11" t="s">
        <v>618</v>
      </c>
      <c r="H193" s="11"/>
      <c r="I193" s="11" t="s">
        <v>290</v>
      </c>
      <c r="J193" s="11" t="s">
        <v>1296</v>
      </c>
      <c r="K193" s="24"/>
      <c r="BH193" s="17" t="str">
        <f t="shared" ref="BH193:BH244" si="24">I193</f>
        <v>9-12</v>
      </c>
      <c r="BI193" s="41" t="str">
        <f t="shared" ref="BI193:BI244" si="25">J193</f>
        <v>1-20  users per month</v>
      </c>
      <c r="BJ193" s="68">
        <f t="shared" si="20"/>
        <v>9</v>
      </c>
      <c r="BK193" s="68">
        <f t="shared" si="23"/>
        <v>1</v>
      </c>
      <c r="BL193" s="1" t="str">
        <f t="shared" si="19"/>
        <v>proteomics</v>
      </c>
      <c r="BM193" s="56" t="str">
        <f t="shared" si="22"/>
        <v>staff</v>
      </c>
    </row>
    <row r="194" spans="1:65" s="1" customFormat="1" ht="25.5" x14ac:dyDescent="0.2">
      <c r="A194" s="1">
        <v>193</v>
      </c>
      <c r="B194" s="11" t="s">
        <v>119</v>
      </c>
      <c r="C194" s="11" t="s">
        <v>2007</v>
      </c>
      <c r="D194" s="24"/>
      <c r="E194" s="24"/>
      <c r="F194" s="11" t="s">
        <v>1319</v>
      </c>
      <c r="G194" s="11" t="s">
        <v>618</v>
      </c>
      <c r="H194" s="11"/>
      <c r="I194" s="11" t="s">
        <v>290</v>
      </c>
      <c r="J194" s="11" t="s">
        <v>1296</v>
      </c>
      <c r="K194" s="24"/>
      <c r="BH194" s="17" t="str">
        <f t="shared" si="24"/>
        <v>9-12</v>
      </c>
      <c r="BI194" s="41" t="str">
        <f t="shared" si="25"/>
        <v>1-20  users per month</v>
      </c>
      <c r="BJ194" s="68">
        <f t="shared" si="20"/>
        <v>9</v>
      </c>
      <c r="BK194" s="68">
        <f t="shared" si="23"/>
        <v>1</v>
      </c>
      <c r="BL194" s="1" t="str">
        <f t="shared" ref="BL194:BL244" si="26">B194</f>
        <v>Other</v>
      </c>
      <c r="BM194" s="56" t="str">
        <f t="shared" si="22"/>
        <v>both</v>
      </c>
    </row>
    <row r="195" spans="1:65" s="1" customFormat="1" ht="38.25" x14ac:dyDescent="0.2">
      <c r="A195" s="1">
        <v>194</v>
      </c>
      <c r="B195" s="11" t="s">
        <v>161</v>
      </c>
      <c r="C195" s="11"/>
      <c r="D195" s="24"/>
      <c r="E195" s="24"/>
      <c r="F195" s="11" t="s">
        <v>1294</v>
      </c>
      <c r="G195" s="11" t="s">
        <v>108</v>
      </c>
      <c r="H195" s="11"/>
      <c r="I195" s="11" t="s">
        <v>87</v>
      </c>
      <c r="J195" s="11" t="s">
        <v>1296</v>
      </c>
      <c r="K195" s="24"/>
      <c r="BH195" s="17" t="str">
        <f t="shared" si="24"/>
        <v>1-4</v>
      </c>
      <c r="BI195" s="41" t="str">
        <f t="shared" si="25"/>
        <v>1-20  users per month</v>
      </c>
      <c r="BJ195" s="68">
        <f t="shared" ref="BJ195:BJ258" si="27">IF(BH195="1-4",1,IF(BH195="5-8",5,IF(BH195="9-12",9,IF(BH195="13-16",13,IF(BH195="&gt;16",17)))))</f>
        <v>1</v>
      </c>
      <c r="BK195" s="68">
        <f t="shared" si="23"/>
        <v>1</v>
      </c>
      <c r="BL195" s="1" t="str">
        <f t="shared" si="26"/>
        <v>proteomics</v>
      </c>
      <c r="BM195" s="56" t="str">
        <f t="shared" si="22"/>
        <v>staff</v>
      </c>
    </row>
    <row r="196" spans="1:65" s="1" customFormat="1" ht="25.5" x14ac:dyDescent="0.2">
      <c r="A196" s="1">
        <v>195</v>
      </c>
      <c r="B196" s="44" t="s">
        <v>402</v>
      </c>
      <c r="C196" s="28" t="s">
        <v>402</v>
      </c>
      <c r="D196" s="24"/>
      <c r="E196" s="24"/>
      <c r="F196" s="28" t="s">
        <v>1319</v>
      </c>
      <c r="G196" s="28" t="s">
        <v>108</v>
      </c>
      <c r="H196" s="28"/>
      <c r="I196" s="28" t="s">
        <v>632</v>
      </c>
      <c r="J196" s="28" t="s">
        <v>1766</v>
      </c>
      <c r="K196" s="24"/>
      <c r="BH196" s="17" t="str">
        <f t="shared" si="24"/>
        <v>13-16</v>
      </c>
      <c r="BI196" s="41" t="str">
        <f t="shared" si="25"/>
        <v>61-80  users per month</v>
      </c>
      <c r="BJ196" s="68">
        <f t="shared" si="27"/>
        <v>13</v>
      </c>
      <c r="BK196" s="68">
        <f t="shared" si="23"/>
        <v>61</v>
      </c>
      <c r="BL196" s="1" t="str">
        <f t="shared" si="26"/>
        <v>bioinformatics</v>
      </c>
      <c r="BM196" s="56" t="str">
        <f t="shared" si="22"/>
        <v>both</v>
      </c>
    </row>
    <row r="197" spans="1:65" s="1" customFormat="1" ht="38.25" x14ac:dyDescent="0.2">
      <c r="A197" s="1">
        <v>196</v>
      </c>
      <c r="B197" s="11" t="s">
        <v>161</v>
      </c>
      <c r="C197" s="11"/>
      <c r="D197" s="24"/>
      <c r="E197" s="24"/>
      <c r="F197" s="11" t="s">
        <v>1294</v>
      </c>
      <c r="G197" s="11" t="s">
        <v>618</v>
      </c>
      <c r="H197" s="11"/>
      <c r="I197" s="11" t="s">
        <v>290</v>
      </c>
      <c r="J197" s="11" t="s">
        <v>1358</v>
      </c>
      <c r="K197" s="24"/>
      <c r="BH197" s="17" t="str">
        <f t="shared" si="24"/>
        <v>9-12</v>
      </c>
      <c r="BI197" s="41" t="str">
        <f t="shared" si="25"/>
        <v>21-40  users per month</v>
      </c>
      <c r="BJ197" s="68">
        <f t="shared" si="27"/>
        <v>9</v>
      </c>
      <c r="BK197" s="68">
        <f t="shared" si="23"/>
        <v>21</v>
      </c>
      <c r="BL197" s="1" t="str">
        <f t="shared" si="26"/>
        <v>proteomics</v>
      </c>
      <c r="BM197" s="56" t="str">
        <f t="shared" si="22"/>
        <v>staff</v>
      </c>
    </row>
    <row r="198" spans="1:65" s="1" customFormat="1" ht="25.5" x14ac:dyDescent="0.2">
      <c r="A198" s="1">
        <v>197</v>
      </c>
      <c r="B198" s="33" t="s">
        <v>107</v>
      </c>
      <c r="C198" s="33"/>
      <c r="D198" s="33"/>
      <c r="E198" s="33"/>
      <c r="F198" s="33" t="s">
        <v>1319</v>
      </c>
      <c r="G198" s="33" t="s">
        <v>618</v>
      </c>
      <c r="H198" s="33"/>
      <c r="I198" s="33" t="s">
        <v>253</v>
      </c>
      <c r="J198" s="33" t="s">
        <v>1358</v>
      </c>
      <c r="K198" s="24"/>
      <c r="BH198" s="17" t="str">
        <f t="shared" si="24"/>
        <v>5-8</v>
      </c>
      <c r="BI198" s="41" t="str">
        <f t="shared" si="25"/>
        <v>21-40  users per month</v>
      </c>
      <c r="BJ198" s="68">
        <f t="shared" si="27"/>
        <v>5</v>
      </c>
      <c r="BK198" s="68">
        <f t="shared" si="23"/>
        <v>21</v>
      </c>
      <c r="BL198" s="1" t="str">
        <f t="shared" si="26"/>
        <v>microscopy</v>
      </c>
      <c r="BM198" s="56" t="str">
        <f t="shared" si="22"/>
        <v>both</v>
      </c>
    </row>
    <row r="199" spans="1:65" s="1" customFormat="1" ht="38.25" x14ac:dyDescent="0.2">
      <c r="A199" s="1">
        <v>198</v>
      </c>
      <c r="B199" s="33" t="s">
        <v>107</v>
      </c>
      <c r="C199" s="33"/>
      <c r="D199" s="33"/>
      <c r="E199" s="33"/>
      <c r="F199" s="33" t="s">
        <v>1294</v>
      </c>
      <c r="G199" s="33" t="s">
        <v>108</v>
      </c>
      <c r="H199" s="33"/>
      <c r="I199" s="33" t="s">
        <v>253</v>
      </c>
      <c r="J199" s="33" t="s">
        <v>1375</v>
      </c>
      <c r="K199" s="24"/>
      <c r="BH199" s="17" t="str">
        <f t="shared" si="24"/>
        <v>5-8</v>
      </c>
      <c r="BI199" s="41" t="str">
        <f t="shared" si="25"/>
        <v>&gt; 100  users per month</v>
      </c>
      <c r="BJ199" s="68">
        <f t="shared" si="27"/>
        <v>5</v>
      </c>
      <c r="BK199" s="68">
        <f t="shared" si="23"/>
        <v>101</v>
      </c>
      <c r="BL199" s="1" t="str">
        <f t="shared" si="26"/>
        <v>microscopy</v>
      </c>
      <c r="BM199" s="56" t="str">
        <f t="shared" si="22"/>
        <v>staff</v>
      </c>
    </row>
    <row r="200" spans="1:65" s="1" customFormat="1" ht="38.25" x14ac:dyDescent="0.2">
      <c r="A200" s="1">
        <v>199</v>
      </c>
      <c r="B200" s="11" t="s">
        <v>161</v>
      </c>
      <c r="C200" s="11"/>
      <c r="D200" s="24"/>
      <c r="E200" s="24"/>
      <c r="F200" s="11" t="s">
        <v>1294</v>
      </c>
      <c r="G200" s="11" t="s">
        <v>618</v>
      </c>
      <c r="H200" s="11"/>
      <c r="I200" s="11" t="s">
        <v>87</v>
      </c>
      <c r="J200" s="11" t="s">
        <v>1296</v>
      </c>
      <c r="K200" s="24"/>
      <c r="BH200" s="17" t="str">
        <f t="shared" si="24"/>
        <v>1-4</v>
      </c>
      <c r="BI200" s="41" t="str">
        <f t="shared" si="25"/>
        <v>1-20  users per month</v>
      </c>
      <c r="BJ200" s="68">
        <f t="shared" si="27"/>
        <v>1</v>
      </c>
      <c r="BK200" s="68">
        <f t="shared" si="23"/>
        <v>1</v>
      </c>
      <c r="BL200" s="1" t="str">
        <f t="shared" si="26"/>
        <v>proteomics</v>
      </c>
      <c r="BM200" s="56" t="str">
        <f t="shared" si="22"/>
        <v>staff</v>
      </c>
    </row>
    <row r="201" spans="1:65" s="1" customFormat="1" ht="38.25" x14ac:dyDescent="0.2">
      <c r="A201" s="1">
        <v>200</v>
      </c>
      <c r="B201" s="11" t="s">
        <v>324</v>
      </c>
      <c r="C201" s="11"/>
      <c r="D201" s="24"/>
      <c r="E201" s="24"/>
      <c r="F201" s="11" t="s">
        <v>1294</v>
      </c>
      <c r="G201" s="11" t="s">
        <v>618</v>
      </c>
      <c r="H201" s="11"/>
      <c r="I201" s="11" t="s">
        <v>290</v>
      </c>
      <c r="J201" s="11" t="s">
        <v>1358</v>
      </c>
      <c r="K201" s="24"/>
      <c r="BH201" s="17" t="str">
        <f t="shared" si="24"/>
        <v>9-12</v>
      </c>
      <c r="BI201" s="41" t="str">
        <f t="shared" si="25"/>
        <v>21-40  users per month</v>
      </c>
      <c r="BJ201" s="68">
        <f t="shared" si="27"/>
        <v>9</v>
      </c>
      <c r="BK201" s="68">
        <f t="shared" si="23"/>
        <v>21</v>
      </c>
      <c r="BL201" s="1" t="str">
        <f t="shared" si="26"/>
        <v>genomics</v>
      </c>
      <c r="BM201" s="56" t="str">
        <f t="shared" si="22"/>
        <v>staff</v>
      </c>
    </row>
    <row r="202" spans="1:65" s="1" customFormat="1" ht="25.5" x14ac:dyDescent="0.2">
      <c r="A202" s="1">
        <v>201</v>
      </c>
      <c r="B202" s="11" t="s">
        <v>309</v>
      </c>
      <c r="C202" s="11"/>
      <c r="D202" s="24"/>
      <c r="E202" s="24"/>
      <c r="F202" s="11" t="s">
        <v>1319</v>
      </c>
      <c r="G202" s="11" t="s">
        <v>86</v>
      </c>
      <c r="H202" s="11"/>
      <c r="I202" s="11" t="s">
        <v>87</v>
      </c>
      <c r="J202" s="11" t="s">
        <v>1296</v>
      </c>
      <c r="K202" s="24"/>
      <c r="BH202" s="17" t="str">
        <f t="shared" si="24"/>
        <v>1-4</v>
      </c>
      <c r="BI202" s="41" t="str">
        <f t="shared" si="25"/>
        <v>1-20  users per month</v>
      </c>
      <c r="BJ202" s="68">
        <f t="shared" si="27"/>
        <v>1</v>
      </c>
      <c r="BK202" s="68">
        <f t="shared" si="23"/>
        <v>1</v>
      </c>
      <c r="BL202" s="1" t="str">
        <f t="shared" si="26"/>
        <v>histology</v>
      </c>
      <c r="BM202" s="56" t="str">
        <f t="shared" si="22"/>
        <v>both</v>
      </c>
    </row>
    <row r="203" spans="1:65" s="1" customFormat="1" ht="25.5" x14ac:dyDescent="0.2">
      <c r="A203" s="1">
        <v>202</v>
      </c>
      <c r="B203" s="11" t="s">
        <v>119</v>
      </c>
      <c r="C203" s="11" t="s">
        <v>2546</v>
      </c>
      <c r="D203" s="24"/>
      <c r="E203" s="24"/>
      <c r="F203" s="11" t="s">
        <v>1319</v>
      </c>
      <c r="G203" s="11" t="s">
        <v>108</v>
      </c>
      <c r="H203" s="11" t="s">
        <v>2547</v>
      </c>
      <c r="I203" s="11" t="s">
        <v>87</v>
      </c>
      <c r="J203" s="11" t="s">
        <v>1296</v>
      </c>
      <c r="K203" s="24"/>
      <c r="BH203" s="17" t="str">
        <f t="shared" si="24"/>
        <v>1-4</v>
      </c>
      <c r="BI203" s="41" t="str">
        <f t="shared" si="25"/>
        <v>1-20  users per month</v>
      </c>
      <c r="BJ203" s="68">
        <f t="shared" si="27"/>
        <v>1</v>
      </c>
      <c r="BK203" s="68">
        <f t="shared" si="23"/>
        <v>1</v>
      </c>
      <c r="BL203" s="1" t="str">
        <f t="shared" si="26"/>
        <v>Other</v>
      </c>
      <c r="BM203" s="56" t="str">
        <f t="shared" si="22"/>
        <v>both</v>
      </c>
    </row>
    <row r="204" spans="1:65" s="1" customFormat="1" ht="38.25" x14ac:dyDescent="0.2">
      <c r="A204" s="1">
        <v>203</v>
      </c>
      <c r="B204" s="11" t="s">
        <v>105</v>
      </c>
      <c r="C204" s="11"/>
      <c r="D204" s="24"/>
      <c r="E204" s="24"/>
      <c r="F204" s="11" t="s">
        <v>1319</v>
      </c>
      <c r="G204" s="11" t="s">
        <v>108</v>
      </c>
      <c r="H204" s="11"/>
      <c r="I204" s="11" t="s">
        <v>87</v>
      </c>
      <c r="J204" s="11" t="s">
        <v>1320</v>
      </c>
      <c r="K204" s="24"/>
      <c r="BH204" s="17" t="str">
        <f t="shared" si="24"/>
        <v>1-4</v>
      </c>
      <c r="BI204" s="41" t="str">
        <f t="shared" si="25"/>
        <v>81-100  users per month</v>
      </c>
      <c r="BJ204" s="68">
        <f t="shared" si="27"/>
        <v>1</v>
      </c>
      <c r="BK204" s="68">
        <f t="shared" si="23"/>
        <v>81</v>
      </c>
      <c r="BL204" s="1" t="str">
        <f t="shared" si="26"/>
        <v>flow cytometry</v>
      </c>
      <c r="BM204" s="56" t="str">
        <f t="shared" si="22"/>
        <v>both</v>
      </c>
    </row>
    <row r="205" spans="1:65" s="1" customFormat="1" ht="25.5" x14ac:dyDescent="0.2">
      <c r="A205" s="1">
        <v>204</v>
      </c>
      <c r="B205" s="11" t="s">
        <v>105</v>
      </c>
      <c r="C205" s="11"/>
      <c r="D205" s="24"/>
      <c r="E205" s="24"/>
      <c r="F205" s="11" t="s">
        <v>1319</v>
      </c>
      <c r="G205" s="11" t="s">
        <v>86</v>
      </c>
      <c r="H205" s="11"/>
      <c r="I205" s="11" t="s">
        <v>87</v>
      </c>
      <c r="J205" s="11" t="s">
        <v>1310</v>
      </c>
      <c r="K205" s="24"/>
      <c r="BH205" s="17" t="str">
        <f t="shared" si="24"/>
        <v>1-4</v>
      </c>
      <c r="BI205" s="41" t="str">
        <f t="shared" si="25"/>
        <v>41-60  users per month</v>
      </c>
      <c r="BJ205" s="68">
        <f t="shared" si="27"/>
        <v>1</v>
      </c>
      <c r="BK205" s="68">
        <f t="shared" si="23"/>
        <v>41</v>
      </c>
      <c r="BL205" s="1" t="str">
        <f t="shared" si="26"/>
        <v>flow cytometry</v>
      </c>
      <c r="BM205" s="56" t="str">
        <f t="shared" si="22"/>
        <v>both</v>
      </c>
    </row>
    <row r="206" spans="1:65" s="1" customFormat="1" ht="25.5" x14ac:dyDescent="0.2">
      <c r="A206" s="1">
        <v>205</v>
      </c>
      <c r="B206" s="11" t="s">
        <v>363</v>
      </c>
      <c r="C206" s="11"/>
      <c r="D206" s="24"/>
      <c r="E206" s="24"/>
      <c r="F206" s="11" t="s">
        <v>1319</v>
      </c>
      <c r="G206" s="11" t="s">
        <v>618</v>
      </c>
      <c r="H206" s="11"/>
      <c r="I206" s="11" t="s">
        <v>87</v>
      </c>
      <c r="J206" s="11" t="s">
        <v>1296</v>
      </c>
      <c r="K206" s="24"/>
      <c r="BH206" s="17" t="str">
        <f t="shared" si="24"/>
        <v>1-4</v>
      </c>
      <c r="BI206" s="41" t="str">
        <f t="shared" si="25"/>
        <v>1-20  users per month</v>
      </c>
      <c r="BJ206" s="68">
        <f t="shared" si="27"/>
        <v>1</v>
      </c>
      <c r="BK206" s="68">
        <f t="shared" si="23"/>
        <v>1</v>
      </c>
      <c r="BL206" s="1" t="str">
        <f t="shared" si="26"/>
        <v>mouse</v>
      </c>
      <c r="BM206" s="56" t="str">
        <f t="shared" si="22"/>
        <v>both</v>
      </c>
    </row>
    <row r="207" spans="1:65" s="1" customFormat="1" ht="25.5" x14ac:dyDescent="0.2">
      <c r="A207" s="1">
        <v>206</v>
      </c>
      <c r="B207" s="33" t="s">
        <v>161</v>
      </c>
      <c r="C207" s="33"/>
      <c r="D207" s="33"/>
      <c r="E207" s="33"/>
      <c r="F207" s="33" t="s">
        <v>1319</v>
      </c>
      <c r="G207" s="33" t="s">
        <v>618</v>
      </c>
      <c r="H207" s="33"/>
      <c r="I207" s="33" t="s">
        <v>87</v>
      </c>
      <c r="J207" s="33" t="s">
        <v>1296</v>
      </c>
      <c r="K207" s="24"/>
      <c r="BH207" s="17" t="str">
        <f t="shared" si="24"/>
        <v>1-4</v>
      </c>
      <c r="BI207" s="41" t="str">
        <f t="shared" si="25"/>
        <v>1-20  users per month</v>
      </c>
      <c r="BJ207" s="68">
        <f t="shared" si="27"/>
        <v>1</v>
      </c>
      <c r="BK207" s="68">
        <f t="shared" si="23"/>
        <v>1</v>
      </c>
      <c r="BL207" s="1" t="str">
        <f t="shared" si="26"/>
        <v>proteomics</v>
      </c>
      <c r="BM207" s="56" t="str">
        <f t="shared" si="22"/>
        <v>both</v>
      </c>
    </row>
    <row r="208" spans="1:65" s="1" customFormat="1" ht="25.5" x14ac:dyDescent="0.2">
      <c r="A208" s="1">
        <v>207</v>
      </c>
      <c r="B208" s="11" t="s">
        <v>161</v>
      </c>
      <c r="C208" s="11"/>
      <c r="D208" s="24"/>
      <c r="E208" s="24"/>
      <c r="F208" s="11" t="s">
        <v>1319</v>
      </c>
      <c r="G208" s="11" t="s">
        <v>618</v>
      </c>
      <c r="H208" s="11"/>
      <c r="I208" s="11" t="s">
        <v>87</v>
      </c>
      <c r="J208" s="11" t="s">
        <v>1296</v>
      </c>
      <c r="K208" s="24"/>
      <c r="BH208" s="17" t="str">
        <f t="shared" si="24"/>
        <v>1-4</v>
      </c>
      <c r="BI208" s="41" t="str">
        <f t="shared" si="25"/>
        <v>1-20  users per month</v>
      </c>
      <c r="BJ208" s="68">
        <f t="shared" si="27"/>
        <v>1</v>
      </c>
      <c r="BK208" s="68">
        <f t="shared" si="23"/>
        <v>1</v>
      </c>
      <c r="BL208" s="1" t="str">
        <f t="shared" si="26"/>
        <v>proteomics</v>
      </c>
      <c r="BM208" s="56" t="str">
        <f t="shared" si="22"/>
        <v>both</v>
      </c>
    </row>
    <row r="209" spans="1:65" s="1" customFormat="1" ht="38.25" x14ac:dyDescent="0.2">
      <c r="A209" s="1">
        <v>208</v>
      </c>
      <c r="B209" s="11" t="s">
        <v>363</v>
      </c>
      <c r="C209" s="11"/>
      <c r="D209" s="24"/>
      <c r="E209" s="24"/>
      <c r="F209" s="11" t="s">
        <v>1294</v>
      </c>
      <c r="G209" s="11" t="s">
        <v>138</v>
      </c>
      <c r="H209" s="11"/>
      <c r="I209" s="11" t="s">
        <v>87</v>
      </c>
      <c r="J209" s="11" t="s">
        <v>1358</v>
      </c>
      <c r="K209" s="24"/>
      <c r="BH209" s="17" t="str">
        <f t="shared" si="24"/>
        <v>1-4</v>
      </c>
      <c r="BI209" s="41" t="str">
        <f t="shared" si="25"/>
        <v>21-40  users per month</v>
      </c>
      <c r="BJ209" s="68">
        <f t="shared" si="27"/>
        <v>1</v>
      </c>
      <c r="BK209" s="68">
        <f t="shared" si="23"/>
        <v>21</v>
      </c>
      <c r="BL209" s="1" t="str">
        <f t="shared" si="26"/>
        <v>mouse</v>
      </c>
      <c r="BM209" s="56" t="str">
        <f t="shared" si="22"/>
        <v>staff</v>
      </c>
    </row>
    <row r="210" spans="1:65" s="1" customFormat="1" ht="38.25" x14ac:dyDescent="0.2">
      <c r="A210" s="1">
        <v>209</v>
      </c>
      <c r="B210" s="11" t="s">
        <v>161</v>
      </c>
      <c r="C210" s="11"/>
      <c r="D210" s="24"/>
      <c r="E210" s="24"/>
      <c r="F210" s="11" t="s">
        <v>1294</v>
      </c>
      <c r="G210" s="11" t="s">
        <v>108</v>
      </c>
      <c r="H210" s="11"/>
      <c r="I210" s="11" t="s">
        <v>253</v>
      </c>
      <c r="J210" s="11" t="s">
        <v>1296</v>
      </c>
      <c r="K210" s="24"/>
      <c r="BH210" s="17" t="str">
        <f t="shared" si="24"/>
        <v>5-8</v>
      </c>
      <c r="BI210" s="41" t="str">
        <f t="shared" si="25"/>
        <v>1-20  users per month</v>
      </c>
      <c r="BJ210" s="68">
        <f t="shared" si="27"/>
        <v>5</v>
      </c>
      <c r="BK210" s="68">
        <f t="shared" si="23"/>
        <v>1</v>
      </c>
      <c r="BL210" s="1" t="str">
        <f t="shared" si="26"/>
        <v>proteomics</v>
      </c>
      <c r="BM210" s="56" t="str">
        <f t="shared" si="22"/>
        <v>staff</v>
      </c>
    </row>
    <row r="211" spans="1:65" s="1" customFormat="1" ht="25.5" x14ac:dyDescent="0.2">
      <c r="A211" s="1">
        <v>210</v>
      </c>
      <c r="B211" s="11" t="s">
        <v>107</v>
      </c>
      <c r="C211" s="11"/>
      <c r="D211" s="24"/>
      <c r="E211" s="24"/>
      <c r="F211" s="11" t="s">
        <v>1319</v>
      </c>
      <c r="G211" s="11" t="s">
        <v>108</v>
      </c>
      <c r="H211" s="11"/>
      <c r="I211" s="11" t="s">
        <v>632</v>
      </c>
      <c r="J211" s="11" t="s">
        <v>1375</v>
      </c>
      <c r="K211" s="24"/>
      <c r="BH211" s="17" t="str">
        <f t="shared" si="24"/>
        <v>13-16</v>
      </c>
      <c r="BI211" s="41" t="str">
        <f t="shared" si="25"/>
        <v>&gt; 100  users per month</v>
      </c>
      <c r="BJ211" s="68">
        <f t="shared" si="27"/>
        <v>13</v>
      </c>
      <c r="BK211" s="68">
        <f t="shared" si="23"/>
        <v>101</v>
      </c>
      <c r="BL211" s="1" t="str">
        <f t="shared" si="26"/>
        <v>microscopy</v>
      </c>
      <c r="BM211" s="56" t="str">
        <f t="shared" si="22"/>
        <v>both</v>
      </c>
    </row>
    <row r="212" spans="1:65" s="1" customFormat="1" ht="25.5" x14ac:dyDescent="0.2">
      <c r="A212" s="1">
        <v>211</v>
      </c>
      <c r="B212" s="28" t="s">
        <v>161</v>
      </c>
      <c r="C212" s="11"/>
      <c r="D212" s="24"/>
      <c r="E212" s="24"/>
      <c r="F212" s="11" t="s">
        <v>1319</v>
      </c>
      <c r="G212" s="11" t="s">
        <v>618</v>
      </c>
      <c r="H212" s="11"/>
      <c r="I212" s="11" t="s">
        <v>253</v>
      </c>
      <c r="J212" s="11" t="s">
        <v>1358</v>
      </c>
      <c r="K212" s="24"/>
      <c r="BH212" s="17" t="str">
        <f t="shared" si="24"/>
        <v>5-8</v>
      </c>
      <c r="BI212" s="41" t="str">
        <f t="shared" si="25"/>
        <v>21-40  users per month</v>
      </c>
      <c r="BJ212" s="68">
        <f t="shared" si="27"/>
        <v>5</v>
      </c>
      <c r="BK212" s="68">
        <f t="shared" si="23"/>
        <v>21</v>
      </c>
      <c r="BL212" s="1" t="str">
        <f t="shared" si="26"/>
        <v>proteomics</v>
      </c>
      <c r="BM212" s="56" t="str">
        <f t="shared" si="22"/>
        <v>both</v>
      </c>
    </row>
    <row r="213" spans="1:65" s="1" customFormat="1" ht="25.5" x14ac:dyDescent="0.2">
      <c r="A213" s="1">
        <v>212</v>
      </c>
      <c r="B213" s="11" t="s">
        <v>309</v>
      </c>
      <c r="C213" s="11"/>
      <c r="D213" s="24"/>
      <c r="E213" s="24"/>
      <c r="F213" s="11" t="s">
        <v>1319</v>
      </c>
      <c r="G213" s="11" t="s">
        <v>618</v>
      </c>
      <c r="H213" s="11"/>
      <c r="I213" s="11" t="s">
        <v>87</v>
      </c>
      <c r="J213" s="11" t="s">
        <v>1375</v>
      </c>
      <c r="K213" s="24"/>
      <c r="BH213" s="17" t="str">
        <f t="shared" si="24"/>
        <v>1-4</v>
      </c>
      <c r="BI213" s="41" t="str">
        <f t="shared" si="25"/>
        <v>&gt; 100  users per month</v>
      </c>
      <c r="BJ213" s="68">
        <f t="shared" si="27"/>
        <v>1</v>
      </c>
      <c r="BK213" s="68">
        <f t="shared" si="23"/>
        <v>101</v>
      </c>
      <c r="BL213" s="1" t="str">
        <f t="shared" si="26"/>
        <v>histology</v>
      </c>
      <c r="BM213" s="56" t="str">
        <f t="shared" si="22"/>
        <v>both</v>
      </c>
    </row>
    <row r="214" spans="1:65" s="1" customFormat="1" ht="25.5" x14ac:dyDescent="0.2">
      <c r="A214" s="1">
        <v>213</v>
      </c>
      <c r="B214" s="11" t="s">
        <v>105</v>
      </c>
      <c r="C214" s="11"/>
      <c r="D214" s="24"/>
      <c r="E214" s="24"/>
      <c r="F214" s="11" t="s">
        <v>1319</v>
      </c>
      <c r="G214" s="11" t="s">
        <v>618</v>
      </c>
      <c r="H214" s="11"/>
      <c r="I214" s="11" t="s">
        <v>87</v>
      </c>
      <c r="J214" s="11" t="s">
        <v>1766</v>
      </c>
      <c r="K214" s="24"/>
      <c r="BH214" s="17" t="str">
        <f t="shared" si="24"/>
        <v>1-4</v>
      </c>
      <c r="BI214" s="41" t="str">
        <f t="shared" si="25"/>
        <v>61-80  users per month</v>
      </c>
      <c r="BJ214" s="68">
        <f t="shared" si="27"/>
        <v>1</v>
      </c>
      <c r="BK214" s="68">
        <f t="shared" si="23"/>
        <v>61</v>
      </c>
      <c r="BL214" s="1" t="str">
        <f t="shared" si="26"/>
        <v>flow cytometry</v>
      </c>
      <c r="BM214" s="56" t="str">
        <f t="shared" si="22"/>
        <v>both</v>
      </c>
    </row>
    <row r="215" spans="1:65" s="1" customFormat="1" ht="25.5" x14ac:dyDescent="0.2">
      <c r="A215" s="1">
        <v>214</v>
      </c>
      <c r="B215" s="11" t="s">
        <v>105</v>
      </c>
      <c r="C215" s="11"/>
      <c r="D215" s="24"/>
      <c r="E215" s="24"/>
      <c r="F215" s="11" t="s">
        <v>1319</v>
      </c>
      <c r="G215" s="11" t="s">
        <v>618</v>
      </c>
      <c r="H215" s="11"/>
      <c r="I215" s="11" t="s">
        <v>87</v>
      </c>
      <c r="J215" s="11" t="s">
        <v>1358</v>
      </c>
      <c r="K215" s="24"/>
      <c r="BH215" s="17" t="str">
        <f t="shared" si="24"/>
        <v>1-4</v>
      </c>
      <c r="BI215" s="41" t="str">
        <f t="shared" si="25"/>
        <v>21-40  users per month</v>
      </c>
      <c r="BJ215" s="68">
        <f t="shared" si="27"/>
        <v>1</v>
      </c>
      <c r="BK215" s="68">
        <f t="shared" si="23"/>
        <v>21</v>
      </c>
      <c r="BL215" s="1" t="str">
        <f t="shared" si="26"/>
        <v>flow cytometry</v>
      </c>
      <c r="BM215" s="56" t="str">
        <f t="shared" si="22"/>
        <v>both</v>
      </c>
    </row>
    <row r="216" spans="1:65" s="1" customFormat="1" ht="25.5" x14ac:dyDescent="0.2">
      <c r="A216" s="1">
        <v>215</v>
      </c>
      <c r="B216" s="33" t="s">
        <v>119</v>
      </c>
      <c r="C216" s="33" t="s">
        <v>2640</v>
      </c>
      <c r="D216" s="33"/>
      <c r="E216" s="33"/>
      <c r="F216" s="33" t="s">
        <v>1319</v>
      </c>
      <c r="G216" s="33" t="s">
        <v>106</v>
      </c>
      <c r="H216" s="33"/>
      <c r="I216" s="33" t="s">
        <v>195</v>
      </c>
      <c r="J216" s="33" t="s">
        <v>1296</v>
      </c>
      <c r="K216" s="24"/>
      <c r="BH216" s="17" t="str">
        <f t="shared" si="24"/>
        <v>&gt;16</v>
      </c>
      <c r="BI216" s="41" t="str">
        <f t="shared" si="25"/>
        <v>1-20  users per month</v>
      </c>
      <c r="BJ216" s="68">
        <f t="shared" si="27"/>
        <v>17</v>
      </c>
      <c r="BK216" s="68">
        <f t="shared" si="23"/>
        <v>1</v>
      </c>
      <c r="BL216" s="1" t="str">
        <f t="shared" si="26"/>
        <v>Other</v>
      </c>
      <c r="BM216" s="56" t="str">
        <f t="shared" si="22"/>
        <v>both</v>
      </c>
    </row>
    <row r="217" spans="1:65" s="1" customFormat="1" ht="38.25" x14ac:dyDescent="0.2">
      <c r="A217" s="1">
        <v>216</v>
      </c>
      <c r="B217" s="11" t="s">
        <v>324</v>
      </c>
      <c r="C217" s="11"/>
      <c r="D217" s="24"/>
      <c r="E217" s="24"/>
      <c r="F217" s="11" t="s">
        <v>1294</v>
      </c>
      <c r="G217" s="11" t="s">
        <v>108</v>
      </c>
      <c r="H217" s="11"/>
      <c r="I217" s="11" t="s">
        <v>253</v>
      </c>
      <c r="J217" s="11" t="s">
        <v>1320</v>
      </c>
      <c r="K217" s="24"/>
      <c r="BH217" s="17" t="str">
        <f t="shared" si="24"/>
        <v>5-8</v>
      </c>
      <c r="BI217" s="41" t="str">
        <f t="shared" si="25"/>
        <v>81-100  users per month</v>
      </c>
      <c r="BJ217" s="68">
        <f t="shared" si="27"/>
        <v>5</v>
      </c>
      <c r="BK217" s="68">
        <f t="shared" si="23"/>
        <v>81</v>
      </c>
      <c r="BL217" s="1" t="str">
        <f t="shared" si="26"/>
        <v>genomics</v>
      </c>
      <c r="BM217" s="56" t="str">
        <f t="shared" si="22"/>
        <v>staff</v>
      </c>
    </row>
    <row r="218" spans="1:65" s="1" customFormat="1" ht="38.25" x14ac:dyDescent="0.2">
      <c r="A218" s="1">
        <v>217</v>
      </c>
      <c r="B218" s="11" t="s">
        <v>309</v>
      </c>
      <c r="C218" s="11"/>
      <c r="D218" s="24"/>
      <c r="E218" s="24"/>
      <c r="F218" s="11" t="s">
        <v>1294</v>
      </c>
      <c r="G218" s="11" t="s">
        <v>106</v>
      </c>
      <c r="H218" s="11"/>
      <c r="I218" s="11" t="s">
        <v>87</v>
      </c>
      <c r="J218" s="11" t="s">
        <v>1358</v>
      </c>
      <c r="K218" s="24"/>
      <c r="BH218" s="17" t="str">
        <f t="shared" si="24"/>
        <v>1-4</v>
      </c>
      <c r="BI218" s="41" t="str">
        <f t="shared" si="25"/>
        <v>21-40  users per month</v>
      </c>
      <c r="BJ218" s="68">
        <f t="shared" si="27"/>
        <v>1</v>
      </c>
      <c r="BK218" s="68">
        <f t="shared" si="23"/>
        <v>21</v>
      </c>
      <c r="BL218" s="1" t="str">
        <f t="shared" si="26"/>
        <v>histology</v>
      </c>
      <c r="BM218" s="56" t="str">
        <f t="shared" si="22"/>
        <v>staff</v>
      </c>
    </row>
    <row r="219" spans="1:65" s="1" customFormat="1" ht="38.25" x14ac:dyDescent="0.2">
      <c r="A219" s="1">
        <v>218</v>
      </c>
      <c r="B219" s="11" t="s">
        <v>107</v>
      </c>
      <c r="C219" s="11"/>
      <c r="D219" s="24"/>
      <c r="E219" s="24"/>
      <c r="F219" s="11" t="s">
        <v>1319</v>
      </c>
      <c r="G219" s="11" t="s">
        <v>108</v>
      </c>
      <c r="H219" s="11"/>
      <c r="I219" s="11" t="s">
        <v>87</v>
      </c>
      <c r="J219" s="11" t="s">
        <v>1320</v>
      </c>
      <c r="K219" s="24"/>
      <c r="BH219" s="17" t="str">
        <f t="shared" si="24"/>
        <v>1-4</v>
      </c>
      <c r="BI219" s="41" t="str">
        <f t="shared" si="25"/>
        <v>81-100  users per month</v>
      </c>
      <c r="BJ219" s="68">
        <f t="shared" si="27"/>
        <v>1</v>
      </c>
      <c r="BK219" s="68">
        <f t="shared" si="23"/>
        <v>81</v>
      </c>
      <c r="BL219" s="1" t="str">
        <f t="shared" si="26"/>
        <v>microscopy</v>
      </c>
      <c r="BM219" s="56" t="str">
        <f t="shared" si="22"/>
        <v>both</v>
      </c>
    </row>
    <row r="220" spans="1:65" s="1" customFormat="1" ht="38.25" x14ac:dyDescent="0.2">
      <c r="A220" s="1">
        <v>219</v>
      </c>
      <c r="B220" s="11" t="s">
        <v>119</v>
      </c>
      <c r="C220" s="11" t="s">
        <v>2667</v>
      </c>
      <c r="D220" s="24"/>
      <c r="E220" s="24"/>
      <c r="F220" s="11" t="s">
        <v>1294</v>
      </c>
      <c r="G220" s="11" t="s">
        <v>106</v>
      </c>
      <c r="H220" s="11"/>
      <c r="I220" s="11" t="s">
        <v>195</v>
      </c>
      <c r="J220" s="11" t="s">
        <v>1296</v>
      </c>
      <c r="K220" s="24"/>
      <c r="BH220" s="17" t="str">
        <f t="shared" si="24"/>
        <v>&gt;16</v>
      </c>
      <c r="BI220" s="41" t="str">
        <f t="shared" si="25"/>
        <v>1-20  users per month</v>
      </c>
      <c r="BJ220" s="68">
        <f t="shared" si="27"/>
        <v>17</v>
      </c>
      <c r="BK220" s="68">
        <f t="shared" si="23"/>
        <v>1</v>
      </c>
      <c r="BL220" s="1" t="str">
        <f t="shared" si="26"/>
        <v>Other</v>
      </c>
      <c r="BM220" s="56" t="str">
        <f t="shared" si="22"/>
        <v>staff</v>
      </c>
    </row>
    <row r="221" spans="1:65" s="1" customFormat="1" ht="38.25" x14ac:dyDescent="0.2">
      <c r="A221" s="1">
        <v>220</v>
      </c>
      <c r="B221" s="11" t="s">
        <v>630</v>
      </c>
      <c r="C221" s="11"/>
      <c r="D221" s="24"/>
      <c r="E221" s="24"/>
      <c r="F221" s="11" t="s">
        <v>1294</v>
      </c>
      <c r="G221" s="11" t="s">
        <v>86</v>
      </c>
      <c r="H221" s="11"/>
      <c r="I221" s="11" t="s">
        <v>87</v>
      </c>
      <c r="J221" s="11" t="s">
        <v>1296</v>
      </c>
      <c r="K221" s="24"/>
      <c r="BH221" s="17" t="str">
        <f t="shared" si="24"/>
        <v>1-4</v>
      </c>
      <c r="BI221" s="41" t="str">
        <f t="shared" si="25"/>
        <v>1-20  users per month</v>
      </c>
      <c r="BJ221" s="68">
        <f t="shared" si="27"/>
        <v>1</v>
      </c>
      <c r="BK221" s="68">
        <f t="shared" si="23"/>
        <v>1</v>
      </c>
      <c r="BL221" s="1" t="str">
        <f t="shared" si="26"/>
        <v>NMR</v>
      </c>
      <c r="BM221" s="56" t="str">
        <f t="shared" si="22"/>
        <v>staff</v>
      </c>
    </row>
    <row r="222" spans="1:65" s="1" customFormat="1" ht="38.25" x14ac:dyDescent="0.2">
      <c r="A222" s="1">
        <v>221</v>
      </c>
      <c r="B222" s="11" t="s">
        <v>107</v>
      </c>
      <c r="C222" s="11"/>
      <c r="D222" s="24"/>
      <c r="E222" s="24"/>
      <c r="F222" s="11" t="s">
        <v>1309</v>
      </c>
      <c r="G222" s="11" t="s">
        <v>108</v>
      </c>
      <c r="H222" s="11"/>
      <c r="I222" s="11" t="s">
        <v>87</v>
      </c>
      <c r="J222" s="11" t="s">
        <v>1358</v>
      </c>
      <c r="K222" s="24"/>
      <c r="BH222" s="17" t="str">
        <f t="shared" si="24"/>
        <v>1-4</v>
      </c>
      <c r="BI222" s="41" t="str">
        <f t="shared" si="25"/>
        <v>21-40  users per month</v>
      </c>
      <c r="BJ222" s="68">
        <f t="shared" si="27"/>
        <v>1</v>
      </c>
      <c r="BK222" s="68">
        <f t="shared" si="23"/>
        <v>21</v>
      </c>
      <c r="BL222" s="1" t="str">
        <f t="shared" si="26"/>
        <v>microscopy</v>
      </c>
      <c r="BM222" s="56" t="str">
        <f t="shared" ref="BM222:BM244" si="28">IF(ISNUMBER(SEARCH("staff",F222)),"staff",IF(ISNUMBER(SEARCH("users work",F222)),"user",IF(ISNUMBER(SEARCH("both",F222)),"both")))</f>
        <v>user</v>
      </c>
    </row>
    <row r="223" spans="1:65" s="1" customFormat="1" ht="25.5" x14ac:dyDescent="0.2">
      <c r="A223" s="1">
        <v>222</v>
      </c>
      <c r="B223" s="11" t="s">
        <v>107</v>
      </c>
      <c r="C223" s="11"/>
      <c r="D223" s="24"/>
      <c r="E223" s="24"/>
      <c r="F223" s="11" t="s">
        <v>1319</v>
      </c>
      <c r="G223" s="11" t="s">
        <v>618</v>
      </c>
      <c r="H223" s="11"/>
      <c r="I223" s="11" t="s">
        <v>87</v>
      </c>
      <c r="J223" s="11" t="s">
        <v>1358</v>
      </c>
      <c r="K223" s="24"/>
      <c r="BH223" s="17" t="str">
        <f t="shared" si="24"/>
        <v>1-4</v>
      </c>
      <c r="BI223" s="41" t="str">
        <f t="shared" si="25"/>
        <v>21-40  users per month</v>
      </c>
      <c r="BJ223" s="68">
        <f t="shared" si="27"/>
        <v>1</v>
      </c>
      <c r="BK223" s="68">
        <f t="shared" si="23"/>
        <v>21</v>
      </c>
      <c r="BL223" s="1" t="str">
        <f t="shared" si="26"/>
        <v>microscopy</v>
      </c>
      <c r="BM223" s="56" t="str">
        <f t="shared" si="28"/>
        <v>both</v>
      </c>
    </row>
    <row r="224" spans="1:65" s="1" customFormat="1" ht="25.5" x14ac:dyDescent="0.2">
      <c r="A224" s="1">
        <v>223</v>
      </c>
      <c r="B224" s="33" t="s">
        <v>137</v>
      </c>
      <c r="C224" s="33"/>
      <c r="D224" s="33"/>
      <c r="E224" s="33"/>
      <c r="F224" s="33" t="s">
        <v>1319</v>
      </c>
      <c r="G224" s="33" t="s">
        <v>86</v>
      </c>
      <c r="H224" s="33"/>
      <c r="I224" s="33" t="s">
        <v>253</v>
      </c>
      <c r="J224" s="33" t="s">
        <v>1296</v>
      </c>
      <c r="K224" s="24"/>
      <c r="BH224" s="17" t="str">
        <f t="shared" si="24"/>
        <v>5-8</v>
      </c>
      <c r="BI224" s="41" t="str">
        <f t="shared" si="25"/>
        <v>1-20  users per month</v>
      </c>
      <c r="BJ224" s="68">
        <f t="shared" si="27"/>
        <v>5</v>
      </c>
      <c r="BK224" s="68">
        <f t="shared" si="23"/>
        <v>1</v>
      </c>
      <c r="BL224" s="1" t="str">
        <f t="shared" si="26"/>
        <v>pluripotent stem cells</v>
      </c>
      <c r="BM224" s="56" t="str">
        <f t="shared" si="28"/>
        <v>both</v>
      </c>
    </row>
    <row r="225" spans="1:65" s="1" customFormat="1" ht="38.25" x14ac:dyDescent="0.2">
      <c r="A225" s="1">
        <v>224</v>
      </c>
      <c r="B225" s="11" t="s">
        <v>119</v>
      </c>
      <c r="C225" s="11" t="s">
        <v>2695</v>
      </c>
      <c r="D225" s="24"/>
      <c r="E225" s="24"/>
      <c r="F225" s="11" t="s">
        <v>1319</v>
      </c>
      <c r="G225" s="11" t="s">
        <v>86</v>
      </c>
      <c r="H225" s="11" t="s">
        <v>2696</v>
      </c>
      <c r="I225" s="11" t="s">
        <v>87</v>
      </c>
      <c r="J225" s="11" t="s">
        <v>1296</v>
      </c>
      <c r="K225" s="24"/>
      <c r="BH225" s="17" t="str">
        <f t="shared" si="24"/>
        <v>1-4</v>
      </c>
      <c r="BI225" s="41" t="str">
        <f t="shared" si="25"/>
        <v>1-20  users per month</v>
      </c>
      <c r="BJ225" s="68">
        <f t="shared" si="27"/>
        <v>1</v>
      </c>
      <c r="BK225" s="68">
        <f t="shared" si="23"/>
        <v>1</v>
      </c>
      <c r="BL225" s="1" t="str">
        <f t="shared" si="26"/>
        <v>Other</v>
      </c>
      <c r="BM225" s="56" t="str">
        <f t="shared" si="28"/>
        <v>both</v>
      </c>
    </row>
    <row r="226" spans="1:65" s="1" customFormat="1" ht="38.25" x14ac:dyDescent="0.2">
      <c r="A226" s="1">
        <v>225</v>
      </c>
      <c r="B226" s="28" t="s">
        <v>161</v>
      </c>
      <c r="C226" s="11"/>
      <c r="D226" s="24"/>
      <c r="E226" s="24"/>
      <c r="F226" s="11" t="s">
        <v>1294</v>
      </c>
      <c r="G226" s="11" t="s">
        <v>618</v>
      </c>
      <c r="H226" s="11"/>
      <c r="I226" s="11" t="s">
        <v>87</v>
      </c>
      <c r="J226" s="11" t="s">
        <v>1296</v>
      </c>
      <c r="K226" s="24"/>
      <c r="BH226" s="17" t="str">
        <f t="shared" si="24"/>
        <v>1-4</v>
      </c>
      <c r="BI226" s="41" t="str">
        <f t="shared" si="25"/>
        <v>1-20  users per month</v>
      </c>
      <c r="BJ226" s="68">
        <f t="shared" si="27"/>
        <v>1</v>
      </c>
      <c r="BK226" s="68">
        <f t="shared" si="23"/>
        <v>1</v>
      </c>
      <c r="BL226" s="1" t="str">
        <f t="shared" si="26"/>
        <v>proteomics</v>
      </c>
      <c r="BM226" s="56" t="str">
        <f t="shared" si="28"/>
        <v>staff</v>
      </c>
    </row>
    <row r="227" spans="1:65" s="1" customFormat="1" ht="38.25" x14ac:dyDescent="0.2">
      <c r="A227" s="1">
        <v>226</v>
      </c>
      <c r="B227" s="43" t="s">
        <v>324</v>
      </c>
      <c r="C227" s="11" t="s">
        <v>2718</v>
      </c>
      <c r="D227" s="24"/>
      <c r="E227" s="24"/>
      <c r="F227" s="11" t="s">
        <v>1294</v>
      </c>
      <c r="G227" s="11" t="s">
        <v>86</v>
      </c>
      <c r="H227" s="11"/>
      <c r="I227" s="11" t="s">
        <v>253</v>
      </c>
      <c r="J227" s="11" t="s">
        <v>1296</v>
      </c>
      <c r="K227" s="24"/>
      <c r="BH227" s="17" t="str">
        <f t="shared" si="24"/>
        <v>5-8</v>
      </c>
      <c r="BI227" s="41" t="str">
        <f t="shared" si="25"/>
        <v>1-20  users per month</v>
      </c>
      <c r="BJ227" s="68">
        <f t="shared" si="27"/>
        <v>5</v>
      </c>
      <c r="BK227" s="68">
        <f t="shared" si="23"/>
        <v>1</v>
      </c>
      <c r="BL227" s="1" t="str">
        <f t="shared" si="26"/>
        <v>genomics</v>
      </c>
      <c r="BM227" s="56" t="str">
        <f t="shared" si="28"/>
        <v>staff</v>
      </c>
    </row>
    <row r="228" spans="1:65" s="1" customFormat="1" ht="25.5" x14ac:dyDescent="0.2">
      <c r="A228" s="1">
        <v>227</v>
      </c>
      <c r="B228" s="28" t="s">
        <v>377</v>
      </c>
      <c r="C228" s="11"/>
      <c r="D228" s="24"/>
      <c r="E228" s="24"/>
      <c r="F228" s="11" t="s">
        <v>1319</v>
      </c>
      <c r="G228" s="11" t="s">
        <v>618</v>
      </c>
      <c r="H228" s="11"/>
      <c r="I228" s="11" t="s">
        <v>87</v>
      </c>
      <c r="J228" s="11" t="s">
        <v>1296</v>
      </c>
      <c r="K228" s="24"/>
      <c r="BH228" s="17" t="str">
        <f t="shared" si="24"/>
        <v>1-4</v>
      </c>
      <c r="BI228" s="41" t="str">
        <f t="shared" si="25"/>
        <v>1-20  users per month</v>
      </c>
      <c r="BJ228" s="68">
        <f t="shared" si="27"/>
        <v>1</v>
      </c>
      <c r="BK228" s="68">
        <f t="shared" si="23"/>
        <v>1</v>
      </c>
      <c r="BL228" s="1" t="str">
        <f t="shared" si="26"/>
        <v>protein expression</v>
      </c>
      <c r="BM228" s="56" t="str">
        <f t="shared" si="28"/>
        <v>both</v>
      </c>
    </row>
    <row r="229" spans="1:65" s="1" customFormat="1" ht="25.5" x14ac:dyDescent="0.2">
      <c r="A229" s="1">
        <v>228</v>
      </c>
      <c r="B229" s="28" t="s">
        <v>324</v>
      </c>
      <c r="C229" s="11"/>
      <c r="D229" s="24"/>
      <c r="E229" s="24"/>
      <c r="F229" s="11" t="s">
        <v>1319</v>
      </c>
      <c r="G229" s="11" t="s">
        <v>618</v>
      </c>
      <c r="H229" s="11"/>
      <c r="I229" s="11" t="s">
        <v>253</v>
      </c>
      <c r="J229" s="11" t="s">
        <v>1358</v>
      </c>
      <c r="K229" s="24"/>
      <c r="BH229" s="17" t="str">
        <f t="shared" si="24"/>
        <v>5-8</v>
      </c>
      <c r="BI229" s="41" t="str">
        <f t="shared" si="25"/>
        <v>21-40  users per month</v>
      </c>
      <c r="BJ229" s="68">
        <f t="shared" si="27"/>
        <v>5</v>
      </c>
      <c r="BK229" s="68">
        <f t="shared" si="23"/>
        <v>21</v>
      </c>
      <c r="BL229" s="1" t="str">
        <f t="shared" si="26"/>
        <v>genomics</v>
      </c>
      <c r="BM229" s="56" t="str">
        <f t="shared" si="28"/>
        <v>both</v>
      </c>
    </row>
    <row r="230" spans="1:65" s="1" customFormat="1" ht="25.5" x14ac:dyDescent="0.2">
      <c r="A230" s="1">
        <v>229</v>
      </c>
      <c r="B230" s="28" t="s">
        <v>107</v>
      </c>
      <c r="C230" s="11"/>
      <c r="D230" s="24"/>
      <c r="E230" s="24"/>
      <c r="F230" s="11" t="s">
        <v>1319</v>
      </c>
      <c r="G230" s="11" t="s">
        <v>108</v>
      </c>
      <c r="H230" s="11"/>
      <c r="I230" s="11" t="s">
        <v>87</v>
      </c>
      <c r="J230" s="11" t="s">
        <v>1766</v>
      </c>
      <c r="K230" s="24"/>
      <c r="BH230" s="17" t="str">
        <f t="shared" si="24"/>
        <v>1-4</v>
      </c>
      <c r="BI230" s="41" t="str">
        <f t="shared" si="25"/>
        <v>61-80  users per month</v>
      </c>
      <c r="BJ230" s="68">
        <f t="shared" si="27"/>
        <v>1</v>
      </c>
      <c r="BK230" s="68">
        <f t="shared" si="23"/>
        <v>61</v>
      </c>
      <c r="BL230" s="1" t="str">
        <f t="shared" si="26"/>
        <v>microscopy</v>
      </c>
      <c r="BM230" s="56" t="str">
        <f t="shared" si="28"/>
        <v>both</v>
      </c>
    </row>
    <row r="231" spans="1:65" s="1" customFormat="1" ht="25.5" x14ac:dyDescent="0.2">
      <c r="A231" s="1">
        <v>230</v>
      </c>
      <c r="B231" s="28" t="s">
        <v>107</v>
      </c>
      <c r="C231" s="11"/>
      <c r="D231" s="24"/>
      <c r="E231" s="24"/>
      <c r="F231" s="11" t="s">
        <v>1319</v>
      </c>
      <c r="G231" s="11" t="s">
        <v>108</v>
      </c>
      <c r="H231" s="11"/>
      <c r="I231" s="11" t="s">
        <v>87</v>
      </c>
      <c r="J231" s="11" t="s">
        <v>1296</v>
      </c>
      <c r="K231" s="24"/>
      <c r="BH231" s="17" t="str">
        <f t="shared" si="24"/>
        <v>1-4</v>
      </c>
      <c r="BI231" s="41" t="str">
        <f t="shared" si="25"/>
        <v>1-20  users per month</v>
      </c>
      <c r="BJ231" s="68">
        <f t="shared" si="27"/>
        <v>1</v>
      </c>
      <c r="BK231" s="68">
        <f t="shared" si="23"/>
        <v>1</v>
      </c>
      <c r="BL231" s="1" t="str">
        <f t="shared" si="26"/>
        <v>microscopy</v>
      </c>
      <c r="BM231" s="56" t="str">
        <f t="shared" si="28"/>
        <v>both</v>
      </c>
    </row>
    <row r="232" spans="1:65" s="1" customFormat="1" ht="25.5" x14ac:dyDescent="0.2">
      <c r="A232" s="1">
        <v>231</v>
      </c>
      <c r="B232" s="28" t="s">
        <v>105</v>
      </c>
      <c r="C232" s="11"/>
      <c r="D232" s="24"/>
      <c r="E232" s="24"/>
      <c r="F232" s="11" t="s">
        <v>1319</v>
      </c>
      <c r="G232" s="11" t="s">
        <v>618</v>
      </c>
      <c r="H232" s="11"/>
      <c r="I232" s="11" t="s">
        <v>87</v>
      </c>
      <c r="J232" s="11" t="s">
        <v>1375</v>
      </c>
      <c r="K232" s="24"/>
      <c r="BH232" s="17" t="str">
        <f t="shared" si="24"/>
        <v>1-4</v>
      </c>
      <c r="BI232" s="41" t="str">
        <f t="shared" si="25"/>
        <v>&gt; 100  users per month</v>
      </c>
      <c r="BJ232" s="68">
        <f t="shared" si="27"/>
        <v>1</v>
      </c>
      <c r="BK232" s="68">
        <f t="shared" si="23"/>
        <v>101</v>
      </c>
      <c r="BL232" s="1" t="str">
        <f t="shared" si="26"/>
        <v>flow cytometry</v>
      </c>
      <c r="BM232" s="56" t="str">
        <f t="shared" si="28"/>
        <v>both</v>
      </c>
    </row>
    <row r="233" spans="1:65" s="1" customFormat="1" ht="38.25" x14ac:dyDescent="0.2">
      <c r="A233" s="1">
        <v>232</v>
      </c>
      <c r="B233" s="44" t="s">
        <v>105</v>
      </c>
      <c r="C233" s="11" t="s">
        <v>2767</v>
      </c>
      <c r="D233" s="24"/>
      <c r="E233" s="24"/>
      <c r="F233" s="11" t="s">
        <v>1294</v>
      </c>
      <c r="G233" s="11" t="s">
        <v>108</v>
      </c>
      <c r="H233" s="11"/>
      <c r="I233" s="11" t="s">
        <v>87</v>
      </c>
      <c r="J233" s="11" t="s">
        <v>1296</v>
      </c>
      <c r="K233" s="24"/>
      <c r="BH233" s="17" t="str">
        <f t="shared" si="24"/>
        <v>1-4</v>
      </c>
      <c r="BI233" s="41" t="str">
        <f t="shared" si="25"/>
        <v>1-20  users per month</v>
      </c>
      <c r="BJ233" s="68">
        <f t="shared" si="27"/>
        <v>1</v>
      </c>
      <c r="BK233" s="68">
        <f t="shared" si="23"/>
        <v>1</v>
      </c>
      <c r="BL233" s="1" t="str">
        <f t="shared" si="26"/>
        <v>flow cytometry</v>
      </c>
      <c r="BM233" s="56" t="str">
        <f t="shared" si="28"/>
        <v>staff</v>
      </c>
    </row>
    <row r="234" spans="1:65" s="1" customFormat="1" ht="25.5" x14ac:dyDescent="0.2">
      <c r="A234" s="1">
        <v>233</v>
      </c>
      <c r="B234" s="28" t="s">
        <v>630</v>
      </c>
      <c r="C234" s="11"/>
      <c r="D234" s="24"/>
      <c r="E234" s="24"/>
      <c r="F234" s="11" t="s">
        <v>1319</v>
      </c>
      <c r="G234" s="11" t="s">
        <v>618</v>
      </c>
      <c r="H234" s="11"/>
      <c r="I234" s="11" t="s">
        <v>253</v>
      </c>
      <c r="J234" s="11" t="s">
        <v>1358</v>
      </c>
      <c r="K234" s="24"/>
      <c r="BH234" s="17" t="str">
        <f t="shared" si="24"/>
        <v>5-8</v>
      </c>
      <c r="BI234" s="41" t="str">
        <f t="shared" si="25"/>
        <v>21-40  users per month</v>
      </c>
      <c r="BJ234" s="68">
        <f t="shared" si="27"/>
        <v>5</v>
      </c>
      <c r="BK234" s="68">
        <f t="shared" si="23"/>
        <v>21</v>
      </c>
      <c r="BL234" s="1" t="str">
        <f t="shared" si="26"/>
        <v>NMR</v>
      </c>
      <c r="BM234" s="56" t="str">
        <f t="shared" si="28"/>
        <v>both</v>
      </c>
    </row>
    <row r="235" spans="1:65" s="1" customFormat="1" ht="25.5" x14ac:dyDescent="0.2">
      <c r="A235" s="1">
        <v>234</v>
      </c>
      <c r="B235" s="43" t="s">
        <v>363</v>
      </c>
      <c r="C235" s="11" t="s">
        <v>2777</v>
      </c>
      <c r="D235" s="24"/>
      <c r="E235" s="24"/>
      <c r="F235" s="11" t="s">
        <v>1319</v>
      </c>
      <c r="G235" s="11" t="s">
        <v>618</v>
      </c>
      <c r="H235" s="11"/>
      <c r="I235" s="11" t="s">
        <v>253</v>
      </c>
      <c r="J235" s="11" t="s">
        <v>1296</v>
      </c>
      <c r="K235" s="24"/>
      <c r="BH235" s="17" t="str">
        <f t="shared" si="24"/>
        <v>5-8</v>
      </c>
      <c r="BI235" s="41" t="str">
        <f t="shared" si="25"/>
        <v>1-20  users per month</v>
      </c>
      <c r="BJ235" s="68">
        <f t="shared" si="27"/>
        <v>5</v>
      </c>
      <c r="BK235" s="68">
        <f t="shared" si="23"/>
        <v>1</v>
      </c>
      <c r="BL235" s="1" t="str">
        <f t="shared" si="26"/>
        <v>mouse</v>
      </c>
      <c r="BM235" s="56" t="str">
        <f t="shared" si="28"/>
        <v>both</v>
      </c>
    </row>
    <row r="236" spans="1:65" s="1" customFormat="1" ht="38.25" x14ac:dyDescent="0.2">
      <c r="A236" s="1">
        <v>235</v>
      </c>
      <c r="B236" s="28" t="s">
        <v>161</v>
      </c>
      <c r="C236" s="11"/>
      <c r="D236" s="24"/>
      <c r="E236" s="24"/>
      <c r="F236" s="11" t="s">
        <v>1294</v>
      </c>
      <c r="G236" s="11" t="s">
        <v>108</v>
      </c>
      <c r="H236" s="11"/>
      <c r="I236" s="11" t="s">
        <v>253</v>
      </c>
      <c r="J236" s="11" t="s">
        <v>1358</v>
      </c>
      <c r="K236" s="24"/>
      <c r="BH236" s="17" t="str">
        <f t="shared" si="24"/>
        <v>5-8</v>
      </c>
      <c r="BI236" s="41" t="str">
        <f t="shared" si="25"/>
        <v>21-40  users per month</v>
      </c>
      <c r="BJ236" s="68">
        <f t="shared" si="27"/>
        <v>5</v>
      </c>
      <c r="BK236" s="68">
        <f t="shared" si="23"/>
        <v>21</v>
      </c>
      <c r="BL236" s="1" t="str">
        <f t="shared" si="26"/>
        <v>proteomics</v>
      </c>
      <c r="BM236" s="56" t="str">
        <f t="shared" si="28"/>
        <v>staff</v>
      </c>
    </row>
    <row r="237" spans="1:65" s="1" customFormat="1" ht="38.25" x14ac:dyDescent="0.2">
      <c r="A237" s="1">
        <v>236</v>
      </c>
      <c r="B237" s="28" t="s">
        <v>161</v>
      </c>
      <c r="C237" s="11"/>
      <c r="D237" s="24"/>
      <c r="E237" s="24"/>
      <c r="F237" s="11" t="s">
        <v>1294</v>
      </c>
      <c r="G237" s="11" t="s">
        <v>108</v>
      </c>
      <c r="H237" s="11"/>
      <c r="I237" s="11" t="s">
        <v>87</v>
      </c>
      <c r="J237" s="11" t="s">
        <v>1296</v>
      </c>
      <c r="K237" s="24"/>
      <c r="BH237" s="17" t="str">
        <f t="shared" si="24"/>
        <v>1-4</v>
      </c>
      <c r="BI237" s="41" t="str">
        <f t="shared" si="25"/>
        <v>1-20  users per month</v>
      </c>
      <c r="BJ237" s="68">
        <f t="shared" si="27"/>
        <v>1</v>
      </c>
      <c r="BK237" s="68">
        <f t="shared" si="23"/>
        <v>1</v>
      </c>
      <c r="BL237" s="1" t="str">
        <f t="shared" si="26"/>
        <v>proteomics</v>
      </c>
      <c r="BM237" s="56" t="str">
        <f t="shared" si="28"/>
        <v>staff</v>
      </c>
    </row>
    <row r="238" spans="1:65" s="1" customFormat="1" ht="25.5" x14ac:dyDescent="0.2">
      <c r="A238" s="1">
        <v>237</v>
      </c>
      <c r="B238" s="39" t="s">
        <v>161</v>
      </c>
      <c r="C238" s="11" t="s">
        <v>2807</v>
      </c>
      <c r="D238" s="24"/>
      <c r="E238" s="24"/>
      <c r="F238" s="11" t="s">
        <v>1319</v>
      </c>
      <c r="G238" s="11" t="s">
        <v>618</v>
      </c>
      <c r="H238" s="11"/>
      <c r="I238" s="11" t="s">
        <v>87</v>
      </c>
      <c r="J238" s="11" t="s">
        <v>1358</v>
      </c>
      <c r="K238" s="24"/>
      <c r="BH238" s="17" t="str">
        <f t="shared" si="24"/>
        <v>1-4</v>
      </c>
      <c r="BI238" s="41" t="str">
        <f t="shared" si="25"/>
        <v>21-40  users per month</v>
      </c>
      <c r="BJ238" s="68">
        <f t="shared" si="27"/>
        <v>1</v>
      </c>
      <c r="BK238" s="68">
        <f t="shared" si="23"/>
        <v>21</v>
      </c>
      <c r="BL238" s="1" t="str">
        <f t="shared" si="26"/>
        <v>proteomics</v>
      </c>
      <c r="BM238" s="56" t="str">
        <f t="shared" si="28"/>
        <v>both</v>
      </c>
    </row>
    <row r="239" spans="1:65" s="1" customFormat="1" ht="38.25" x14ac:dyDescent="0.2">
      <c r="A239" s="1">
        <v>238</v>
      </c>
      <c r="B239" s="11" t="s">
        <v>107</v>
      </c>
      <c r="C239" s="11"/>
      <c r="D239" s="24"/>
      <c r="E239" s="24"/>
      <c r="F239" s="11" t="s">
        <v>1319</v>
      </c>
      <c r="G239" s="11" t="s">
        <v>618</v>
      </c>
      <c r="H239" s="11"/>
      <c r="I239" s="11" t="s">
        <v>87</v>
      </c>
      <c r="J239" s="11" t="s">
        <v>1320</v>
      </c>
      <c r="K239" s="24"/>
      <c r="BH239" s="17" t="str">
        <f t="shared" si="24"/>
        <v>1-4</v>
      </c>
      <c r="BI239" s="41" t="str">
        <f t="shared" si="25"/>
        <v>81-100  users per month</v>
      </c>
      <c r="BJ239" s="68">
        <f t="shared" si="27"/>
        <v>1</v>
      </c>
      <c r="BK239" s="68">
        <f t="shared" si="23"/>
        <v>81</v>
      </c>
      <c r="BL239" s="1" t="str">
        <f t="shared" si="26"/>
        <v>microscopy</v>
      </c>
      <c r="BM239" s="56" t="str">
        <f t="shared" si="28"/>
        <v>both</v>
      </c>
    </row>
    <row r="240" spans="1:65" s="1" customFormat="1" ht="25.5" x14ac:dyDescent="0.2">
      <c r="A240" s="1">
        <v>239</v>
      </c>
      <c r="B240" s="28" t="s">
        <v>105</v>
      </c>
      <c r="C240" s="28"/>
      <c r="D240" s="24"/>
      <c r="E240" s="24"/>
      <c r="F240" s="28" t="s">
        <v>1319</v>
      </c>
      <c r="G240" s="28" t="s">
        <v>618</v>
      </c>
      <c r="H240" s="28"/>
      <c r="I240" s="28" t="s">
        <v>87</v>
      </c>
      <c r="J240" s="28" t="s">
        <v>1296</v>
      </c>
      <c r="K240" s="24"/>
      <c r="BH240" s="17" t="str">
        <f t="shared" si="24"/>
        <v>1-4</v>
      </c>
      <c r="BI240" s="41" t="str">
        <f t="shared" si="25"/>
        <v>1-20  users per month</v>
      </c>
      <c r="BJ240" s="68">
        <f t="shared" si="27"/>
        <v>1</v>
      </c>
      <c r="BK240" s="68">
        <f t="shared" si="23"/>
        <v>1</v>
      </c>
      <c r="BL240" s="1" t="str">
        <f t="shared" si="26"/>
        <v>flow cytometry</v>
      </c>
      <c r="BM240" s="56" t="str">
        <f t="shared" si="28"/>
        <v>both</v>
      </c>
    </row>
    <row r="241" spans="1:65" s="1" customFormat="1" ht="38.25" x14ac:dyDescent="0.2">
      <c r="A241" s="1">
        <v>240</v>
      </c>
      <c r="B241" s="33" t="s">
        <v>107</v>
      </c>
      <c r="C241" s="33"/>
      <c r="D241" s="24"/>
      <c r="E241" s="24"/>
      <c r="F241" s="33" t="s">
        <v>1294</v>
      </c>
      <c r="G241" s="33" t="s">
        <v>86</v>
      </c>
      <c r="H241" s="33"/>
      <c r="I241" s="33" t="s">
        <v>253</v>
      </c>
      <c r="J241" s="33" t="s">
        <v>1296</v>
      </c>
      <c r="K241" s="24"/>
      <c r="BH241" s="17" t="str">
        <f t="shared" si="24"/>
        <v>5-8</v>
      </c>
      <c r="BI241" s="41" t="str">
        <f t="shared" si="25"/>
        <v>1-20  users per month</v>
      </c>
      <c r="BJ241" s="68">
        <f t="shared" si="27"/>
        <v>5</v>
      </c>
      <c r="BK241" s="68">
        <f t="shared" si="23"/>
        <v>1</v>
      </c>
      <c r="BL241" s="1" t="str">
        <f t="shared" si="26"/>
        <v>microscopy</v>
      </c>
      <c r="BM241" s="56" t="str">
        <f t="shared" si="28"/>
        <v>staff</v>
      </c>
    </row>
    <row r="242" spans="1:65" s="1" customFormat="1" ht="25.5" x14ac:dyDescent="0.2">
      <c r="A242" s="1">
        <v>241</v>
      </c>
      <c r="B242" s="39" t="s">
        <v>324</v>
      </c>
      <c r="C242" s="11" t="s">
        <v>2856</v>
      </c>
      <c r="D242" s="24"/>
      <c r="E242" s="24"/>
      <c r="F242" s="11" t="s">
        <v>1319</v>
      </c>
      <c r="G242" s="11" t="s">
        <v>618</v>
      </c>
      <c r="H242" s="11"/>
      <c r="I242" s="11" t="s">
        <v>87</v>
      </c>
      <c r="J242" s="11" t="s">
        <v>1358</v>
      </c>
      <c r="K242" s="24"/>
      <c r="BH242" s="17" t="str">
        <f t="shared" si="24"/>
        <v>1-4</v>
      </c>
      <c r="BI242" s="41" t="str">
        <f t="shared" si="25"/>
        <v>21-40  users per month</v>
      </c>
      <c r="BJ242" s="68">
        <f t="shared" si="27"/>
        <v>1</v>
      </c>
      <c r="BK242" s="68">
        <f t="shared" si="23"/>
        <v>21</v>
      </c>
      <c r="BL242" s="1" t="str">
        <f t="shared" si="26"/>
        <v>genomics</v>
      </c>
      <c r="BM242" s="56" t="str">
        <f t="shared" si="28"/>
        <v>both</v>
      </c>
    </row>
    <row r="243" spans="1:65" s="1" customFormat="1" ht="25.5" x14ac:dyDescent="0.2">
      <c r="A243" s="1">
        <v>242</v>
      </c>
      <c r="B243" s="11" t="s">
        <v>161</v>
      </c>
      <c r="C243" s="11"/>
      <c r="D243" s="24"/>
      <c r="E243" s="24"/>
      <c r="F243" s="11" t="s">
        <v>1319</v>
      </c>
      <c r="G243" s="11" t="s">
        <v>618</v>
      </c>
      <c r="H243" s="11"/>
      <c r="I243" s="11" t="s">
        <v>87</v>
      </c>
      <c r="J243" s="11" t="s">
        <v>1296</v>
      </c>
      <c r="K243" s="24"/>
      <c r="BH243" s="17" t="str">
        <f t="shared" si="24"/>
        <v>1-4</v>
      </c>
      <c r="BI243" s="41" t="str">
        <f t="shared" si="25"/>
        <v>1-20  users per month</v>
      </c>
      <c r="BJ243" s="68">
        <f t="shared" si="27"/>
        <v>1</v>
      </c>
      <c r="BK243" s="68">
        <f t="shared" si="23"/>
        <v>1</v>
      </c>
      <c r="BL243" s="1" t="str">
        <f t="shared" si="26"/>
        <v>proteomics</v>
      </c>
      <c r="BM243" s="56" t="str">
        <f t="shared" si="28"/>
        <v>both</v>
      </c>
    </row>
    <row r="244" spans="1:65" s="1" customFormat="1" ht="38.25" x14ac:dyDescent="0.2">
      <c r="A244" s="1">
        <v>243</v>
      </c>
      <c r="B244" s="11" t="s">
        <v>324</v>
      </c>
      <c r="C244" s="11"/>
      <c r="D244" s="24"/>
      <c r="E244" s="24"/>
      <c r="F244" s="11" t="s">
        <v>1294</v>
      </c>
      <c r="G244" s="11" t="s">
        <v>108</v>
      </c>
      <c r="H244" s="11"/>
      <c r="I244" s="11" t="s">
        <v>253</v>
      </c>
      <c r="J244" s="11" t="s">
        <v>1296</v>
      </c>
      <c r="K244" s="24"/>
      <c r="BH244" s="17" t="str">
        <f t="shared" si="24"/>
        <v>5-8</v>
      </c>
      <c r="BI244" s="41" t="str">
        <f t="shared" si="25"/>
        <v>1-20  users per month</v>
      </c>
      <c r="BJ244" s="68">
        <f t="shared" si="27"/>
        <v>5</v>
      </c>
      <c r="BK244" s="68">
        <f t="shared" si="23"/>
        <v>1</v>
      </c>
      <c r="BL244" s="1" t="str">
        <f t="shared" si="26"/>
        <v>genomics</v>
      </c>
      <c r="BM244" s="56" t="str">
        <f t="shared" si="28"/>
        <v>staff</v>
      </c>
    </row>
    <row r="245" spans="1:65" s="1" customFormat="1" ht="25.5" x14ac:dyDescent="0.2">
      <c r="A245" s="1">
        <v>244</v>
      </c>
      <c r="B245" s="11" t="s">
        <v>161</v>
      </c>
      <c r="C245" s="11"/>
      <c r="D245" s="24"/>
      <c r="E245" s="24"/>
      <c r="F245" s="11" t="s">
        <v>1319</v>
      </c>
      <c r="G245" s="11" t="s">
        <v>618</v>
      </c>
      <c r="H245" s="11"/>
      <c r="I245" s="11" t="s">
        <v>253</v>
      </c>
      <c r="J245" s="11" t="s">
        <v>1296</v>
      </c>
      <c r="K245" s="24"/>
      <c r="BH245" s="17" t="str">
        <f t="shared" ref="BH245:BH277" si="29">I245</f>
        <v>5-8</v>
      </c>
      <c r="BI245" s="41" t="str">
        <f t="shared" ref="BI245:BI277" si="30">J245</f>
        <v>1-20  users per month</v>
      </c>
      <c r="BJ245" s="68">
        <f t="shared" si="27"/>
        <v>5</v>
      </c>
      <c r="BK245" s="68">
        <f t="shared" si="23"/>
        <v>1</v>
      </c>
      <c r="BL245" s="1" t="str">
        <f t="shared" ref="BL245:BL277" si="31">B245</f>
        <v>proteomics</v>
      </c>
      <c r="BM245" s="56" t="str">
        <f t="shared" ref="BM245:BM277" si="32">IF(ISNUMBER(SEARCH("staff",F245)),"staff",IF(ISNUMBER(SEARCH("users work",F245)),"user",IF(ISNUMBER(SEARCH("both",F245)),"both")))</f>
        <v>both</v>
      </c>
    </row>
    <row r="246" spans="1:65" s="1" customFormat="1" ht="25.5" x14ac:dyDescent="0.2">
      <c r="A246" s="1">
        <v>245</v>
      </c>
      <c r="B246" s="11" t="s">
        <v>119</v>
      </c>
      <c r="C246" s="11" t="s">
        <v>2911</v>
      </c>
      <c r="D246" s="24"/>
      <c r="E246" s="24"/>
      <c r="F246" s="11" t="s">
        <v>1319</v>
      </c>
      <c r="G246" s="11" t="s">
        <v>618</v>
      </c>
      <c r="H246" s="11"/>
      <c r="I246" s="11" t="s">
        <v>87</v>
      </c>
      <c r="J246" s="11" t="s">
        <v>1358</v>
      </c>
      <c r="K246" s="24"/>
      <c r="BH246" s="17" t="str">
        <f t="shared" si="29"/>
        <v>1-4</v>
      </c>
      <c r="BI246" s="41" t="str">
        <f t="shared" si="30"/>
        <v>21-40  users per month</v>
      </c>
      <c r="BJ246" s="68">
        <f t="shared" si="27"/>
        <v>1</v>
      </c>
      <c r="BK246" s="68">
        <f t="shared" si="23"/>
        <v>21</v>
      </c>
      <c r="BL246" s="1" t="str">
        <f t="shared" si="31"/>
        <v>Other</v>
      </c>
      <c r="BM246" s="56" t="str">
        <f t="shared" si="32"/>
        <v>both</v>
      </c>
    </row>
    <row r="247" spans="1:65" s="1" customFormat="1" ht="25.5" x14ac:dyDescent="0.2">
      <c r="A247" s="1">
        <v>246</v>
      </c>
      <c r="B247" s="11" t="s">
        <v>107</v>
      </c>
      <c r="C247" s="11"/>
      <c r="D247" s="24"/>
      <c r="E247" s="24"/>
      <c r="F247" s="11" t="s">
        <v>1319</v>
      </c>
      <c r="G247" s="11" t="s">
        <v>618</v>
      </c>
      <c r="H247" s="11"/>
      <c r="I247" s="11" t="s">
        <v>87</v>
      </c>
      <c r="J247" s="11" t="s">
        <v>1296</v>
      </c>
      <c r="K247" s="24"/>
      <c r="BH247" s="17" t="str">
        <f t="shared" si="29"/>
        <v>1-4</v>
      </c>
      <c r="BI247" s="41" t="str">
        <f t="shared" si="30"/>
        <v>1-20  users per month</v>
      </c>
      <c r="BJ247" s="68">
        <f t="shared" si="27"/>
        <v>1</v>
      </c>
      <c r="BK247" s="68">
        <f t="shared" si="23"/>
        <v>1</v>
      </c>
      <c r="BL247" s="1" t="str">
        <f t="shared" si="31"/>
        <v>microscopy</v>
      </c>
      <c r="BM247" s="56" t="str">
        <f t="shared" si="32"/>
        <v>both</v>
      </c>
    </row>
    <row r="248" spans="1:65" s="1" customFormat="1" ht="38.25" x14ac:dyDescent="0.2">
      <c r="A248" s="1">
        <v>247</v>
      </c>
      <c r="B248" s="11" t="s">
        <v>119</v>
      </c>
      <c r="C248" s="11" t="s">
        <v>2929</v>
      </c>
      <c r="D248" s="24"/>
      <c r="E248" s="24"/>
      <c r="F248" s="11" t="s">
        <v>1319</v>
      </c>
      <c r="G248" s="11" t="s">
        <v>86</v>
      </c>
      <c r="H248" s="11"/>
      <c r="I248" s="11" t="s">
        <v>632</v>
      </c>
      <c r="J248" s="11" t="s">
        <v>1358</v>
      </c>
      <c r="K248" s="24"/>
      <c r="BH248" s="17" t="str">
        <f t="shared" si="29"/>
        <v>13-16</v>
      </c>
      <c r="BI248" s="41" t="str">
        <f t="shared" si="30"/>
        <v>21-40  users per month</v>
      </c>
      <c r="BJ248" s="68">
        <f t="shared" si="27"/>
        <v>13</v>
      </c>
      <c r="BK248" s="68">
        <f t="shared" si="23"/>
        <v>21</v>
      </c>
      <c r="BL248" s="1" t="str">
        <f t="shared" si="31"/>
        <v>Other</v>
      </c>
      <c r="BM248" s="56" t="str">
        <f t="shared" si="32"/>
        <v>both</v>
      </c>
    </row>
    <row r="249" spans="1:65" s="1" customFormat="1" ht="25.5" x14ac:dyDescent="0.2">
      <c r="A249" s="1">
        <v>248</v>
      </c>
      <c r="B249" s="11" t="s">
        <v>107</v>
      </c>
      <c r="C249" s="11"/>
      <c r="D249" s="24"/>
      <c r="E249" s="24"/>
      <c r="F249" s="11" t="s">
        <v>1319</v>
      </c>
      <c r="G249" s="11" t="s">
        <v>618</v>
      </c>
      <c r="H249" s="11"/>
      <c r="I249" s="11" t="s">
        <v>87</v>
      </c>
      <c r="J249" s="11" t="s">
        <v>1310</v>
      </c>
      <c r="K249" s="24"/>
      <c r="BH249" s="17" t="str">
        <f t="shared" si="29"/>
        <v>1-4</v>
      </c>
      <c r="BI249" s="41" t="str">
        <f t="shared" si="30"/>
        <v>41-60  users per month</v>
      </c>
      <c r="BJ249" s="68">
        <f t="shared" si="27"/>
        <v>1</v>
      </c>
      <c r="BK249" s="68">
        <f t="shared" si="23"/>
        <v>41</v>
      </c>
      <c r="BL249" s="1" t="str">
        <f t="shared" si="31"/>
        <v>microscopy</v>
      </c>
      <c r="BM249" s="56" t="str">
        <f t="shared" si="32"/>
        <v>both</v>
      </c>
    </row>
    <row r="250" spans="1:65" s="1" customFormat="1" ht="38.25" x14ac:dyDescent="0.2">
      <c r="A250" s="1">
        <v>249</v>
      </c>
      <c r="B250" s="11" t="s">
        <v>629</v>
      </c>
      <c r="C250" s="11"/>
      <c r="D250" s="24"/>
      <c r="E250" s="24"/>
      <c r="F250" s="11" t="s">
        <v>1294</v>
      </c>
      <c r="G250" s="11" t="s">
        <v>86</v>
      </c>
      <c r="H250" s="11"/>
      <c r="I250" s="11" t="s">
        <v>87</v>
      </c>
      <c r="J250" s="11" t="s">
        <v>1358</v>
      </c>
      <c r="K250" s="24"/>
      <c r="BH250" s="17" t="str">
        <f t="shared" si="29"/>
        <v>1-4</v>
      </c>
      <c r="BI250" s="41" t="str">
        <f t="shared" si="30"/>
        <v>21-40  users per month</v>
      </c>
      <c r="BJ250" s="68">
        <f t="shared" si="27"/>
        <v>1</v>
      </c>
      <c r="BK250" s="68">
        <f t="shared" si="23"/>
        <v>21</v>
      </c>
      <c r="BL250" s="1" t="str">
        <f t="shared" si="31"/>
        <v>antibodies</v>
      </c>
      <c r="BM250" s="56" t="str">
        <f t="shared" si="32"/>
        <v>staff</v>
      </c>
    </row>
    <row r="251" spans="1:65" s="1" customFormat="1" ht="38.25" x14ac:dyDescent="0.2">
      <c r="A251" s="1">
        <v>250</v>
      </c>
      <c r="B251" s="11" t="s">
        <v>324</v>
      </c>
      <c r="C251" s="11"/>
      <c r="D251" s="24"/>
      <c r="E251" s="24"/>
      <c r="F251" s="11" t="s">
        <v>1294</v>
      </c>
      <c r="G251" s="11" t="s">
        <v>106</v>
      </c>
      <c r="H251" s="11"/>
      <c r="I251" s="11" t="s">
        <v>87</v>
      </c>
      <c r="J251" s="11" t="s">
        <v>1296</v>
      </c>
      <c r="K251" s="24"/>
      <c r="BH251" s="17" t="str">
        <f t="shared" si="29"/>
        <v>1-4</v>
      </c>
      <c r="BI251" s="41" t="str">
        <f t="shared" si="30"/>
        <v>1-20  users per month</v>
      </c>
      <c r="BJ251" s="68">
        <f t="shared" si="27"/>
        <v>1</v>
      </c>
      <c r="BK251" s="68">
        <f t="shared" si="23"/>
        <v>1</v>
      </c>
      <c r="BL251" s="1" t="str">
        <f t="shared" si="31"/>
        <v>genomics</v>
      </c>
      <c r="BM251" s="56" t="str">
        <f t="shared" si="32"/>
        <v>staff</v>
      </c>
    </row>
    <row r="252" spans="1:65" s="1" customFormat="1" ht="25.5" x14ac:dyDescent="0.2">
      <c r="A252" s="1">
        <v>251</v>
      </c>
      <c r="B252" s="11" t="s">
        <v>107</v>
      </c>
      <c r="C252" s="11"/>
      <c r="D252" s="24"/>
      <c r="E252" s="24"/>
      <c r="F252" s="11" t="s">
        <v>1319</v>
      </c>
      <c r="G252" s="11" t="s">
        <v>618</v>
      </c>
      <c r="H252" s="11"/>
      <c r="I252" s="11" t="s">
        <v>87</v>
      </c>
      <c r="J252" s="11" t="s">
        <v>1296</v>
      </c>
      <c r="K252" s="24"/>
      <c r="BH252" s="17" t="str">
        <f t="shared" si="29"/>
        <v>1-4</v>
      </c>
      <c r="BI252" s="41" t="str">
        <f t="shared" si="30"/>
        <v>1-20  users per month</v>
      </c>
      <c r="BJ252" s="68">
        <f t="shared" si="27"/>
        <v>1</v>
      </c>
      <c r="BK252" s="68">
        <f t="shared" si="23"/>
        <v>1</v>
      </c>
      <c r="BL252" s="1" t="str">
        <f t="shared" si="31"/>
        <v>microscopy</v>
      </c>
      <c r="BM252" s="56" t="str">
        <f t="shared" si="32"/>
        <v>both</v>
      </c>
    </row>
    <row r="253" spans="1:65" s="1" customFormat="1" ht="38.25" x14ac:dyDescent="0.2">
      <c r="A253" s="1">
        <v>252</v>
      </c>
      <c r="B253" s="11" t="s">
        <v>107</v>
      </c>
      <c r="C253" s="11"/>
      <c r="D253" s="24"/>
      <c r="E253" s="24"/>
      <c r="F253" s="11" t="s">
        <v>1309</v>
      </c>
      <c r="G253" s="11" t="s">
        <v>108</v>
      </c>
      <c r="H253" s="11"/>
      <c r="I253" s="11" t="s">
        <v>253</v>
      </c>
      <c r="J253" s="11" t="s">
        <v>1375</v>
      </c>
      <c r="K253" s="24"/>
      <c r="BH253" s="17" t="str">
        <f t="shared" si="29"/>
        <v>5-8</v>
      </c>
      <c r="BI253" s="41" t="str">
        <f t="shared" si="30"/>
        <v>&gt; 100  users per month</v>
      </c>
      <c r="BJ253" s="68">
        <f t="shared" si="27"/>
        <v>5</v>
      </c>
      <c r="BK253" s="68">
        <f t="shared" si="23"/>
        <v>101</v>
      </c>
      <c r="BL253" s="1" t="str">
        <f t="shared" si="31"/>
        <v>microscopy</v>
      </c>
      <c r="BM253" s="56" t="str">
        <f t="shared" si="32"/>
        <v>user</v>
      </c>
    </row>
    <row r="254" spans="1:65" s="1" customFormat="1" ht="25.5" x14ac:dyDescent="0.2">
      <c r="A254" s="1">
        <v>253</v>
      </c>
      <c r="B254" s="11" t="s">
        <v>107</v>
      </c>
      <c r="C254" s="11"/>
      <c r="D254" s="24"/>
      <c r="E254" s="24"/>
      <c r="F254" s="11" t="s">
        <v>1319</v>
      </c>
      <c r="G254" s="11" t="s">
        <v>618</v>
      </c>
      <c r="H254" s="11"/>
      <c r="I254" s="11" t="s">
        <v>253</v>
      </c>
      <c r="J254" s="11" t="s">
        <v>1358</v>
      </c>
      <c r="K254" s="24"/>
      <c r="BH254" s="17" t="str">
        <f t="shared" si="29"/>
        <v>5-8</v>
      </c>
      <c r="BI254" s="41" t="str">
        <f t="shared" si="30"/>
        <v>21-40  users per month</v>
      </c>
      <c r="BJ254" s="68">
        <f t="shared" si="27"/>
        <v>5</v>
      </c>
      <c r="BK254" s="68">
        <f t="shared" si="23"/>
        <v>21</v>
      </c>
      <c r="BL254" s="1" t="str">
        <f t="shared" si="31"/>
        <v>microscopy</v>
      </c>
      <c r="BM254" s="56" t="str">
        <f t="shared" si="32"/>
        <v>both</v>
      </c>
    </row>
    <row r="255" spans="1:65" s="1" customFormat="1" ht="38.25" x14ac:dyDescent="0.2">
      <c r="A255" s="1">
        <v>254</v>
      </c>
      <c r="B255" s="11" t="s">
        <v>336</v>
      </c>
      <c r="C255" s="11"/>
      <c r="D255" s="24"/>
      <c r="E255" s="24"/>
      <c r="F255" s="11" t="s">
        <v>1294</v>
      </c>
      <c r="G255" s="11" t="s">
        <v>138</v>
      </c>
      <c r="H255" s="11"/>
      <c r="I255" s="11" t="s">
        <v>195</v>
      </c>
      <c r="J255" s="11" t="s">
        <v>1375</v>
      </c>
      <c r="K255" s="24"/>
      <c r="BH255" s="17" t="str">
        <f t="shared" si="29"/>
        <v>&gt;16</v>
      </c>
      <c r="BI255" s="41" t="str">
        <f t="shared" si="30"/>
        <v>&gt; 100  users per month</v>
      </c>
      <c r="BJ255" s="68">
        <f t="shared" si="27"/>
        <v>17</v>
      </c>
      <c r="BK255" s="68">
        <f t="shared" ref="BK255:BK277" si="33">IF(BI255="1-20  users per month",1,IF(BI255="21-40  users per month",21,IF(BI255="41-60  users per month",41,IF(BI255="61-80  users per month",61,IF(BI255="81-100  users per month",81,IF(BI255="&gt; 100  users per month",101))))))</f>
        <v>101</v>
      </c>
      <c r="BL255" s="1" t="str">
        <f t="shared" si="31"/>
        <v>cell culture</v>
      </c>
      <c r="BM255" s="56" t="str">
        <f t="shared" si="32"/>
        <v>staff</v>
      </c>
    </row>
    <row r="256" spans="1:65" s="1" customFormat="1" ht="38.25" x14ac:dyDescent="0.2">
      <c r="A256" s="1">
        <v>255</v>
      </c>
      <c r="B256" s="46" t="s">
        <v>443</v>
      </c>
      <c r="C256" s="33" t="s">
        <v>443</v>
      </c>
      <c r="D256" s="24"/>
      <c r="E256" s="24"/>
      <c r="F256" s="33" t="s">
        <v>1294</v>
      </c>
      <c r="G256" s="33" t="s">
        <v>618</v>
      </c>
      <c r="H256" s="33"/>
      <c r="I256" s="33" t="s">
        <v>253</v>
      </c>
      <c r="J256" s="33" t="s">
        <v>1296</v>
      </c>
      <c r="K256" s="24"/>
      <c r="BH256" s="17" t="str">
        <f t="shared" si="29"/>
        <v>5-8</v>
      </c>
      <c r="BI256" s="41" t="str">
        <f t="shared" si="30"/>
        <v>1-20  users per month</v>
      </c>
      <c r="BJ256" s="68">
        <f t="shared" si="27"/>
        <v>5</v>
      </c>
      <c r="BK256" s="68">
        <f t="shared" si="33"/>
        <v>1</v>
      </c>
      <c r="BL256" s="1" t="str">
        <f t="shared" si="31"/>
        <v>metabolomics</v>
      </c>
      <c r="BM256" s="56" t="str">
        <f t="shared" si="32"/>
        <v>staff</v>
      </c>
    </row>
    <row r="257" spans="1:65" s="1" customFormat="1" ht="25.5" x14ac:dyDescent="0.2">
      <c r="A257" s="1">
        <v>256</v>
      </c>
      <c r="B257" s="33" t="s">
        <v>105</v>
      </c>
      <c r="C257" s="33"/>
      <c r="D257" s="24"/>
      <c r="E257" s="24"/>
      <c r="F257" s="33" t="s">
        <v>1319</v>
      </c>
      <c r="G257" s="33" t="s">
        <v>618</v>
      </c>
      <c r="H257" s="33"/>
      <c r="I257" s="33" t="s">
        <v>253</v>
      </c>
      <c r="J257" s="33" t="s">
        <v>1358</v>
      </c>
      <c r="K257" s="24"/>
      <c r="BH257" s="17" t="str">
        <f t="shared" si="29"/>
        <v>5-8</v>
      </c>
      <c r="BI257" s="41" t="str">
        <f t="shared" si="30"/>
        <v>21-40  users per month</v>
      </c>
      <c r="BJ257" s="68">
        <f t="shared" si="27"/>
        <v>5</v>
      </c>
      <c r="BK257" s="68">
        <f t="shared" si="33"/>
        <v>21</v>
      </c>
      <c r="BL257" s="1" t="str">
        <f t="shared" si="31"/>
        <v>flow cytometry</v>
      </c>
      <c r="BM257" s="56" t="str">
        <f t="shared" si="32"/>
        <v>both</v>
      </c>
    </row>
    <row r="258" spans="1:65" s="1" customFormat="1" ht="25.5" x14ac:dyDescent="0.2">
      <c r="A258" s="1">
        <v>257</v>
      </c>
      <c r="B258" s="11" t="s">
        <v>105</v>
      </c>
      <c r="C258" s="11"/>
      <c r="D258" s="24"/>
      <c r="E258" s="24"/>
      <c r="F258" s="11" t="s">
        <v>1319</v>
      </c>
      <c r="G258" s="11" t="s">
        <v>618</v>
      </c>
      <c r="H258" s="11"/>
      <c r="I258" s="11" t="s">
        <v>87</v>
      </c>
      <c r="J258" s="11" t="s">
        <v>1310</v>
      </c>
      <c r="K258" s="24"/>
      <c r="BH258" s="17" t="str">
        <f t="shared" si="29"/>
        <v>1-4</v>
      </c>
      <c r="BI258" s="41" t="str">
        <f t="shared" si="30"/>
        <v>41-60  users per month</v>
      </c>
      <c r="BJ258" s="68">
        <f t="shared" si="27"/>
        <v>1</v>
      </c>
      <c r="BK258" s="68">
        <f t="shared" si="33"/>
        <v>41</v>
      </c>
      <c r="BL258" s="1" t="str">
        <f t="shared" si="31"/>
        <v>flow cytometry</v>
      </c>
      <c r="BM258" s="56" t="str">
        <f t="shared" si="32"/>
        <v>both</v>
      </c>
    </row>
    <row r="259" spans="1:65" s="1" customFormat="1" ht="38.25" x14ac:dyDescent="0.2">
      <c r="A259" s="1">
        <v>258</v>
      </c>
      <c r="B259" s="11" t="s">
        <v>105</v>
      </c>
      <c r="C259" s="11"/>
      <c r="D259" s="24"/>
      <c r="E259" s="24"/>
      <c r="F259" s="11" t="s">
        <v>1309</v>
      </c>
      <c r="G259" s="11" t="s">
        <v>618</v>
      </c>
      <c r="H259" s="11"/>
      <c r="I259" s="11" t="s">
        <v>87</v>
      </c>
      <c r="J259" s="11" t="s">
        <v>1766</v>
      </c>
      <c r="K259" s="24"/>
      <c r="BH259" s="17" t="str">
        <f t="shared" si="29"/>
        <v>1-4</v>
      </c>
      <c r="BI259" s="41" t="str">
        <f t="shared" si="30"/>
        <v>61-80  users per month</v>
      </c>
      <c r="BJ259" s="68">
        <f t="shared" ref="BJ259:BJ277" si="34">IF(BH259="1-4",1,IF(BH259="5-8",5,IF(BH259="9-12",9,IF(BH259="13-16",13,IF(BH259="&gt;16",17)))))</f>
        <v>1</v>
      </c>
      <c r="BK259" s="68">
        <f t="shared" si="33"/>
        <v>61</v>
      </c>
      <c r="BL259" s="1" t="str">
        <f t="shared" si="31"/>
        <v>flow cytometry</v>
      </c>
      <c r="BM259" s="56" t="str">
        <f t="shared" si="32"/>
        <v>user</v>
      </c>
    </row>
    <row r="260" spans="1:65" s="1" customFormat="1" ht="38.25" x14ac:dyDescent="0.2">
      <c r="A260" s="1">
        <v>259</v>
      </c>
      <c r="B260" s="11" t="s">
        <v>324</v>
      </c>
      <c r="C260" s="11"/>
      <c r="D260" s="24"/>
      <c r="E260" s="24"/>
      <c r="F260" s="11" t="s">
        <v>1294</v>
      </c>
      <c r="G260" s="11" t="s">
        <v>108</v>
      </c>
      <c r="H260" s="11"/>
      <c r="I260" s="11" t="s">
        <v>632</v>
      </c>
      <c r="J260" s="11" t="s">
        <v>1358</v>
      </c>
      <c r="K260" s="24"/>
      <c r="BH260" s="17" t="str">
        <f t="shared" si="29"/>
        <v>13-16</v>
      </c>
      <c r="BI260" s="41" t="str">
        <f t="shared" si="30"/>
        <v>21-40  users per month</v>
      </c>
      <c r="BJ260" s="68">
        <f t="shared" si="34"/>
        <v>13</v>
      </c>
      <c r="BK260" s="68">
        <f t="shared" si="33"/>
        <v>21</v>
      </c>
      <c r="BL260" s="1" t="str">
        <f t="shared" si="31"/>
        <v>genomics</v>
      </c>
      <c r="BM260" s="56" t="str">
        <f t="shared" si="32"/>
        <v>staff</v>
      </c>
    </row>
    <row r="261" spans="1:65" s="1" customFormat="1" ht="25.5" x14ac:dyDescent="0.2">
      <c r="A261" s="1">
        <v>260</v>
      </c>
      <c r="B261" s="11" t="s">
        <v>107</v>
      </c>
      <c r="C261" s="11"/>
      <c r="D261" s="24"/>
      <c r="E261" s="24"/>
      <c r="F261" s="11" t="s">
        <v>1319</v>
      </c>
      <c r="G261" s="11" t="s">
        <v>618</v>
      </c>
      <c r="H261" s="11"/>
      <c r="I261" s="11" t="s">
        <v>87</v>
      </c>
      <c r="J261" s="11" t="s">
        <v>1296</v>
      </c>
      <c r="K261" s="24"/>
      <c r="BH261" s="17" t="str">
        <f t="shared" si="29"/>
        <v>1-4</v>
      </c>
      <c r="BI261" s="41" t="str">
        <f t="shared" si="30"/>
        <v>1-20  users per month</v>
      </c>
      <c r="BJ261" s="68">
        <f t="shared" si="34"/>
        <v>1</v>
      </c>
      <c r="BK261" s="68">
        <f t="shared" si="33"/>
        <v>1</v>
      </c>
      <c r="BL261" s="1" t="str">
        <f t="shared" si="31"/>
        <v>microscopy</v>
      </c>
      <c r="BM261" s="56" t="str">
        <f t="shared" si="32"/>
        <v>both</v>
      </c>
    </row>
    <row r="262" spans="1:65" s="1" customFormat="1" ht="38.25" x14ac:dyDescent="0.2">
      <c r="A262" s="1">
        <v>261</v>
      </c>
      <c r="B262" s="11" t="s">
        <v>161</v>
      </c>
      <c r="C262" s="11"/>
      <c r="D262" s="24"/>
      <c r="E262" s="24"/>
      <c r="F262" s="11" t="s">
        <v>1294</v>
      </c>
      <c r="G262" s="11" t="s">
        <v>108</v>
      </c>
      <c r="H262" s="11"/>
      <c r="I262" s="11" t="s">
        <v>290</v>
      </c>
      <c r="J262" s="11" t="s">
        <v>1310</v>
      </c>
      <c r="K262" s="24"/>
      <c r="BH262" s="17" t="str">
        <f t="shared" si="29"/>
        <v>9-12</v>
      </c>
      <c r="BI262" s="41" t="str">
        <f t="shared" si="30"/>
        <v>41-60  users per month</v>
      </c>
      <c r="BJ262" s="68">
        <f t="shared" si="34"/>
        <v>9</v>
      </c>
      <c r="BK262" s="68">
        <f t="shared" si="33"/>
        <v>41</v>
      </c>
      <c r="BL262" s="1" t="str">
        <f t="shared" si="31"/>
        <v>proteomics</v>
      </c>
      <c r="BM262" s="56" t="str">
        <f t="shared" si="32"/>
        <v>staff</v>
      </c>
    </row>
    <row r="263" spans="1:65" s="1" customFormat="1" ht="25.5" x14ac:dyDescent="0.2">
      <c r="A263" s="1">
        <v>262</v>
      </c>
      <c r="B263" s="11" t="s">
        <v>107</v>
      </c>
      <c r="C263" s="11"/>
      <c r="D263" s="24"/>
      <c r="E263" s="24"/>
      <c r="F263" s="11" t="s">
        <v>1319</v>
      </c>
      <c r="G263" s="11" t="s">
        <v>108</v>
      </c>
      <c r="H263" s="11"/>
      <c r="I263" s="11" t="s">
        <v>87</v>
      </c>
      <c r="J263" s="11" t="s">
        <v>1310</v>
      </c>
      <c r="K263" s="24"/>
      <c r="BH263" s="17" t="str">
        <f t="shared" si="29"/>
        <v>1-4</v>
      </c>
      <c r="BI263" s="41" t="str">
        <f t="shared" si="30"/>
        <v>41-60  users per month</v>
      </c>
      <c r="BJ263" s="68">
        <f t="shared" si="34"/>
        <v>1</v>
      </c>
      <c r="BK263" s="68">
        <f t="shared" si="33"/>
        <v>41</v>
      </c>
      <c r="BL263" s="1" t="str">
        <f t="shared" si="31"/>
        <v>microscopy</v>
      </c>
      <c r="BM263" s="56" t="str">
        <f t="shared" si="32"/>
        <v>both</v>
      </c>
    </row>
    <row r="264" spans="1:65" s="1" customFormat="1" ht="25.5" x14ac:dyDescent="0.2">
      <c r="A264" s="1">
        <v>263</v>
      </c>
      <c r="B264" s="11" t="s">
        <v>105</v>
      </c>
      <c r="C264" s="11"/>
      <c r="D264" s="24"/>
      <c r="E264" s="24"/>
      <c r="F264" s="11" t="s">
        <v>1319</v>
      </c>
      <c r="G264" s="11" t="s">
        <v>106</v>
      </c>
      <c r="H264" s="11"/>
      <c r="I264" s="11" t="s">
        <v>87</v>
      </c>
      <c r="J264" s="11" t="s">
        <v>1310</v>
      </c>
      <c r="K264" s="24"/>
      <c r="BH264" s="17" t="str">
        <f t="shared" si="29"/>
        <v>1-4</v>
      </c>
      <c r="BI264" s="41" t="str">
        <f t="shared" si="30"/>
        <v>41-60  users per month</v>
      </c>
      <c r="BJ264" s="68">
        <f t="shared" si="34"/>
        <v>1</v>
      </c>
      <c r="BK264" s="68">
        <f t="shared" si="33"/>
        <v>41</v>
      </c>
      <c r="BL264" s="1" t="str">
        <f t="shared" si="31"/>
        <v>flow cytometry</v>
      </c>
      <c r="BM264" s="56" t="str">
        <f t="shared" si="32"/>
        <v>both</v>
      </c>
    </row>
    <row r="265" spans="1:65" s="1" customFormat="1" ht="38.25" x14ac:dyDescent="0.2">
      <c r="A265" s="1">
        <v>264</v>
      </c>
      <c r="B265" s="11" t="s">
        <v>107</v>
      </c>
      <c r="C265" s="11"/>
      <c r="D265" s="24"/>
      <c r="E265" s="24"/>
      <c r="F265" s="11" t="s">
        <v>1294</v>
      </c>
      <c r="G265" s="11" t="s">
        <v>618</v>
      </c>
      <c r="H265" s="11"/>
      <c r="I265" s="11" t="s">
        <v>87</v>
      </c>
      <c r="J265" s="11" t="s">
        <v>1296</v>
      </c>
      <c r="K265" s="24"/>
      <c r="BH265" s="17" t="str">
        <f t="shared" si="29"/>
        <v>1-4</v>
      </c>
      <c r="BI265" s="41" t="str">
        <f t="shared" si="30"/>
        <v>1-20  users per month</v>
      </c>
      <c r="BJ265" s="68">
        <f t="shared" si="34"/>
        <v>1</v>
      </c>
      <c r="BK265" s="68">
        <f t="shared" si="33"/>
        <v>1</v>
      </c>
      <c r="BL265" s="1" t="str">
        <f t="shared" si="31"/>
        <v>microscopy</v>
      </c>
      <c r="BM265" s="56" t="str">
        <f t="shared" si="32"/>
        <v>staff</v>
      </c>
    </row>
    <row r="266" spans="1:65" s="1" customFormat="1" ht="25.5" x14ac:dyDescent="0.2">
      <c r="A266" s="1">
        <v>265</v>
      </c>
      <c r="B266" s="11" t="s">
        <v>107</v>
      </c>
      <c r="C266" s="11"/>
      <c r="D266" s="24"/>
      <c r="E266" s="24"/>
      <c r="F266" s="11" t="s">
        <v>1319</v>
      </c>
      <c r="G266" s="11" t="s">
        <v>108</v>
      </c>
      <c r="H266" s="11"/>
      <c r="I266" s="11" t="s">
        <v>253</v>
      </c>
      <c r="J266" s="11" t="s">
        <v>1358</v>
      </c>
      <c r="K266" s="24"/>
      <c r="BH266" s="17" t="str">
        <f t="shared" si="29"/>
        <v>5-8</v>
      </c>
      <c r="BI266" s="41" t="str">
        <f t="shared" si="30"/>
        <v>21-40  users per month</v>
      </c>
      <c r="BJ266" s="68">
        <f t="shared" si="34"/>
        <v>5</v>
      </c>
      <c r="BK266" s="68">
        <f t="shared" si="33"/>
        <v>21</v>
      </c>
      <c r="BL266" s="1" t="str">
        <f t="shared" si="31"/>
        <v>microscopy</v>
      </c>
      <c r="BM266" s="56" t="str">
        <f t="shared" si="32"/>
        <v>both</v>
      </c>
    </row>
    <row r="267" spans="1:65" s="1" customFormat="1" ht="25.5" x14ac:dyDescent="0.2">
      <c r="A267" s="1">
        <v>266</v>
      </c>
      <c r="B267" s="11" t="s">
        <v>105</v>
      </c>
      <c r="C267" s="11"/>
      <c r="D267" s="24"/>
      <c r="E267" s="24"/>
      <c r="F267" s="11" t="s">
        <v>1319</v>
      </c>
      <c r="G267" s="11" t="s">
        <v>618</v>
      </c>
      <c r="H267" s="11"/>
      <c r="I267" s="11" t="s">
        <v>87</v>
      </c>
      <c r="J267" s="11" t="s">
        <v>1375</v>
      </c>
      <c r="K267" s="24"/>
      <c r="BH267" s="17" t="str">
        <f t="shared" si="29"/>
        <v>1-4</v>
      </c>
      <c r="BI267" s="41" t="str">
        <f t="shared" si="30"/>
        <v>&gt; 100  users per month</v>
      </c>
      <c r="BJ267" s="68">
        <f t="shared" si="34"/>
        <v>1</v>
      </c>
      <c r="BK267" s="68">
        <f t="shared" si="33"/>
        <v>101</v>
      </c>
      <c r="BL267" s="1" t="str">
        <f t="shared" si="31"/>
        <v>flow cytometry</v>
      </c>
      <c r="BM267" s="56" t="str">
        <f t="shared" si="32"/>
        <v>both</v>
      </c>
    </row>
    <row r="268" spans="1:65" s="1" customFormat="1" ht="25.5" x14ac:dyDescent="0.2">
      <c r="A268" s="1">
        <v>267</v>
      </c>
      <c r="B268" s="11" t="s">
        <v>119</v>
      </c>
      <c r="C268" s="11" t="s">
        <v>3119</v>
      </c>
      <c r="D268" s="24"/>
      <c r="E268" s="24"/>
      <c r="F268" s="11" t="s">
        <v>1319</v>
      </c>
      <c r="G268" s="11" t="s">
        <v>618</v>
      </c>
      <c r="H268" s="11"/>
      <c r="I268" s="11" t="s">
        <v>253</v>
      </c>
      <c r="J268" s="11" t="s">
        <v>1358</v>
      </c>
      <c r="K268" s="24"/>
      <c r="BH268" s="17" t="str">
        <f t="shared" si="29"/>
        <v>5-8</v>
      </c>
      <c r="BI268" s="41" t="str">
        <f t="shared" si="30"/>
        <v>21-40  users per month</v>
      </c>
      <c r="BJ268" s="68">
        <f t="shared" si="34"/>
        <v>5</v>
      </c>
      <c r="BK268" s="68">
        <f t="shared" si="33"/>
        <v>21</v>
      </c>
      <c r="BL268" s="1" t="str">
        <f t="shared" si="31"/>
        <v>Other</v>
      </c>
      <c r="BM268" s="56" t="str">
        <f t="shared" si="32"/>
        <v>both</v>
      </c>
    </row>
    <row r="269" spans="1:65" s="1" customFormat="1" ht="38.25" x14ac:dyDescent="0.2">
      <c r="A269" s="1">
        <v>268</v>
      </c>
      <c r="B269" s="11" t="s">
        <v>324</v>
      </c>
      <c r="C269" s="11"/>
      <c r="D269" s="24"/>
      <c r="E269" s="24"/>
      <c r="F269" s="11" t="s">
        <v>1294</v>
      </c>
      <c r="G269" s="11" t="s">
        <v>108</v>
      </c>
      <c r="H269" s="11"/>
      <c r="I269" s="11" t="s">
        <v>290</v>
      </c>
      <c r="J269" s="11" t="s">
        <v>1310</v>
      </c>
      <c r="K269" s="24"/>
      <c r="BH269" s="17" t="str">
        <f t="shared" si="29"/>
        <v>9-12</v>
      </c>
      <c r="BI269" s="41" t="str">
        <f t="shared" si="30"/>
        <v>41-60  users per month</v>
      </c>
      <c r="BJ269" s="68">
        <f t="shared" si="34"/>
        <v>9</v>
      </c>
      <c r="BK269" s="68">
        <f t="shared" si="33"/>
        <v>41</v>
      </c>
      <c r="BL269" s="1" t="str">
        <f t="shared" si="31"/>
        <v>genomics</v>
      </c>
      <c r="BM269" s="56" t="str">
        <f t="shared" si="32"/>
        <v>staff</v>
      </c>
    </row>
    <row r="270" spans="1:65" s="1" customFormat="1" ht="51" x14ac:dyDescent="0.2">
      <c r="A270" s="1">
        <v>269</v>
      </c>
      <c r="B270" s="11" t="s">
        <v>119</v>
      </c>
      <c r="C270" s="11" t="s">
        <v>3135</v>
      </c>
      <c r="D270" s="24"/>
      <c r="E270" s="24"/>
      <c r="F270" s="11" t="s">
        <v>1294</v>
      </c>
      <c r="G270" s="11" t="s">
        <v>106</v>
      </c>
      <c r="H270" s="11" t="s">
        <v>3136</v>
      </c>
      <c r="I270" s="11" t="s">
        <v>87</v>
      </c>
      <c r="J270" s="11" t="s">
        <v>1296</v>
      </c>
      <c r="K270" s="24"/>
      <c r="BH270" s="17" t="str">
        <f t="shared" si="29"/>
        <v>1-4</v>
      </c>
      <c r="BI270" s="41" t="str">
        <f t="shared" si="30"/>
        <v>1-20  users per month</v>
      </c>
      <c r="BJ270" s="68">
        <f t="shared" si="34"/>
        <v>1</v>
      </c>
      <c r="BK270" s="68">
        <f t="shared" si="33"/>
        <v>1</v>
      </c>
      <c r="BL270" s="1" t="str">
        <f t="shared" si="31"/>
        <v>Other</v>
      </c>
      <c r="BM270" s="56" t="str">
        <f t="shared" si="32"/>
        <v>staff</v>
      </c>
    </row>
    <row r="271" spans="1:65" s="1" customFormat="1" ht="25.5" x14ac:dyDescent="0.2">
      <c r="A271" s="1">
        <v>270</v>
      </c>
      <c r="B271" s="11" t="s">
        <v>324</v>
      </c>
      <c r="C271" s="11"/>
      <c r="D271" s="24"/>
      <c r="E271" s="24"/>
      <c r="F271" s="11" t="s">
        <v>1319</v>
      </c>
      <c r="G271" s="11" t="s">
        <v>86</v>
      </c>
      <c r="H271" s="11"/>
      <c r="I271" s="11" t="s">
        <v>87</v>
      </c>
      <c r="J271" s="11" t="s">
        <v>1375</v>
      </c>
      <c r="K271" s="24"/>
      <c r="BH271" s="17" t="str">
        <f t="shared" si="29"/>
        <v>1-4</v>
      </c>
      <c r="BI271" s="41" t="str">
        <f t="shared" si="30"/>
        <v>&gt; 100  users per month</v>
      </c>
      <c r="BJ271" s="68">
        <f t="shared" si="34"/>
        <v>1</v>
      </c>
      <c r="BK271" s="68">
        <f t="shared" si="33"/>
        <v>101</v>
      </c>
      <c r="BL271" s="1" t="str">
        <f t="shared" si="31"/>
        <v>genomics</v>
      </c>
      <c r="BM271" s="56" t="str">
        <f t="shared" si="32"/>
        <v>both</v>
      </c>
    </row>
    <row r="272" spans="1:65" s="1" customFormat="1" ht="25.5" x14ac:dyDescent="0.2">
      <c r="A272" s="1">
        <v>271</v>
      </c>
      <c r="B272" s="11" t="s">
        <v>161</v>
      </c>
      <c r="C272" s="11"/>
      <c r="D272" s="24"/>
      <c r="E272" s="24"/>
      <c r="F272" s="11" t="s">
        <v>1319</v>
      </c>
      <c r="G272" s="11" t="s">
        <v>86</v>
      </c>
      <c r="H272" s="11"/>
      <c r="I272" s="11" t="s">
        <v>87</v>
      </c>
      <c r="J272" s="11" t="s">
        <v>1296</v>
      </c>
      <c r="K272" s="24"/>
      <c r="BH272" s="17" t="str">
        <f t="shared" si="29"/>
        <v>1-4</v>
      </c>
      <c r="BI272" s="41" t="str">
        <f t="shared" si="30"/>
        <v>1-20  users per month</v>
      </c>
      <c r="BJ272" s="68">
        <f t="shared" si="34"/>
        <v>1</v>
      </c>
      <c r="BK272" s="68">
        <f t="shared" si="33"/>
        <v>1</v>
      </c>
      <c r="BL272" s="1" t="str">
        <f t="shared" si="31"/>
        <v>proteomics</v>
      </c>
      <c r="BM272" s="56" t="str">
        <f t="shared" si="32"/>
        <v>both</v>
      </c>
    </row>
    <row r="273" spans="1:65" s="1" customFormat="1" ht="38.25" x14ac:dyDescent="0.2">
      <c r="A273" s="1">
        <v>272</v>
      </c>
      <c r="B273" s="43" t="s">
        <v>324</v>
      </c>
      <c r="C273" s="11" t="s">
        <v>3172</v>
      </c>
      <c r="D273" s="24"/>
      <c r="E273" s="24"/>
      <c r="F273" s="11" t="s">
        <v>1294</v>
      </c>
      <c r="G273" s="11" t="s">
        <v>618</v>
      </c>
      <c r="H273" s="11"/>
      <c r="I273" s="11" t="s">
        <v>87</v>
      </c>
      <c r="J273" s="11" t="s">
        <v>1296</v>
      </c>
      <c r="K273" s="24"/>
      <c r="BH273" s="17" t="str">
        <f t="shared" si="29"/>
        <v>1-4</v>
      </c>
      <c r="BI273" s="41" t="str">
        <f t="shared" si="30"/>
        <v>1-20  users per month</v>
      </c>
      <c r="BJ273" s="68">
        <f t="shared" si="34"/>
        <v>1</v>
      </c>
      <c r="BK273" s="68">
        <f t="shared" si="33"/>
        <v>1</v>
      </c>
      <c r="BL273" s="1" t="str">
        <f t="shared" si="31"/>
        <v>genomics</v>
      </c>
      <c r="BM273" s="56" t="str">
        <f t="shared" si="32"/>
        <v>staff</v>
      </c>
    </row>
    <row r="274" spans="1:65" s="1" customFormat="1" ht="38.25" x14ac:dyDescent="0.2">
      <c r="A274" s="1">
        <v>273</v>
      </c>
      <c r="B274" s="39" t="s">
        <v>363</v>
      </c>
      <c r="C274" s="11" t="s">
        <v>3579</v>
      </c>
      <c r="D274" s="24"/>
      <c r="E274" s="24"/>
      <c r="F274" s="11" t="s">
        <v>1294</v>
      </c>
      <c r="G274" s="11" t="s">
        <v>106</v>
      </c>
      <c r="H274" s="11"/>
      <c r="I274" s="11" t="s">
        <v>253</v>
      </c>
      <c r="J274" s="11" t="s">
        <v>1296</v>
      </c>
      <c r="K274" s="24"/>
      <c r="BH274" s="17" t="str">
        <f t="shared" si="29"/>
        <v>5-8</v>
      </c>
      <c r="BI274" s="41" t="str">
        <f t="shared" si="30"/>
        <v>1-20  users per month</v>
      </c>
      <c r="BJ274" s="68">
        <f t="shared" si="34"/>
        <v>5</v>
      </c>
      <c r="BK274" s="68">
        <f t="shared" si="33"/>
        <v>1</v>
      </c>
      <c r="BL274" s="1" t="str">
        <f t="shared" si="31"/>
        <v>mouse</v>
      </c>
      <c r="BM274" s="56" t="str">
        <f t="shared" si="32"/>
        <v>staff</v>
      </c>
    </row>
    <row r="275" spans="1:65" s="1" customFormat="1" ht="38.25" x14ac:dyDescent="0.2">
      <c r="A275" s="1">
        <v>274</v>
      </c>
      <c r="B275" s="11" t="s">
        <v>363</v>
      </c>
      <c r="C275" s="11"/>
      <c r="D275" s="24"/>
      <c r="E275" s="24"/>
      <c r="F275" s="11" t="s">
        <v>1294</v>
      </c>
      <c r="G275" s="11" t="s">
        <v>106</v>
      </c>
      <c r="H275" s="11"/>
      <c r="I275" s="11" t="s">
        <v>195</v>
      </c>
      <c r="J275" s="11" t="s">
        <v>1296</v>
      </c>
      <c r="K275" s="24"/>
      <c r="BH275" s="17" t="str">
        <f t="shared" si="29"/>
        <v>&gt;16</v>
      </c>
      <c r="BI275" s="41" t="str">
        <f t="shared" si="30"/>
        <v>1-20  users per month</v>
      </c>
      <c r="BJ275" s="68">
        <f t="shared" si="34"/>
        <v>17</v>
      </c>
      <c r="BK275" s="68">
        <f t="shared" si="33"/>
        <v>1</v>
      </c>
      <c r="BL275" s="1" t="str">
        <f t="shared" si="31"/>
        <v>mouse</v>
      </c>
      <c r="BM275" s="56" t="str">
        <f t="shared" si="32"/>
        <v>staff</v>
      </c>
    </row>
    <row r="276" spans="1:65" s="1" customFormat="1" ht="25.5" x14ac:dyDescent="0.2">
      <c r="A276" s="1">
        <v>275</v>
      </c>
      <c r="B276" s="11" t="s">
        <v>363</v>
      </c>
      <c r="C276" s="11"/>
      <c r="D276" s="24"/>
      <c r="E276" s="24"/>
      <c r="F276" s="11" t="s">
        <v>1319</v>
      </c>
      <c r="G276" s="11" t="s">
        <v>618</v>
      </c>
      <c r="H276" s="11"/>
      <c r="I276" s="11" t="s">
        <v>87</v>
      </c>
      <c r="J276" s="11" t="s">
        <v>1296</v>
      </c>
      <c r="K276" s="24"/>
      <c r="BH276" s="17" t="str">
        <f t="shared" si="29"/>
        <v>1-4</v>
      </c>
      <c r="BI276" s="41" t="str">
        <f t="shared" si="30"/>
        <v>1-20  users per month</v>
      </c>
      <c r="BJ276" s="68">
        <f t="shared" si="34"/>
        <v>1</v>
      </c>
      <c r="BK276" s="68">
        <f t="shared" si="33"/>
        <v>1</v>
      </c>
      <c r="BL276" s="1" t="str">
        <f t="shared" si="31"/>
        <v>mouse</v>
      </c>
      <c r="BM276" s="56" t="str">
        <f t="shared" si="32"/>
        <v>both</v>
      </c>
    </row>
    <row r="277" spans="1:65" s="1" customFormat="1" ht="25.5" x14ac:dyDescent="0.2">
      <c r="A277" s="1">
        <v>276</v>
      </c>
      <c r="B277" s="11" t="s">
        <v>107</v>
      </c>
      <c r="C277" s="11"/>
      <c r="D277" s="24"/>
      <c r="E277" s="24"/>
      <c r="F277" s="11" t="s">
        <v>1319</v>
      </c>
      <c r="G277" s="11" t="s">
        <v>108</v>
      </c>
      <c r="H277" s="11"/>
      <c r="I277" s="11" t="s">
        <v>87</v>
      </c>
      <c r="J277" s="11" t="s">
        <v>1358</v>
      </c>
      <c r="K277" s="24"/>
      <c r="BH277" s="17" t="str">
        <f t="shared" si="29"/>
        <v>1-4</v>
      </c>
      <c r="BI277" s="41" t="str">
        <f t="shared" si="30"/>
        <v>21-40  users per month</v>
      </c>
      <c r="BJ277" s="68">
        <f t="shared" si="34"/>
        <v>1</v>
      </c>
      <c r="BK277" s="68">
        <f t="shared" si="33"/>
        <v>21</v>
      </c>
      <c r="BL277" s="1" t="str">
        <f t="shared" si="31"/>
        <v>microscopy</v>
      </c>
      <c r="BM277" s="56" t="str">
        <f t="shared" si="32"/>
        <v>both</v>
      </c>
    </row>
    <row r="278" spans="1:65" s="1" customFormat="1" x14ac:dyDescent="0.2">
      <c r="F278" s="27"/>
      <c r="H278" s="56"/>
      <c r="I278" s="67"/>
      <c r="J278" s="67"/>
      <c r="BH278" s="17"/>
      <c r="BI278" s="41"/>
      <c r="BJ278" s="68"/>
      <c r="BK278" s="68"/>
      <c r="BM278" s="56"/>
    </row>
    <row r="279" spans="1:65" s="1" customFormat="1" x14ac:dyDescent="0.2">
      <c r="F279" s="27"/>
      <c r="H279" s="56"/>
      <c r="I279" s="67"/>
      <c r="J279" s="67"/>
      <c r="BH279" s="17"/>
      <c r="BI279" s="41"/>
      <c r="BJ279" s="68"/>
      <c r="BK279" s="68"/>
      <c r="BM279" s="56"/>
    </row>
    <row r="280" spans="1:65" s="1" customFormat="1" x14ac:dyDescent="0.2">
      <c r="F280" s="27"/>
      <c r="H280" s="56"/>
      <c r="I280" s="67"/>
      <c r="J280" s="67"/>
      <c r="BH280" s="17"/>
      <c r="BI280" s="41"/>
      <c r="BJ280" s="68"/>
      <c r="BK280" s="68"/>
      <c r="BM280" s="56"/>
    </row>
    <row r="281" spans="1:65" s="1" customFormat="1" x14ac:dyDescent="0.2">
      <c r="F281" s="27"/>
      <c r="H281" s="56"/>
      <c r="I281" s="67"/>
      <c r="J281" s="67"/>
      <c r="BH281" s="17"/>
      <c r="BI281" s="41"/>
      <c r="BJ281" s="68"/>
      <c r="BK281" s="68"/>
      <c r="BM281" s="56"/>
    </row>
    <row r="282" spans="1:65" s="1" customFormat="1" x14ac:dyDescent="0.2">
      <c r="F282" s="27"/>
      <c r="H282" s="56"/>
      <c r="I282" s="67"/>
      <c r="J282" s="67"/>
      <c r="BH282" s="17"/>
      <c r="BI282" s="41"/>
      <c r="BJ282" s="68"/>
      <c r="BK282" s="68"/>
      <c r="BM282" s="56"/>
    </row>
    <row r="283" spans="1:65" s="1" customFormat="1" x14ac:dyDescent="0.2">
      <c r="F283" s="27"/>
      <c r="H283" s="56"/>
      <c r="I283" s="67"/>
      <c r="J283" s="67"/>
      <c r="BH283" s="17"/>
      <c r="BI283" s="41"/>
      <c r="BJ283" s="68"/>
      <c r="BK283" s="68"/>
      <c r="BM283" s="56"/>
    </row>
    <row r="284" spans="1:65" s="1" customFormat="1" x14ac:dyDescent="0.2">
      <c r="F284" s="27"/>
      <c r="H284" s="56"/>
      <c r="I284" s="67"/>
      <c r="J284" s="67"/>
      <c r="BH284" s="17"/>
      <c r="BI284" s="41"/>
      <c r="BJ284" s="68"/>
      <c r="BK284" s="68"/>
      <c r="BM284" s="56"/>
    </row>
    <row r="285" spans="1:65" s="1" customFormat="1" x14ac:dyDescent="0.2">
      <c r="F285" s="27"/>
      <c r="H285" s="56"/>
      <c r="I285" s="67"/>
      <c r="J285" s="67"/>
      <c r="BH285" s="17"/>
      <c r="BI285" s="41"/>
      <c r="BJ285" s="68"/>
      <c r="BK285" s="68"/>
      <c r="BM285" s="56"/>
    </row>
    <row r="286" spans="1:65" s="1" customFormat="1" x14ac:dyDescent="0.2">
      <c r="F286" s="27"/>
      <c r="H286" s="56"/>
      <c r="I286" s="67"/>
      <c r="J286" s="67"/>
      <c r="BH286" s="17"/>
      <c r="BI286" s="41"/>
      <c r="BJ286" s="68"/>
      <c r="BK286" s="68"/>
      <c r="BM286" s="56"/>
    </row>
    <row r="287" spans="1:65" s="1" customFormat="1" x14ac:dyDescent="0.2">
      <c r="F287" s="27"/>
      <c r="H287" s="56"/>
      <c r="I287" s="67"/>
      <c r="J287" s="67"/>
      <c r="BH287" s="17"/>
      <c r="BI287" s="41"/>
      <c r="BJ287" s="68"/>
      <c r="BK287" s="68"/>
      <c r="BM287" s="56"/>
    </row>
    <row r="288" spans="1:65" s="1" customFormat="1" x14ac:dyDescent="0.2">
      <c r="F288" s="27"/>
      <c r="H288" s="56"/>
      <c r="I288" s="67"/>
      <c r="J288" s="67"/>
      <c r="BH288" s="17"/>
      <c r="BI288" s="41"/>
      <c r="BJ288" s="68"/>
      <c r="BK288" s="68"/>
      <c r="BM288" s="56"/>
    </row>
    <row r="289" spans="6:65" s="1" customFormat="1" x14ac:dyDescent="0.2">
      <c r="F289" s="27"/>
      <c r="H289" s="56"/>
      <c r="I289" s="67"/>
      <c r="J289" s="67"/>
      <c r="BH289" s="17"/>
      <c r="BI289" s="41"/>
      <c r="BJ289" s="68"/>
      <c r="BK289" s="68"/>
      <c r="BM289" s="56"/>
    </row>
    <row r="290" spans="6:65" s="1" customFormat="1" x14ac:dyDescent="0.2">
      <c r="F290" s="27"/>
      <c r="H290" s="56"/>
      <c r="I290" s="67"/>
      <c r="J290" s="67"/>
      <c r="BH290" s="17"/>
      <c r="BI290" s="41"/>
      <c r="BJ290" s="68"/>
      <c r="BK290" s="68"/>
      <c r="BM290" s="56"/>
    </row>
    <row r="291" spans="6:65" s="1" customFormat="1" x14ac:dyDescent="0.2">
      <c r="F291" s="27"/>
      <c r="H291" s="56"/>
      <c r="I291" s="67"/>
      <c r="J291" s="67"/>
      <c r="BH291" s="17"/>
      <c r="BI291" s="41"/>
      <c r="BJ291" s="68"/>
      <c r="BK291" s="68"/>
      <c r="BM291" s="56"/>
    </row>
    <row r="292" spans="6:65" s="1" customFormat="1" x14ac:dyDescent="0.2">
      <c r="F292" s="27"/>
      <c r="H292" s="56"/>
      <c r="I292" s="67"/>
      <c r="J292" s="67"/>
      <c r="BH292" s="17"/>
      <c r="BI292" s="41"/>
      <c r="BJ292" s="68"/>
      <c r="BK292" s="68"/>
      <c r="BM292" s="56"/>
    </row>
    <row r="293" spans="6:65" s="1" customFormat="1" x14ac:dyDescent="0.2">
      <c r="F293" s="27"/>
      <c r="H293" s="56"/>
      <c r="I293" s="67"/>
      <c r="J293" s="67"/>
      <c r="BH293" s="17"/>
      <c r="BI293" s="41"/>
      <c r="BJ293" s="68"/>
      <c r="BK293" s="68"/>
      <c r="BM293" s="56"/>
    </row>
    <row r="294" spans="6:65" s="1" customFormat="1" x14ac:dyDescent="0.2">
      <c r="F294" s="27"/>
      <c r="H294" s="56"/>
      <c r="I294" s="67"/>
      <c r="J294" s="67"/>
      <c r="BH294" s="17"/>
      <c r="BI294" s="41"/>
      <c r="BJ294" s="68"/>
      <c r="BK294" s="68"/>
      <c r="BM294" s="56"/>
    </row>
    <row r="295" spans="6:65" s="1" customFormat="1" x14ac:dyDescent="0.2">
      <c r="F295" s="27"/>
      <c r="H295" s="56"/>
      <c r="I295" s="67"/>
      <c r="J295" s="67"/>
      <c r="BH295" s="17"/>
      <c r="BI295" s="41"/>
      <c r="BJ295" s="68"/>
      <c r="BK295" s="68"/>
      <c r="BM295" s="56"/>
    </row>
    <row r="296" spans="6:65" s="1" customFormat="1" x14ac:dyDescent="0.2">
      <c r="F296" s="27"/>
      <c r="H296" s="56"/>
      <c r="I296" s="67"/>
      <c r="J296" s="67"/>
      <c r="BH296" s="17"/>
      <c r="BI296" s="41"/>
      <c r="BJ296" s="68"/>
      <c r="BK296" s="68"/>
      <c r="BM296" s="56"/>
    </row>
    <row r="297" spans="6:65" s="1" customFormat="1" x14ac:dyDescent="0.2">
      <c r="F297" s="27"/>
      <c r="H297" s="56"/>
      <c r="I297" s="67"/>
      <c r="J297" s="67"/>
      <c r="BH297" s="17"/>
      <c r="BI297" s="41"/>
      <c r="BJ297" s="68"/>
      <c r="BK297" s="68"/>
      <c r="BM297" s="56"/>
    </row>
    <row r="298" spans="6:65" s="1" customFormat="1" x14ac:dyDescent="0.2">
      <c r="F298" s="27"/>
      <c r="H298" s="56"/>
      <c r="I298" s="67"/>
      <c r="J298" s="67"/>
      <c r="BH298" s="17"/>
      <c r="BI298" s="41"/>
      <c r="BJ298" s="68"/>
      <c r="BK298" s="68"/>
      <c r="BM298" s="56"/>
    </row>
    <row r="299" spans="6:65" s="1" customFormat="1" x14ac:dyDescent="0.2">
      <c r="F299" s="27"/>
      <c r="H299" s="56"/>
      <c r="I299" s="67"/>
      <c r="J299" s="67"/>
      <c r="BH299" s="17"/>
      <c r="BI299" s="41"/>
      <c r="BJ299" s="68"/>
      <c r="BK299" s="68"/>
      <c r="BM299" s="56"/>
    </row>
    <row r="300" spans="6:65" s="1" customFormat="1" x14ac:dyDescent="0.2">
      <c r="F300" s="27"/>
      <c r="H300" s="56"/>
      <c r="I300" s="67"/>
      <c r="J300" s="67"/>
      <c r="BH300" s="17"/>
      <c r="BI300" s="41"/>
      <c r="BJ300" s="68"/>
      <c r="BK300" s="68"/>
      <c r="BM300" s="56"/>
    </row>
    <row r="301" spans="6:65" s="1" customFormat="1" x14ac:dyDescent="0.2">
      <c r="F301" s="27"/>
      <c r="H301" s="56"/>
      <c r="I301" s="67"/>
      <c r="J301" s="67"/>
      <c r="BH301" s="17"/>
      <c r="BI301" s="41"/>
      <c r="BJ301" s="68"/>
      <c r="BK301" s="68"/>
      <c r="BM301" s="56"/>
    </row>
    <row r="302" spans="6:65" s="1" customFormat="1" x14ac:dyDescent="0.2">
      <c r="F302" s="27"/>
      <c r="H302" s="56"/>
      <c r="I302" s="67"/>
      <c r="J302" s="67"/>
      <c r="BH302" s="17"/>
      <c r="BI302" s="41"/>
      <c r="BJ302" s="68"/>
      <c r="BK302" s="68"/>
      <c r="BM302" s="56"/>
    </row>
    <row r="303" spans="6:65" s="1" customFormat="1" x14ac:dyDescent="0.2">
      <c r="F303" s="27"/>
      <c r="H303" s="56"/>
      <c r="I303" s="67"/>
      <c r="J303" s="67"/>
      <c r="BH303" s="17"/>
      <c r="BI303" s="41"/>
      <c r="BJ303" s="68"/>
      <c r="BK303" s="68"/>
      <c r="BM303" s="56"/>
    </row>
    <row r="304" spans="6:65" s="1" customFormat="1" x14ac:dyDescent="0.2">
      <c r="F304" s="27"/>
      <c r="H304" s="56"/>
      <c r="I304" s="67"/>
      <c r="J304" s="67"/>
      <c r="BH304" s="17"/>
      <c r="BI304" s="41"/>
      <c r="BJ304" s="68"/>
      <c r="BK304" s="68"/>
      <c r="BM304" s="56"/>
    </row>
    <row r="305" spans="6:65" s="1" customFormat="1" x14ac:dyDescent="0.2">
      <c r="F305" s="27"/>
      <c r="H305" s="56"/>
      <c r="I305" s="67"/>
      <c r="J305" s="67"/>
      <c r="BH305" s="17"/>
      <c r="BI305" s="41"/>
      <c r="BJ305" s="68"/>
      <c r="BK305" s="68"/>
      <c r="BM305" s="56"/>
    </row>
    <row r="306" spans="6:65" s="1" customFormat="1" x14ac:dyDescent="0.2">
      <c r="F306" s="27"/>
      <c r="H306" s="56"/>
      <c r="I306" s="67"/>
      <c r="J306" s="67"/>
      <c r="BH306" s="17"/>
      <c r="BI306" s="41"/>
      <c r="BJ306" s="68"/>
      <c r="BK306" s="68"/>
      <c r="BM306" s="56"/>
    </row>
    <row r="307" spans="6:65" s="1" customFormat="1" x14ac:dyDescent="0.2">
      <c r="F307" s="27"/>
      <c r="H307" s="56"/>
      <c r="I307" s="67"/>
      <c r="J307" s="67"/>
      <c r="BH307" s="17"/>
      <c r="BI307" s="41"/>
      <c r="BJ307" s="68"/>
      <c r="BK307" s="68"/>
      <c r="BM307" s="56"/>
    </row>
    <row r="308" spans="6:65" s="1" customFormat="1" x14ac:dyDescent="0.2">
      <c r="F308" s="27"/>
      <c r="H308" s="56"/>
      <c r="I308" s="67"/>
      <c r="J308" s="67"/>
      <c r="BH308" s="17"/>
      <c r="BI308" s="41"/>
      <c r="BJ308" s="68"/>
      <c r="BK308" s="68"/>
      <c r="BM308" s="56"/>
    </row>
    <row r="309" spans="6:65" s="1" customFormat="1" x14ac:dyDescent="0.2">
      <c r="F309" s="27"/>
      <c r="H309" s="56"/>
      <c r="I309" s="67"/>
      <c r="J309" s="67"/>
      <c r="BH309" s="17"/>
      <c r="BI309" s="41"/>
      <c r="BJ309" s="68"/>
      <c r="BK309" s="68"/>
      <c r="BM309" s="56"/>
    </row>
    <row r="310" spans="6:65" s="1" customFormat="1" x14ac:dyDescent="0.2">
      <c r="F310" s="27"/>
      <c r="H310" s="56"/>
      <c r="I310" s="67"/>
      <c r="J310" s="67"/>
      <c r="BH310" s="17"/>
      <c r="BI310" s="41"/>
      <c r="BJ310" s="68"/>
      <c r="BK310" s="68"/>
      <c r="BM310" s="56"/>
    </row>
    <row r="311" spans="6:65" s="1" customFormat="1" x14ac:dyDescent="0.2">
      <c r="F311" s="27"/>
      <c r="H311" s="56"/>
      <c r="I311" s="67"/>
      <c r="J311" s="67"/>
      <c r="BH311" s="17"/>
      <c r="BI311" s="41"/>
      <c r="BJ311" s="68"/>
      <c r="BK311" s="68"/>
      <c r="BM311" s="56"/>
    </row>
    <row r="312" spans="6:65" s="1" customFormat="1" x14ac:dyDescent="0.2">
      <c r="F312" s="27"/>
      <c r="H312" s="56"/>
      <c r="I312" s="67"/>
      <c r="J312" s="67"/>
      <c r="BH312" s="17"/>
      <c r="BI312" s="41"/>
      <c r="BJ312" s="68"/>
      <c r="BK312" s="68"/>
      <c r="BM312" s="56"/>
    </row>
    <row r="313" spans="6:65" s="1" customFormat="1" x14ac:dyDescent="0.2">
      <c r="F313" s="27"/>
      <c r="H313" s="56"/>
      <c r="I313" s="67"/>
      <c r="J313" s="67"/>
      <c r="BH313" s="17"/>
      <c r="BI313" s="41"/>
      <c r="BJ313" s="68"/>
      <c r="BK313" s="68"/>
      <c r="BM313" s="56"/>
    </row>
    <row r="314" spans="6:65" s="1" customFormat="1" x14ac:dyDescent="0.2">
      <c r="F314" s="27"/>
      <c r="H314" s="56"/>
      <c r="I314" s="67"/>
      <c r="J314" s="67"/>
      <c r="BH314" s="17"/>
      <c r="BI314" s="41"/>
      <c r="BJ314" s="68"/>
      <c r="BK314" s="68"/>
      <c r="BM314" s="56"/>
    </row>
    <row r="315" spans="6:65" s="1" customFormat="1" x14ac:dyDescent="0.2">
      <c r="F315" s="27"/>
      <c r="H315" s="56"/>
      <c r="I315" s="67"/>
      <c r="J315" s="67"/>
      <c r="BH315" s="17"/>
      <c r="BI315" s="41"/>
      <c r="BJ315" s="68"/>
      <c r="BK315" s="68"/>
      <c r="BM315" s="56"/>
    </row>
    <row r="316" spans="6:65" s="1" customFormat="1" x14ac:dyDescent="0.2">
      <c r="F316" s="27"/>
      <c r="H316" s="56"/>
      <c r="I316" s="67"/>
      <c r="J316" s="67"/>
      <c r="BH316" s="17"/>
      <c r="BI316" s="41"/>
      <c r="BJ316" s="68"/>
      <c r="BK316" s="68"/>
      <c r="BM316" s="56"/>
    </row>
    <row r="317" spans="6:65" s="1" customFormat="1" x14ac:dyDescent="0.2">
      <c r="F317" s="27"/>
      <c r="H317" s="56"/>
      <c r="I317" s="67"/>
      <c r="J317" s="67"/>
      <c r="BH317" s="17"/>
      <c r="BI317" s="41"/>
      <c r="BJ317" s="68"/>
      <c r="BK317" s="68"/>
      <c r="BM317" s="56"/>
    </row>
    <row r="318" spans="6:65" s="1" customFormat="1" x14ac:dyDescent="0.2">
      <c r="F318" s="27"/>
      <c r="H318" s="56"/>
      <c r="I318" s="67"/>
      <c r="J318" s="67"/>
      <c r="BH318" s="17"/>
      <c r="BI318" s="41"/>
      <c r="BJ318" s="68"/>
      <c r="BK318" s="68"/>
      <c r="BM318" s="56"/>
    </row>
    <row r="319" spans="6:65" s="1" customFormat="1" x14ac:dyDescent="0.2">
      <c r="F319" s="27"/>
      <c r="H319" s="56"/>
      <c r="I319" s="67"/>
      <c r="J319" s="67"/>
      <c r="BH319" s="17"/>
      <c r="BI319" s="41"/>
      <c r="BJ319" s="68"/>
      <c r="BK319" s="68"/>
      <c r="BM319" s="56"/>
    </row>
    <row r="320" spans="6:65" s="1" customFormat="1" x14ac:dyDescent="0.2">
      <c r="F320" s="27"/>
      <c r="H320" s="56"/>
      <c r="I320" s="67"/>
      <c r="J320" s="67"/>
      <c r="BH320" s="17"/>
      <c r="BI320" s="41"/>
      <c r="BJ320" s="68"/>
      <c r="BK320" s="68"/>
      <c r="BM320" s="56"/>
    </row>
    <row r="321" spans="6:65" s="1" customFormat="1" x14ac:dyDescent="0.2">
      <c r="F321" s="27"/>
      <c r="H321" s="56"/>
      <c r="I321" s="67"/>
      <c r="J321" s="67"/>
      <c r="BH321" s="17"/>
      <c r="BI321" s="41"/>
      <c r="BJ321" s="68"/>
      <c r="BK321" s="68"/>
      <c r="BM321" s="56"/>
    </row>
    <row r="322" spans="6:65" s="1" customFormat="1" x14ac:dyDescent="0.2">
      <c r="F322" s="27"/>
      <c r="H322" s="56"/>
      <c r="I322" s="67"/>
      <c r="J322" s="67"/>
      <c r="BH322" s="17"/>
      <c r="BI322" s="41"/>
      <c r="BJ322" s="68"/>
      <c r="BK322" s="68"/>
      <c r="BM322" s="56"/>
    </row>
    <row r="323" spans="6:65" x14ac:dyDescent="0.2">
      <c r="BH323" s="17"/>
      <c r="BI323" s="41"/>
      <c r="BJ323" s="18"/>
      <c r="BK323" s="18"/>
      <c r="BM323" s="56"/>
    </row>
    <row r="324" spans="6:65" x14ac:dyDescent="0.2">
      <c r="BH324" s="17"/>
      <c r="BI324" s="41"/>
      <c r="BJ324" s="18"/>
      <c r="BK324" s="18"/>
      <c r="BM324" s="56"/>
    </row>
    <row r="325" spans="6:65" x14ac:dyDescent="0.2">
      <c r="BH325" s="17"/>
      <c r="BI325" s="41"/>
      <c r="BJ325" s="18"/>
      <c r="BK325" s="18"/>
      <c r="BM325" s="56"/>
    </row>
    <row r="326" spans="6:65" x14ac:dyDescent="0.2">
      <c r="BH326" s="17"/>
      <c r="BI326" s="41"/>
      <c r="BJ326" s="18"/>
      <c r="BK326" s="18"/>
      <c r="BM326" s="56"/>
    </row>
    <row r="327" spans="6:65" x14ac:dyDescent="0.2">
      <c r="BH327" s="17"/>
      <c r="BI327" s="41"/>
      <c r="BJ327" s="18"/>
      <c r="BK327" s="18"/>
      <c r="BM327" s="56"/>
    </row>
    <row r="328" spans="6:65" x14ac:dyDescent="0.2">
      <c r="BH328" s="17"/>
      <c r="BI328" s="41"/>
      <c r="BJ328" s="18"/>
      <c r="BK328" s="18"/>
      <c r="BM328" s="56"/>
    </row>
    <row r="329" spans="6:65" x14ac:dyDescent="0.2">
      <c r="BH329" s="17"/>
      <c r="BI329" s="41"/>
      <c r="BJ329" s="18"/>
      <c r="BK329" s="18"/>
      <c r="BM329" s="56"/>
    </row>
    <row r="330" spans="6:65" x14ac:dyDescent="0.2">
      <c r="BH330" s="17"/>
      <c r="BI330" s="41"/>
      <c r="BJ330" s="18"/>
      <c r="BK330" s="18"/>
      <c r="BM330" s="56"/>
    </row>
    <row r="331" spans="6:65" x14ac:dyDescent="0.2">
      <c r="BH331" s="17"/>
      <c r="BI331" s="41"/>
      <c r="BJ331" s="18"/>
      <c r="BK331" s="18"/>
      <c r="BM331" s="56"/>
    </row>
    <row r="332" spans="6:65" x14ac:dyDescent="0.2">
      <c r="BH332" s="17"/>
      <c r="BI332" s="41"/>
      <c r="BJ332" s="18"/>
      <c r="BK332" s="18"/>
      <c r="BM332" s="56"/>
    </row>
    <row r="333" spans="6:65" x14ac:dyDescent="0.2">
      <c r="BH333" s="17"/>
      <c r="BI333" s="41"/>
      <c r="BJ333" s="18"/>
      <c r="BK333" s="18"/>
      <c r="BM333" s="56"/>
    </row>
    <row r="334" spans="6:65" x14ac:dyDescent="0.2">
      <c r="BH334" s="17"/>
      <c r="BI334" s="41"/>
      <c r="BJ334" s="18"/>
      <c r="BK334" s="18"/>
      <c r="BM334" s="56"/>
    </row>
    <row r="335" spans="6:65" x14ac:dyDescent="0.2">
      <c r="BH335" s="17"/>
      <c r="BI335" s="41"/>
      <c r="BJ335" s="18"/>
      <c r="BK335" s="18"/>
      <c r="BM335" s="56"/>
    </row>
    <row r="336" spans="6:65" x14ac:dyDescent="0.2">
      <c r="BH336" s="17"/>
      <c r="BI336" s="41"/>
      <c r="BJ336" s="18"/>
      <c r="BK336" s="18"/>
      <c r="BM336" s="56"/>
    </row>
    <row r="337" spans="60:65" x14ac:dyDescent="0.2">
      <c r="BH337" s="17"/>
      <c r="BI337" s="41"/>
      <c r="BJ337" s="18"/>
      <c r="BK337" s="18"/>
      <c r="BM337" s="56"/>
    </row>
    <row r="338" spans="60:65" x14ac:dyDescent="0.2">
      <c r="BH338" s="17"/>
      <c r="BI338" s="41"/>
      <c r="BJ338" s="18"/>
      <c r="BK338" s="18"/>
      <c r="BM338" s="56"/>
    </row>
    <row r="339" spans="60:65" x14ac:dyDescent="0.2">
      <c r="BH339" s="17"/>
      <c r="BI339" s="41"/>
      <c r="BJ339" s="18"/>
      <c r="BK339" s="18"/>
      <c r="BM339" s="56"/>
    </row>
    <row r="340" spans="60:65" x14ac:dyDescent="0.2">
      <c r="BH340" s="17"/>
      <c r="BI340" s="41"/>
      <c r="BJ340" s="18"/>
      <c r="BK340" s="18"/>
      <c r="BM340" s="56"/>
    </row>
    <row r="341" spans="60:65" x14ac:dyDescent="0.2">
      <c r="BH341" s="17"/>
      <c r="BI341" s="41"/>
      <c r="BJ341" s="18"/>
      <c r="BK341" s="18"/>
      <c r="BM341" s="56"/>
    </row>
    <row r="342" spans="60:65" x14ac:dyDescent="0.2">
      <c r="BH342" s="17"/>
      <c r="BI342" s="41"/>
      <c r="BJ342" s="18"/>
      <c r="BK342" s="18"/>
      <c r="BM342" s="56"/>
    </row>
    <row r="343" spans="60:65" x14ac:dyDescent="0.2">
      <c r="BH343" s="17"/>
      <c r="BI343" s="41"/>
      <c r="BJ343" s="18"/>
      <c r="BK343" s="18"/>
      <c r="BM343" s="56"/>
    </row>
    <row r="344" spans="60:65" x14ac:dyDescent="0.2">
      <c r="BH344" s="17"/>
      <c r="BI344" s="41"/>
      <c r="BJ344" s="18"/>
      <c r="BK344" s="18"/>
      <c r="BM344" s="56"/>
    </row>
    <row r="345" spans="60:65" x14ac:dyDescent="0.2">
      <c r="BH345" s="17"/>
      <c r="BI345" s="41"/>
      <c r="BJ345" s="18"/>
      <c r="BK345" s="18"/>
      <c r="BM345" s="56"/>
    </row>
    <row r="346" spans="60:65" x14ac:dyDescent="0.2">
      <c r="BH346" s="17"/>
      <c r="BI346" s="41"/>
      <c r="BJ346" s="18"/>
      <c r="BK346" s="18"/>
      <c r="BM346" s="56"/>
    </row>
    <row r="347" spans="60:65" x14ac:dyDescent="0.2">
      <c r="BH347" s="17"/>
      <c r="BI347" s="41"/>
      <c r="BJ347" s="18"/>
      <c r="BK347" s="18"/>
      <c r="BM347" s="56"/>
    </row>
    <row r="348" spans="60:65" x14ac:dyDescent="0.2">
      <c r="BH348" s="17"/>
      <c r="BI348" s="41"/>
      <c r="BJ348" s="18"/>
      <c r="BK348" s="18"/>
      <c r="BM348" s="56"/>
    </row>
    <row r="349" spans="60:65" x14ac:dyDescent="0.2">
      <c r="BH349" s="17"/>
      <c r="BI349" s="41"/>
      <c r="BJ349" s="18"/>
      <c r="BK349" s="18"/>
      <c r="BM349" s="56"/>
    </row>
    <row r="350" spans="60:65" x14ac:dyDescent="0.2">
      <c r="BH350" s="17"/>
      <c r="BI350" s="41"/>
      <c r="BJ350" s="18"/>
      <c r="BK350" s="18"/>
      <c r="BM350" s="56"/>
    </row>
    <row r="351" spans="60:65" x14ac:dyDescent="0.2">
      <c r="BH351" s="17"/>
      <c r="BI351" s="41"/>
      <c r="BJ351" s="18"/>
      <c r="BK351" s="18"/>
      <c r="BM351" s="56"/>
    </row>
    <row r="352" spans="60:65" x14ac:dyDescent="0.2">
      <c r="BH352" s="17"/>
      <c r="BI352" s="41"/>
      <c r="BJ352" s="18"/>
      <c r="BK352" s="18"/>
      <c r="BM352" s="56"/>
    </row>
    <row r="353" spans="60:65" x14ac:dyDescent="0.2">
      <c r="BH353" s="17"/>
      <c r="BI353" s="41"/>
      <c r="BJ353" s="18"/>
      <c r="BK353" s="18"/>
      <c r="BM353" s="56"/>
    </row>
    <row r="354" spans="60:65" x14ac:dyDescent="0.2">
      <c r="BH354" s="17"/>
      <c r="BI354" s="41"/>
      <c r="BJ354" s="18"/>
      <c r="BK354" s="18"/>
      <c r="BM354" s="56"/>
    </row>
    <row r="355" spans="60:65" x14ac:dyDescent="0.2">
      <c r="BH355" s="17"/>
      <c r="BI355" s="41"/>
      <c r="BJ355" s="18"/>
      <c r="BK355" s="18"/>
      <c r="BM355" s="56"/>
    </row>
    <row r="356" spans="60:65" x14ac:dyDescent="0.2">
      <c r="BH356" s="17"/>
      <c r="BI356" s="41"/>
      <c r="BJ356" s="18"/>
      <c r="BK356" s="18"/>
      <c r="BM356" s="56"/>
    </row>
    <row r="357" spans="60:65" x14ac:dyDescent="0.2">
      <c r="BH357" s="17"/>
      <c r="BI357" s="41"/>
      <c r="BJ357" s="18"/>
      <c r="BK357" s="18"/>
      <c r="BM357" s="56"/>
    </row>
    <row r="358" spans="60:65" x14ac:dyDescent="0.2">
      <c r="BH358" s="17"/>
      <c r="BI358" s="41"/>
      <c r="BJ358" s="18"/>
      <c r="BK358" s="18"/>
      <c r="BM358" s="56"/>
    </row>
    <row r="359" spans="60:65" x14ac:dyDescent="0.2">
      <c r="BH359" s="17"/>
      <c r="BI359" s="41"/>
      <c r="BJ359" s="18"/>
      <c r="BK359" s="18"/>
      <c r="BM359" s="56"/>
    </row>
    <row r="360" spans="60:65" x14ac:dyDescent="0.2">
      <c r="BH360" s="17"/>
      <c r="BI360" s="41"/>
      <c r="BJ360" s="18"/>
      <c r="BK360" s="18"/>
      <c r="BM360" s="56"/>
    </row>
    <row r="361" spans="60:65" x14ac:dyDescent="0.2">
      <c r="BH361" s="17"/>
      <c r="BI361" s="41"/>
      <c r="BJ361" s="18"/>
      <c r="BK361" s="18"/>
      <c r="BM361" s="56"/>
    </row>
    <row r="362" spans="60:65" x14ac:dyDescent="0.2">
      <c r="BH362" s="17"/>
      <c r="BI362" s="41"/>
      <c r="BJ362" s="18"/>
      <c r="BK362" s="18"/>
      <c r="BM362" s="56"/>
    </row>
    <row r="363" spans="60:65" x14ac:dyDescent="0.2">
      <c r="BH363" s="17"/>
      <c r="BI363" s="41"/>
      <c r="BJ363" s="18"/>
      <c r="BK363" s="18"/>
      <c r="BM363" s="56"/>
    </row>
    <row r="364" spans="60:65" x14ac:dyDescent="0.2">
      <c r="BH364" s="17"/>
      <c r="BI364" s="41"/>
      <c r="BJ364" s="18"/>
      <c r="BK364" s="18"/>
      <c r="BM364" s="56"/>
    </row>
    <row r="365" spans="60:65" x14ac:dyDescent="0.2">
      <c r="BH365" s="17"/>
      <c r="BI365" s="41"/>
      <c r="BJ365" s="18"/>
      <c r="BK365" s="18"/>
      <c r="BM365" s="56"/>
    </row>
    <row r="366" spans="60:65" x14ac:dyDescent="0.2">
      <c r="BH366" s="17"/>
      <c r="BI366" s="41"/>
      <c r="BJ366" s="18"/>
      <c r="BK366" s="18"/>
      <c r="BM366" s="56"/>
    </row>
    <row r="367" spans="60:65" x14ac:dyDescent="0.2">
      <c r="BH367" s="17"/>
      <c r="BI367" s="41"/>
      <c r="BJ367" s="18"/>
      <c r="BK367" s="18"/>
      <c r="BM367" s="56"/>
    </row>
    <row r="368" spans="60:65" x14ac:dyDescent="0.2">
      <c r="BH368" s="17"/>
      <c r="BI368" s="41"/>
      <c r="BJ368" s="18"/>
      <c r="BK368" s="18"/>
      <c r="BM368" s="56"/>
    </row>
    <row r="369" spans="60:65" x14ac:dyDescent="0.2">
      <c r="BH369" s="17"/>
      <c r="BI369" s="41"/>
      <c r="BJ369" s="18"/>
      <c r="BK369" s="18"/>
      <c r="BM369" s="56"/>
    </row>
    <row r="370" spans="60:65" x14ac:dyDescent="0.2">
      <c r="BH370" s="17"/>
      <c r="BI370" s="41"/>
      <c r="BJ370" s="18"/>
      <c r="BK370" s="18"/>
      <c r="BM370" s="56"/>
    </row>
    <row r="371" spans="60:65" x14ac:dyDescent="0.2">
      <c r="BH371" s="17"/>
      <c r="BI371" s="41"/>
      <c r="BJ371" s="18"/>
      <c r="BK371" s="18"/>
      <c r="BM371" s="56"/>
    </row>
    <row r="372" spans="60:65" x14ac:dyDescent="0.2">
      <c r="BH372" s="17"/>
      <c r="BI372" s="41"/>
      <c r="BJ372" s="18"/>
      <c r="BK372" s="18"/>
      <c r="BM372" s="56"/>
    </row>
    <row r="373" spans="60:65" x14ac:dyDescent="0.2">
      <c r="BH373" s="17"/>
      <c r="BI373" s="41"/>
      <c r="BJ373" s="18"/>
      <c r="BK373" s="18"/>
      <c r="BM373" s="56"/>
    </row>
    <row r="374" spans="60:65" x14ac:dyDescent="0.2">
      <c r="BH374" s="17"/>
      <c r="BI374" s="41"/>
      <c r="BJ374" s="18"/>
      <c r="BK374" s="18"/>
      <c r="BM374" s="56"/>
    </row>
    <row r="375" spans="60:65" x14ac:dyDescent="0.2">
      <c r="BH375" s="17"/>
      <c r="BI375" s="41"/>
      <c r="BJ375" s="18"/>
      <c r="BK375" s="18"/>
      <c r="BM375" s="56"/>
    </row>
    <row r="376" spans="60:65" x14ac:dyDescent="0.2">
      <c r="BH376" s="17"/>
      <c r="BI376" s="41"/>
      <c r="BJ376" s="18"/>
      <c r="BK376" s="18"/>
      <c r="BM376" s="56"/>
    </row>
    <row r="377" spans="60:65" x14ac:dyDescent="0.2">
      <c r="BH377" s="17"/>
      <c r="BI377" s="41"/>
      <c r="BJ377" s="18"/>
      <c r="BK377" s="18"/>
      <c r="BM377" s="56"/>
    </row>
    <row r="378" spans="60:65" x14ac:dyDescent="0.2">
      <c r="BH378" s="17"/>
      <c r="BI378" s="41"/>
      <c r="BJ378" s="18"/>
      <c r="BK378" s="18"/>
      <c r="BM378" s="56"/>
    </row>
    <row r="379" spans="60:65" x14ac:dyDescent="0.2">
      <c r="BH379" s="17"/>
      <c r="BI379" s="41"/>
      <c r="BJ379" s="18"/>
      <c r="BK379" s="18"/>
      <c r="BM379" s="56"/>
    </row>
    <row r="380" spans="60:65" x14ac:dyDescent="0.2">
      <c r="BH380" s="17"/>
      <c r="BI380" s="41"/>
      <c r="BJ380" s="18"/>
      <c r="BK380" s="18"/>
      <c r="BM380" s="56"/>
    </row>
    <row r="381" spans="60:65" x14ac:dyDescent="0.2">
      <c r="BH381" s="17"/>
      <c r="BI381" s="41"/>
      <c r="BJ381" s="18"/>
      <c r="BK381" s="18"/>
      <c r="BM381" s="56"/>
    </row>
    <row r="382" spans="60:65" x14ac:dyDescent="0.2">
      <c r="BH382" s="17"/>
      <c r="BI382" s="41"/>
      <c r="BJ382" s="18"/>
      <c r="BK382" s="18"/>
      <c r="BM382" s="56"/>
    </row>
    <row r="383" spans="60:65" x14ac:dyDescent="0.2">
      <c r="BH383" s="17"/>
      <c r="BI383" s="41"/>
      <c r="BJ383" s="18"/>
      <c r="BK383" s="18"/>
      <c r="BM383" s="56"/>
    </row>
    <row r="384" spans="60:65" x14ac:dyDescent="0.2">
      <c r="BH384" s="17"/>
      <c r="BI384" s="41"/>
      <c r="BJ384" s="18"/>
      <c r="BK384" s="18"/>
      <c r="BM384" s="56"/>
    </row>
    <row r="385" spans="60:65" x14ac:dyDescent="0.2">
      <c r="BH385" s="17"/>
      <c r="BI385" s="41"/>
      <c r="BJ385" s="18"/>
      <c r="BK385" s="18"/>
      <c r="BM385" s="56"/>
    </row>
    <row r="386" spans="60:65" x14ac:dyDescent="0.2">
      <c r="BH386" s="17"/>
      <c r="BI386" s="41"/>
      <c r="BJ386" s="18"/>
      <c r="BK386" s="18"/>
      <c r="BM386" s="56"/>
    </row>
    <row r="387" spans="60:65" x14ac:dyDescent="0.2">
      <c r="BH387" s="17"/>
      <c r="BI387" s="41"/>
      <c r="BJ387" s="18"/>
      <c r="BK387" s="18"/>
      <c r="BM387" s="56"/>
    </row>
    <row r="388" spans="60:65" x14ac:dyDescent="0.2">
      <c r="BH388" s="17"/>
      <c r="BI388" s="41"/>
      <c r="BJ388" s="18"/>
      <c r="BK388" s="18"/>
      <c r="BM388" s="56"/>
    </row>
    <row r="389" spans="60:65" x14ac:dyDescent="0.2">
      <c r="BH389" s="17"/>
      <c r="BI389" s="41"/>
      <c r="BJ389" s="18"/>
      <c r="BK389" s="18"/>
      <c r="BM389" s="56"/>
    </row>
    <row r="390" spans="60:65" x14ac:dyDescent="0.2">
      <c r="BH390" s="17"/>
      <c r="BI390" s="41"/>
      <c r="BJ390" s="18"/>
      <c r="BK390" s="18"/>
      <c r="BM390" s="56"/>
    </row>
    <row r="391" spans="60:65" x14ac:dyDescent="0.2">
      <c r="BH391" s="17"/>
      <c r="BI391" s="41"/>
      <c r="BJ391" s="18"/>
      <c r="BK391" s="18"/>
      <c r="BM391" s="56"/>
    </row>
    <row r="392" spans="60:65" x14ac:dyDescent="0.2">
      <c r="BH392" s="17"/>
      <c r="BI392" s="41"/>
      <c r="BJ392" s="18"/>
      <c r="BK392" s="18"/>
      <c r="BM392" s="56"/>
    </row>
    <row r="393" spans="60:65" x14ac:dyDescent="0.2">
      <c r="BH393" s="17"/>
      <c r="BI393" s="41"/>
      <c r="BJ393" s="18"/>
      <c r="BK393" s="18"/>
      <c r="BM393" s="56"/>
    </row>
    <row r="394" spans="60:65" x14ac:dyDescent="0.2">
      <c r="BH394" s="17"/>
      <c r="BI394" s="41"/>
      <c r="BJ394" s="18"/>
      <c r="BK394" s="18"/>
      <c r="BM394" s="56"/>
    </row>
    <row r="395" spans="60:65" x14ac:dyDescent="0.2">
      <c r="BH395" s="17"/>
      <c r="BI395" s="41"/>
      <c r="BJ395" s="18"/>
      <c r="BK395" s="18"/>
      <c r="BM395" s="56"/>
    </row>
    <row r="396" spans="60:65" x14ac:dyDescent="0.2">
      <c r="BH396" s="17"/>
      <c r="BI396" s="41"/>
      <c r="BJ396" s="18"/>
      <c r="BK396" s="18"/>
      <c r="BM396" s="56"/>
    </row>
    <row r="397" spans="60:65" x14ac:dyDescent="0.2">
      <c r="BH397" s="17"/>
      <c r="BI397" s="41"/>
      <c r="BJ397" s="18"/>
      <c r="BK397" s="18"/>
      <c r="BM397" s="56"/>
    </row>
    <row r="398" spans="60:65" x14ac:dyDescent="0.2">
      <c r="BH398" s="17"/>
      <c r="BI398" s="41"/>
      <c r="BJ398" s="18"/>
      <c r="BK398" s="18"/>
      <c r="BM398" s="56"/>
    </row>
    <row r="399" spans="60:65" x14ac:dyDescent="0.2">
      <c r="BH399" s="17"/>
      <c r="BI399" s="41"/>
      <c r="BJ399" s="18"/>
      <c r="BK399" s="18"/>
      <c r="BM399" s="56"/>
    </row>
    <row r="400" spans="60:65" x14ac:dyDescent="0.2">
      <c r="BH400" s="17"/>
      <c r="BI400" s="41"/>
      <c r="BJ400" s="18"/>
      <c r="BK400" s="18"/>
      <c r="BM400" s="56"/>
    </row>
    <row r="401" spans="60:65" x14ac:dyDescent="0.2">
      <c r="BH401" s="17"/>
      <c r="BI401" s="41"/>
      <c r="BJ401" s="18"/>
      <c r="BK401" s="18"/>
      <c r="BM401" s="56"/>
    </row>
    <row r="402" spans="60:65" x14ac:dyDescent="0.2">
      <c r="BH402" s="17"/>
      <c r="BI402" s="41"/>
      <c r="BJ402" s="18"/>
      <c r="BK402" s="18"/>
      <c r="BM402" s="56"/>
    </row>
    <row r="403" spans="60:65" x14ac:dyDescent="0.2">
      <c r="BH403" s="17"/>
      <c r="BI403" s="41"/>
      <c r="BJ403" s="18"/>
      <c r="BK403" s="18"/>
      <c r="BM403" s="56"/>
    </row>
    <row r="404" spans="60:65" x14ac:dyDescent="0.2">
      <c r="BH404" s="17"/>
      <c r="BI404" s="41"/>
      <c r="BJ404" s="18"/>
      <c r="BK404" s="18"/>
      <c r="BM404" s="56"/>
    </row>
    <row r="405" spans="60:65" x14ac:dyDescent="0.2">
      <c r="BH405" s="17"/>
      <c r="BI405" s="41"/>
      <c r="BJ405" s="18"/>
      <c r="BK405" s="18"/>
      <c r="BM405" s="56"/>
    </row>
    <row r="406" spans="60:65" x14ac:dyDescent="0.2">
      <c r="BH406" s="17"/>
      <c r="BI406" s="41"/>
      <c r="BJ406" s="18"/>
      <c r="BK406" s="18"/>
      <c r="BM406" s="56"/>
    </row>
    <row r="407" spans="60:65" x14ac:dyDescent="0.2">
      <c r="BH407" s="17"/>
      <c r="BI407" s="41"/>
      <c r="BJ407" s="18"/>
      <c r="BK407" s="18"/>
      <c r="BM407" s="56"/>
    </row>
    <row r="408" spans="60:65" x14ac:dyDescent="0.2">
      <c r="BH408" s="17"/>
      <c r="BI408" s="41"/>
      <c r="BJ408" s="18"/>
      <c r="BK408" s="18"/>
      <c r="BM408" s="56"/>
    </row>
    <row r="409" spans="60:65" x14ac:dyDescent="0.2">
      <c r="BH409" s="17"/>
      <c r="BI409" s="41"/>
      <c r="BJ409" s="18"/>
      <c r="BK409" s="18"/>
      <c r="BM409" s="56"/>
    </row>
    <row r="410" spans="60:65" x14ac:dyDescent="0.2">
      <c r="BH410" s="17"/>
      <c r="BI410" s="41"/>
      <c r="BJ410" s="18"/>
      <c r="BK410" s="18"/>
      <c r="BM410" s="56"/>
    </row>
    <row r="411" spans="60:65" x14ac:dyDescent="0.2">
      <c r="BH411" s="17"/>
      <c r="BI411" s="41"/>
      <c r="BJ411" s="18"/>
      <c r="BK411" s="18"/>
      <c r="BM411" s="56"/>
    </row>
    <row r="412" spans="60:65" x14ac:dyDescent="0.2">
      <c r="BH412" s="17"/>
      <c r="BI412" s="41"/>
      <c r="BJ412" s="18"/>
      <c r="BK412" s="18"/>
      <c r="BM412" s="56"/>
    </row>
    <row r="413" spans="60:65" x14ac:dyDescent="0.2">
      <c r="BH413" s="17"/>
      <c r="BI413" s="41"/>
      <c r="BJ413" s="18"/>
      <c r="BK413" s="18"/>
      <c r="BM413" s="56"/>
    </row>
    <row r="414" spans="60:65" x14ac:dyDescent="0.2">
      <c r="BH414" s="17"/>
      <c r="BI414" s="41"/>
      <c r="BJ414" s="18"/>
      <c r="BK414" s="18"/>
      <c r="BM414" s="56"/>
    </row>
    <row r="415" spans="60:65" x14ac:dyDescent="0.2">
      <c r="BH415" s="17"/>
      <c r="BI415" s="41"/>
      <c r="BJ415" s="18"/>
      <c r="BK415" s="18"/>
      <c r="BM415" s="56"/>
    </row>
    <row r="416" spans="60:65" x14ac:dyDescent="0.2">
      <c r="BH416" s="17"/>
      <c r="BI416" s="41"/>
      <c r="BJ416" s="18"/>
      <c r="BK416" s="18"/>
      <c r="BM416" s="56"/>
    </row>
    <row r="417" spans="60:65" x14ac:dyDescent="0.2">
      <c r="BH417" s="17"/>
      <c r="BI417" s="41"/>
      <c r="BJ417" s="18"/>
      <c r="BK417" s="18"/>
      <c r="BM417" s="56"/>
    </row>
    <row r="418" spans="60:65" x14ac:dyDescent="0.2">
      <c r="BH418" s="17"/>
      <c r="BI418" s="41"/>
      <c r="BJ418" s="18"/>
      <c r="BK418" s="18"/>
      <c r="BM418" s="56"/>
    </row>
    <row r="419" spans="60:65" x14ac:dyDescent="0.2">
      <c r="BH419" s="17"/>
      <c r="BI419" s="41"/>
      <c r="BJ419" s="18"/>
      <c r="BK419" s="18"/>
      <c r="BM419" s="56"/>
    </row>
    <row r="420" spans="60:65" x14ac:dyDescent="0.2">
      <c r="BH420" s="17"/>
      <c r="BI420" s="41"/>
      <c r="BJ420" s="18"/>
      <c r="BK420" s="18"/>
      <c r="BM420" s="56"/>
    </row>
    <row r="421" spans="60:65" x14ac:dyDescent="0.2">
      <c r="BH421" s="17"/>
      <c r="BI421" s="41"/>
      <c r="BJ421" s="18"/>
      <c r="BK421" s="18"/>
      <c r="BM421" s="56"/>
    </row>
    <row r="422" spans="60:65" x14ac:dyDescent="0.2">
      <c r="BH422" s="17"/>
      <c r="BI422" s="41"/>
      <c r="BJ422" s="18"/>
      <c r="BK422" s="18"/>
      <c r="BM422" s="56"/>
    </row>
    <row r="423" spans="60:65" x14ac:dyDescent="0.2">
      <c r="BH423" s="17"/>
      <c r="BI423" s="41"/>
      <c r="BJ423" s="18"/>
      <c r="BK423" s="18"/>
      <c r="BM423" s="56"/>
    </row>
    <row r="424" spans="60:65" x14ac:dyDescent="0.2">
      <c r="BH424" s="17"/>
      <c r="BI424" s="41"/>
      <c r="BJ424" s="18"/>
      <c r="BK424" s="18"/>
      <c r="BM424" s="56"/>
    </row>
    <row r="425" spans="60:65" x14ac:dyDescent="0.2">
      <c r="BH425" s="17"/>
      <c r="BI425" s="41"/>
      <c r="BJ425" s="18"/>
      <c r="BK425" s="18"/>
      <c r="BM425" s="56"/>
    </row>
    <row r="426" spans="60:65" x14ac:dyDescent="0.2">
      <c r="BH426" s="17"/>
      <c r="BI426" s="41"/>
      <c r="BJ426" s="18"/>
      <c r="BK426" s="18"/>
      <c r="BM426" s="56"/>
    </row>
    <row r="427" spans="60:65" x14ac:dyDescent="0.2">
      <c r="BH427" s="17"/>
      <c r="BI427" s="41"/>
      <c r="BJ427" s="18"/>
      <c r="BK427" s="18"/>
      <c r="BM427" s="56"/>
    </row>
    <row r="428" spans="60:65" x14ac:dyDescent="0.2">
      <c r="BH428" s="17"/>
      <c r="BI428" s="41"/>
      <c r="BJ428" s="18"/>
      <c r="BK428" s="18"/>
      <c r="BM428" s="56"/>
    </row>
    <row r="429" spans="60:65" x14ac:dyDescent="0.2">
      <c r="BH429" s="17"/>
      <c r="BI429" s="41"/>
      <c r="BJ429" s="18"/>
      <c r="BK429" s="18"/>
      <c r="BM429" s="56"/>
    </row>
    <row r="430" spans="60:65" x14ac:dyDescent="0.2">
      <c r="BH430" s="17"/>
      <c r="BI430" s="41"/>
      <c r="BJ430" s="18"/>
      <c r="BK430" s="18"/>
      <c r="BM430" s="56"/>
    </row>
    <row r="431" spans="60:65" x14ac:dyDescent="0.2">
      <c r="BH431" s="17"/>
      <c r="BI431" s="41"/>
      <c r="BJ431" s="18"/>
      <c r="BK431" s="18"/>
      <c r="BM431" s="56"/>
    </row>
    <row r="432" spans="60:65" x14ac:dyDescent="0.2">
      <c r="BH432" s="17"/>
      <c r="BI432" s="41"/>
      <c r="BJ432" s="18"/>
      <c r="BK432" s="18"/>
      <c r="BM432" s="56"/>
    </row>
    <row r="433" spans="60:65" x14ac:dyDescent="0.2">
      <c r="BH433" s="17"/>
      <c r="BI433" s="41"/>
      <c r="BJ433" s="18"/>
      <c r="BK433" s="18"/>
      <c r="BM433" s="56"/>
    </row>
    <row r="434" spans="60:65" x14ac:dyDescent="0.2">
      <c r="BH434" s="17"/>
      <c r="BI434" s="41"/>
      <c r="BJ434" s="18"/>
      <c r="BK434" s="18"/>
      <c r="BM434" s="56"/>
    </row>
    <row r="435" spans="60:65" x14ac:dyDescent="0.2">
      <c r="BH435" s="17"/>
      <c r="BI435" s="41"/>
      <c r="BJ435" s="18"/>
      <c r="BK435" s="18"/>
      <c r="BM435" s="56"/>
    </row>
    <row r="436" spans="60:65" x14ac:dyDescent="0.2">
      <c r="BH436" s="17"/>
      <c r="BI436" s="41"/>
      <c r="BJ436" s="18"/>
      <c r="BK436" s="18"/>
      <c r="BM436" s="56"/>
    </row>
    <row r="437" spans="60:65" x14ac:dyDescent="0.2">
      <c r="BH437" s="17"/>
      <c r="BI437" s="41"/>
      <c r="BJ437" s="18"/>
      <c r="BK437" s="18"/>
      <c r="BM437" s="56"/>
    </row>
    <row r="438" spans="60:65" x14ac:dyDescent="0.2">
      <c r="BH438" s="17"/>
      <c r="BI438" s="41"/>
      <c r="BJ438" s="18"/>
      <c r="BK438" s="18"/>
      <c r="BM438" s="56"/>
    </row>
    <row r="439" spans="60:65" x14ac:dyDescent="0.2">
      <c r="BH439" s="17"/>
      <c r="BI439" s="41"/>
      <c r="BJ439" s="18"/>
      <c r="BK439" s="18"/>
      <c r="BM439" s="56"/>
    </row>
    <row r="440" spans="60:65" x14ac:dyDescent="0.2">
      <c r="BH440" s="17"/>
      <c r="BI440" s="41"/>
      <c r="BJ440" s="18"/>
      <c r="BK440" s="18"/>
      <c r="BM440" s="56"/>
    </row>
    <row r="441" spans="60:65" x14ac:dyDescent="0.2">
      <c r="BH441" s="17"/>
      <c r="BI441" s="41"/>
      <c r="BJ441" s="18"/>
      <c r="BK441" s="18"/>
      <c r="BM441" s="56"/>
    </row>
    <row r="442" spans="60:65" x14ac:dyDescent="0.2">
      <c r="BH442" s="17"/>
      <c r="BI442" s="41"/>
      <c r="BJ442" s="18"/>
      <c r="BK442" s="18"/>
      <c r="BM442" s="56"/>
    </row>
    <row r="443" spans="60:65" x14ac:dyDescent="0.2">
      <c r="BH443" s="17"/>
      <c r="BI443" s="41"/>
      <c r="BJ443" s="18"/>
      <c r="BK443" s="18"/>
      <c r="BM443" s="56"/>
    </row>
    <row r="444" spans="60:65" x14ac:dyDescent="0.2">
      <c r="BH444" s="17"/>
      <c r="BI444" s="41"/>
      <c r="BJ444" s="18"/>
      <c r="BK444" s="18"/>
      <c r="BM444" s="56"/>
    </row>
    <row r="445" spans="60:65" x14ac:dyDescent="0.2">
      <c r="BH445" s="17"/>
      <c r="BI445" s="41"/>
      <c r="BJ445" s="18"/>
      <c r="BK445" s="18"/>
      <c r="BM445" s="56"/>
    </row>
    <row r="446" spans="60:65" x14ac:dyDescent="0.2">
      <c r="BH446" s="17"/>
      <c r="BI446" s="41"/>
      <c r="BJ446" s="18"/>
      <c r="BK446" s="18"/>
      <c r="BM446" s="56"/>
    </row>
    <row r="447" spans="60:65" x14ac:dyDescent="0.2">
      <c r="BH447" s="17"/>
      <c r="BI447" s="41"/>
      <c r="BJ447" s="18"/>
      <c r="BK447" s="18"/>
      <c r="BM447" s="56"/>
    </row>
    <row r="448" spans="60:65" x14ac:dyDescent="0.2">
      <c r="BH448" s="17"/>
      <c r="BI448" s="41"/>
      <c r="BJ448" s="18"/>
      <c r="BK448" s="18"/>
      <c r="BM448" s="56"/>
    </row>
    <row r="449" spans="60:65" x14ac:dyDescent="0.2">
      <c r="BH449" s="17"/>
      <c r="BI449" s="41"/>
      <c r="BJ449" s="18"/>
      <c r="BK449" s="18"/>
      <c r="BM449" s="56"/>
    </row>
    <row r="450" spans="60:65" x14ac:dyDescent="0.2">
      <c r="BH450" s="17"/>
      <c r="BI450" s="41"/>
      <c r="BJ450" s="18"/>
      <c r="BK450" s="18"/>
      <c r="BM450" s="56"/>
    </row>
    <row r="451" spans="60:65" x14ac:dyDescent="0.2">
      <c r="BH451" s="17"/>
      <c r="BI451" s="41"/>
      <c r="BJ451" s="18"/>
      <c r="BK451" s="18"/>
      <c r="BM451" s="56"/>
    </row>
    <row r="452" spans="60:65" x14ac:dyDescent="0.2">
      <c r="BH452" s="17"/>
      <c r="BI452" s="41"/>
      <c r="BJ452" s="18"/>
      <c r="BK452" s="18"/>
      <c r="BM452" s="56"/>
    </row>
    <row r="453" spans="60:65" x14ac:dyDescent="0.2">
      <c r="BH453" s="17"/>
      <c r="BI453" s="41"/>
      <c r="BJ453" s="18"/>
      <c r="BK453" s="18"/>
      <c r="BM453" s="56"/>
    </row>
    <row r="454" spans="60:65" x14ac:dyDescent="0.2">
      <c r="BH454" s="17"/>
      <c r="BI454" s="41"/>
      <c r="BJ454" s="18"/>
      <c r="BK454" s="18"/>
      <c r="BM454" s="56"/>
    </row>
    <row r="455" spans="60:65" x14ac:dyDescent="0.2">
      <c r="BH455" s="17"/>
      <c r="BI455" s="41"/>
      <c r="BJ455" s="18"/>
      <c r="BK455" s="18"/>
      <c r="BM455" s="56"/>
    </row>
    <row r="456" spans="60:65" x14ac:dyDescent="0.2">
      <c r="BH456" s="17"/>
      <c r="BI456" s="41"/>
      <c r="BJ456" s="18"/>
      <c r="BK456" s="18"/>
      <c r="BM456" s="56"/>
    </row>
    <row r="457" spans="60:65" x14ac:dyDescent="0.2">
      <c r="BH457" s="17"/>
      <c r="BI457" s="41"/>
      <c r="BJ457" s="18"/>
      <c r="BK457" s="18"/>
      <c r="BM457" s="56"/>
    </row>
    <row r="458" spans="60:65" x14ac:dyDescent="0.2">
      <c r="BH458" s="17"/>
      <c r="BI458" s="41"/>
      <c r="BJ458" s="18"/>
      <c r="BK458" s="18"/>
      <c r="BM458" s="56"/>
    </row>
    <row r="459" spans="60:65" x14ac:dyDescent="0.2">
      <c r="BH459" s="17"/>
      <c r="BI459" s="41"/>
      <c r="BJ459" s="18"/>
      <c r="BK459" s="18"/>
      <c r="BM459" s="56"/>
    </row>
    <row r="460" spans="60:65" x14ac:dyDescent="0.2">
      <c r="BH460" s="17"/>
      <c r="BI460" s="41"/>
      <c r="BJ460" s="18"/>
      <c r="BK460" s="18"/>
      <c r="BM460" s="56"/>
    </row>
    <row r="461" spans="60:65" x14ac:dyDescent="0.2">
      <c r="BH461" s="17"/>
      <c r="BI461" s="41"/>
      <c r="BJ461" s="18"/>
      <c r="BK461" s="18"/>
      <c r="BM461" s="56"/>
    </row>
    <row r="462" spans="60:65" x14ac:dyDescent="0.2">
      <c r="BH462" s="17"/>
      <c r="BI462" s="41"/>
      <c r="BJ462" s="18"/>
      <c r="BK462" s="18"/>
      <c r="BM462" s="56"/>
    </row>
    <row r="463" spans="60:65" x14ac:dyDescent="0.2">
      <c r="BH463" s="17"/>
      <c r="BI463" s="41"/>
      <c r="BJ463" s="18"/>
      <c r="BK463" s="18"/>
      <c r="BM463" s="56"/>
    </row>
    <row r="464" spans="60:65" x14ac:dyDescent="0.2">
      <c r="BH464" s="17"/>
      <c r="BI464" s="41"/>
      <c r="BJ464" s="18"/>
      <c r="BK464" s="18"/>
      <c r="BM464" s="56"/>
    </row>
    <row r="465" spans="60:65" x14ac:dyDescent="0.2">
      <c r="BH465" s="17"/>
      <c r="BI465" s="41"/>
      <c r="BJ465" s="18"/>
      <c r="BK465" s="18"/>
      <c r="BM465" s="56"/>
    </row>
    <row r="466" spans="60:65" x14ac:dyDescent="0.2">
      <c r="BH466" s="17"/>
      <c r="BI466" s="41"/>
      <c r="BJ466" s="18"/>
      <c r="BK466" s="18"/>
      <c r="BM466" s="56"/>
    </row>
    <row r="467" spans="60:65" x14ac:dyDescent="0.2">
      <c r="BH467" s="17"/>
      <c r="BI467" s="41"/>
      <c r="BJ467" s="18"/>
      <c r="BK467" s="18"/>
      <c r="BM467" s="56"/>
    </row>
    <row r="468" spans="60:65" x14ac:dyDescent="0.2">
      <c r="BH468" s="17"/>
      <c r="BI468" s="41"/>
      <c r="BJ468" s="18"/>
      <c r="BK468" s="18"/>
      <c r="BM468" s="56"/>
    </row>
    <row r="469" spans="60:65" x14ac:dyDescent="0.2">
      <c r="BH469" s="17"/>
      <c r="BI469" s="41"/>
      <c r="BJ469" s="18"/>
      <c r="BK469" s="18"/>
      <c r="BM469" s="56"/>
    </row>
    <row r="470" spans="60:65" x14ac:dyDescent="0.2">
      <c r="BH470" s="17"/>
      <c r="BI470" s="41"/>
      <c r="BJ470" s="18"/>
      <c r="BK470" s="18"/>
      <c r="BM470" s="56"/>
    </row>
    <row r="471" spans="60:65" x14ac:dyDescent="0.2">
      <c r="BH471" s="17"/>
      <c r="BI471" s="41"/>
      <c r="BJ471" s="18"/>
      <c r="BK471" s="18"/>
      <c r="BM471" s="56"/>
    </row>
    <row r="472" spans="60:65" x14ac:dyDescent="0.2">
      <c r="BH472" s="17"/>
      <c r="BI472" s="41"/>
      <c r="BJ472" s="18"/>
      <c r="BK472" s="18"/>
      <c r="BM472" s="56"/>
    </row>
    <row r="473" spans="60:65" x14ac:dyDescent="0.2">
      <c r="BH473" s="17"/>
      <c r="BI473" s="41"/>
      <c r="BJ473" s="18"/>
      <c r="BK473" s="18"/>
      <c r="BM473" s="56"/>
    </row>
    <row r="474" spans="60:65" x14ac:dyDescent="0.2">
      <c r="BH474" s="17"/>
      <c r="BI474" s="41"/>
      <c r="BJ474" s="18"/>
      <c r="BK474" s="18"/>
      <c r="BM474" s="56"/>
    </row>
    <row r="475" spans="60:65" x14ac:dyDescent="0.2">
      <c r="BH475" s="17"/>
      <c r="BI475" s="41"/>
      <c r="BJ475" s="18"/>
      <c r="BK475" s="18"/>
      <c r="BM475" s="56"/>
    </row>
    <row r="476" spans="60:65" x14ac:dyDescent="0.2">
      <c r="BH476" s="17"/>
      <c r="BI476" s="41"/>
      <c r="BJ476" s="18"/>
      <c r="BK476" s="18"/>
      <c r="BM476" s="56"/>
    </row>
    <row r="477" spans="60:65" x14ac:dyDescent="0.2">
      <c r="BH477" s="17"/>
      <c r="BI477" s="41"/>
      <c r="BJ477" s="18"/>
      <c r="BK477" s="18"/>
      <c r="BM477" s="56"/>
    </row>
    <row r="478" spans="60:65" x14ac:dyDescent="0.2">
      <c r="BH478" s="17"/>
      <c r="BI478" s="41"/>
      <c r="BJ478" s="18"/>
      <c r="BK478" s="18"/>
      <c r="BM478" s="56"/>
    </row>
    <row r="479" spans="60:65" x14ac:dyDescent="0.2">
      <c r="BH479" s="17"/>
      <c r="BI479" s="41"/>
      <c r="BJ479" s="18"/>
      <c r="BK479" s="18"/>
      <c r="BM479" s="56"/>
    </row>
    <row r="480" spans="60:65" x14ac:dyDescent="0.2">
      <c r="BH480" s="17"/>
      <c r="BI480" s="41"/>
      <c r="BJ480" s="18"/>
      <c r="BK480" s="18"/>
      <c r="BM480" s="56"/>
    </row>
    <row r="481" spans="60:65" x14ac:dyDescent="0.2">
      <c r="BH481" s="17"/>
      <c r="BI481" s="41"/>
      <c r="BJ481" s="18"/>
      <c r="BK481" s="18"/>
      <c r="BM481" s="56"/>
    </row>
    <row r="482" spans="60:65" x14ac:dyDescent="0.2">
      <c r="BH482" s="17"/>
      <c r="BI482" s="41"/>
      <c r="BJ482" s="18"/>
      <c r="BK482" s="18"/>
      <c r="BM482" s="56"/>
    </row>
    <row r="483" spans="60:65" x14ac:dyDescent="0.2">
      <c r="BH483" s="17"/>
      <c r="BI483" s="41"/>
      <c r="BJ483" s="18"/>
      <c r="BK483" s="18"/>
      <c r="BM483" s="56"/>
    </row>
    <row r="484" spans="60:65" x14ac:dyDescent="0.2">
      <c r="BH484" s="17"/>
      <c r="BI484" s="41"/>
      <c r="BJ484" s="18"/>
      <c r="BK484" s="18"/>
      <c r="BM484" s="56"/>
    </row>
    <row r="485" spans="60:65" x14ac:dyDescent="0.2">
      <c r="BH485" s="17"/>
      <c r="BI485" s="41"/>
      <c r="BJ485" s="18"/>
      <c r="BK485" s="18"/>
      <c r="BM485" s="56"/>
    </row>
    <row r="486" spans="60:65" x14ac:dyDescent="0.2">
      <c r="BH486" s="17"/>
      <c r="BI486" s="41"/>
      <c r="BJ486" s="18"/>
      <c r="BK486" s="18"/>
      <c r="BM486" s="56"/>
    </row>
    <row r="487" spans="60:65" x14ac:dyDescent="0.2">
      <c r="BH487" s="17"/>
      <c r="BI487" s="41"/>
      <c r="BJ487" s="18"/>
      <c r="BK487" s="18"/>
      <c r="BM487" s="56"/>
    </row>
    <row r="488" spans="60:65" x14ac:dyDescent="0.2">
      <c r="BH488" s="17"/>
      <c r="BI488" s="41"/>
      <c r="BJ488" s="18"/>
      <c r="BK488" s="18"/>
      <c r="BM488" s="56"/>
    </row>
    <row r="489" spans="60:65" x14ac:dyDescent="0.2">
      <c r="BH489" s="17"/>
      <c r="BI489" s="41"/>
      <c r="BJ489" s="18"/>
      <c r="BK489" s="18"/>
      <c r="BM489" s="56"/>
    </row>
    <row r="490" spans="60:65" x14ac:dyDescent="0.2">
      <c r="BH490" s="17"/>
      <c r="BI490" s="41"/>
      <c r="BJ490" s="18"/>
      <c r="BK490" s="18"/>
      <c r="BM490" s="56"/>
    </row>
    <row r="491" spans="60:65" x14ac:dyDescent="0.2">
      <c r="BH491" s="17"/>
      <c r="BI491" s="41"/>
      <c r="BJ491" s="18"/>
      <c r="BK491" s="18"/>
      <c r="BM491" s="56"/>
    </row>
    <row r="492" spans="60:65" x14ac:dyDescent="0.2">
      <c r="BH492" s="17"/>
      <c r="BI492" s="41"/>
      <c r="BJ492" s="18"/>
      <c r="BK492" s="18"/>
      <c r="BM492" s="56"/>
    </row>
    <row r="493" spans="60:65" x14ac:dyDescent="0.2">
      <c r="BH493" s="17"/>
      <c r="BI493" s="41"/>
      <c r="BJ493" s="18"/>
      <c r="BK493" s="18"/>
      <c r="BM493" s="56"/>
    </row>
    <row r="494" spans="60:65" x14ac:dyDescent="0.2">
      <c r="BH494" s="17"/>
      <c r="BI494" s="41"/>
      <c r="BJ494" s="18"/>
      <c r="BK494" s="18"/>
      <c r="BM494" s="56"/>
    </row>
    <row r="495" spans="60:65" x14ac:dyDescent="0.2">
      <c r="BH495" s="17"/>
      <c r="BI495" s="41"/>
      <c r="BJ495" s="18"/>
      <c r="BK495" s="18"/>
      <c r="BM495" s="56"/>
    </row>
    <row r="496" spans="60:65" x14ac:dyDescent="0.2">
      <c r="BH496" s="17"/>
      <c r="BI496" s="41"/>
      <c r="BJ496" s="18"/>
      <c r="BK496" s="18"/>
      <c r="BM496" s="56"/>
    </row>
    <row r="497" spans="60:65" x14ac:dyDescent="0.2">
      <c r="BH497" s="17"/>
      <c r="BI497" s="41"/>
      <c r="BJ497" s="18"/>
      <c r="BK497" s="18"/>
      <c r="BM497" s="56"/>
    </row>
    <row r="498" spans="60:65" x14ac:dyDescent="0.2">
      <c r="BH498" s="17"/>
      <c r="BI498" s="41"/>
      <c r="BJ498" s="18"/>
      <c r="BK498" s="18"/>
      <c r="BM498" s="56"/>
    </row>
    <row r="499" spans="60:65" x14ac:dyDescent="0.2">
      <c r="BH499" s="17"/>
      <c r="BI499" s="41"/>
      <c r="BJ499" s="18"/>
      <c r="BK499" s="18"/>
      <c r="BM499" s="56"/>
    </row>
    <row r="500" spans="60:65" x14ac:dyDescent="0.2">
      <c r="BH500" s="17"/>
      <c r="BI500" s="41"/>
      <c r="BJ500" s="18"/>
      <c r="BK500" s="18"/>
      <c r="BM500" s="56"/>
    </row>
    <row r="501" spans="60:65" x14ac:dyDescent="0.2">
      <c r="BH501" s="17"/>
      <c r="BI501" s="41"/>
      <c r="BJ501" s="18"/>
      <c r="BK501" s="18"/>
      <c r="BM501" s="56"/>
    </row>
    <row r="502" spans="60:65" x14ac:dyDescent="0.2">
      <c r="BH502" s="17"/>
      <c r="BI502" s="41"/>
      <c r="BJ502" s="18"/>
      <c r="BK502" s="18"/>
      <c r="BM502" s="56"/>
    </row>
    <row r="503" spans="60:65" x14ac:dyDescent="0.2">
      <c r="BH503" s="17"/>
      <c r="BI503" s="41"/>
      <c r="BJ503" s="18"/>
      <c r="BK503" s="18"/>
      <c r="BM503" s="56"/>
    </row>
    <row r="504" spans="60:65" x14ac:dyDescent="0.2">
      <c r="BH504" s="17"/>
      <c r="BI504" s="41"/>
      <c r="BJ504" s="18"/>
      <c r="BK504" s="18"/>
      <c r="BM504" s="56"/>
    </row>
    <row r="505" spans="60:65" x14ac:dyDescent="0.2">
      <c r="BH505" s="17"/>
      <c r="BI505" s="41"/>
      <c r="BJ505" s="18"/>
      <c r="BK505" s="18"/>
      <c r="BM505" s="56"/>
    </row>
    <row r="506" spans="60:65" x14ac:dyDescent="0.2">
      <c r="BH506" s="17"/>
      <c r="BI506" s="41"/>
      <c r="BJ506" s="18"/>
      <c r="BK506" s="18"/>
      <c r="BM506" s="56"/>
    </row>
    <row r="507" spans="60:65" x14ac:dyDescent="0.2">
      <c r="BH507" s="17"/>
      <c r="BI507" s="41"/>
      <c r="BJ507" s="18"/>
      <c r="BK507" s="18"/>
      <c r="BM507" s="56"/>
    </row>
    <row r="508" spans="60:65" x14ac:dyDescent="0.2">
      <c r="BH508" s="17"/>
      <c r="BI508" s="41"/>
      <c r="BJ508" s="18"/>
      <c r="BK508" s="18"/>
      <c r="BM508" s="56"/>
    </row>
    <row r="509" spans="60:65" x14ac:dyDescent="0.2">
      <c r="BH509" s="17"/>
      <c r="BI509" s="41"/>
      <c r="BJ509" s="18"/>
      <c r="BK509" s="18"/>
      <c r="BM509" s="56"/>
    </row>
    <row r="510" spans="60:65" x14ac:dyDescent="0.2">
      <c r="BH510" s="17"/>
      <c r="BI510" s="41"/>
      <c r="BJ510" s="18"/>
      <c r="BK510" s="18"/>
      <c r="BM510" s="56"/>
    </row>
    <row r="511" spans="60:65" x14ac:dyDescent="0.2">
      <c r="BH511" s="17"/>
      <c r="BI511" s="41"/>
      <c r="BJ511" s="18"/>
      <c r="BK511" s="18"/>
      <c r="BM511" s="56"/>
    </row>
    <row r="512" spans="60:65" x14ac:dyDescent="0.2">
      <c r="BH512" s="17"/>
      <c r="BI512" s="41"/>
      <c r="BJ512" s="18"/>
      <c r="BK512" s="18"/>
      <c r="BM512" s="56"/>
    </row>
    <row r="513" spans="60:65" x14ac:dyDescent="0.2">
      <c r="BH513" s="17"/>
      <c r="BI513" s="41"/>
      <c r="BJ513" s="18"/>
      <c r="BK513" s="18"/>
      <c r="BM513" s="56"/>
    </row>
    <row r="514" spans="60:65" x14ac:dyDescent="0.2">
      <c r="BH514" s="17"/>
      <c r="BI514" s="41"/>
      <c r="BJ514" s="18"/>
      <c r="BK514" s="18"/>
      <c r="BM514" s="56"/>
    </row>
    <row r="515" spans="60:65" x14ac:dyDescent="0.2">
      <c r="BH515" s="17"/>
      <c r="BI515" s="41"/>
      <c r="BJ515" s="18"/>
      <c r="BK515" s="18"/>
      <c r="BM515" s="56"/>
    </row>
    <row r="516" spans="60:65" x14ac:dyDescent="0.2">
      <c r="BH516" s="17"/>
      <c r="BI516" s="41"/>
      <c r="BJ516" s="18"/>
      <c r="BK516" s="18"/>
      <c r="BM516" s="56"/>
    </row>
    <row r="517" spans="60:65" x14ac:dyDescent="0.2">
      <c r="BH517" s="17"/>
      <c r="BI517" s="41"/>
      <c r="BJ517" s="18"/>
      <c r="BK517" s="18"/>
      <c r="BM517" s="56"/>
    </row>
    <row r="518" spans="60:65" x14ac:dyDescent="0.2">
      <c r="BH518" s="17"/>
      <c r="BI518" s="41"/>
      <c r="BJ518" s="18"/>
      <c r="BK518" s="18"/>
      <c r="BM518" s="56"/>
    </row>
    <row r="519" spans="60:65" x14ac:dyDescent="0.2">
      <c r="BH519" s="17"/>
      <c r="BI519" s="41"/>
      <c r="BJ519" s="18"/>
      <c r="BK519" s="18"/>
      <c r="BM519" s="56"/>
    </row>
    <row r="520" spans="60:65" x14ac:dyDescent="0.2">
      <c r="BH520" s="17"/>
      <c r="BI520" s="41"/>
      <c r="BJ520" s="18"/>
      <c r="BK520" s="18"/>
      <c r="BM520" s="56"/>
    </row>
    <row r="521" spans="60:65" x14ac:dyDescent="0.2">
      <c r="BH521" s="17"/>
      <c r="BI521" s="41"/>
      <c r="BJ521" s="18"/>
      <c r="BK521" s="18"/>
      <c r="BM521" s="56"/>
    </row>
    <row r="522" spans="60:65" x14ac:dyDescent="0.2">
      <c r="BH522" s="17"/>
      <c r="BI522" s="41"/>
      <c r="BJ522" s="18"/>
      <c r="BK522" s="18"/>
      <c r="BM522" s="56"/>
    </row>
    <row r="523" spans="60:65" x14ac:dyDescent="0.2">
      <c r="BH523" s="17"/>
      <c r="BI523" s="41"/>
      <c r="BJ523" s="18"/>
      <c r="BK523" s="18"/>
      <c r="BM523" s="56"/>
    </row>
    <row r="524" spans="60:65" x14ac:dyDescent="0.2">
      <c r="BH524" s="17"/>
      <c r="BI524" s="41"/>
      <c r="BJ524" s="18"/>
      <c r="BK524" s="18"/>
      <c r="BM524" s="18"/>
    </row>
    <row r="525" spans="60:65" x14ac:dyDescent="0.2">
      <c r="BH525" s="17"/>
      <c r="BI525" s="41"/>
      <c r="BJ525" s="18"/>
      <c r="BK525" s="18"/>
      <c r="BM525" s="18"/>
    </row>
  </sheetData>
  <phoneticPr fontId="5" type="noConversion"/>
  <pageMargins left="0.5" right="0.5" top="1" bottom="1" header="0.5" footer="0.5"/>
  <pageSetup orientation="portrait" useFirstPageNumber="1" r:id="rId1"/>
  <headerFooter>
    <oddHeader>&amp;C&amp;"Times New Roman,Regular"&amp;12&amp;A</oddHeader>
    <oddFooter>&amp;C&amp;"Times New Roman,Regular"&amp;12Page &amp;P</oddFooter>
  </headerFooter>
  <ignoredErrors>
    <ignoredError sqref="BK2 BK3:BK61"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82243-D238-4D59-ADB3-8A3EB75CD869}">
  <dimension ref="A1:O277"/>
  <sheetViews>
    <sheetView topLeftCell="N1" zoomScale="70" zoomScaleNormal="70" workbookViewId="0">
      <selection activeCell="P1" sqref="P1"/>
    </sheetView>
  </sheetViews>
  <sheetFormatPr defaultColWidth="9.140625" defaultRowHeight="12.75" x14ac:dyDescent="0.2"/>
  <cols>
    <col min="1" max="1" width="13.85546875" style="13" bestFit="1" customWidth="1"/>
    <col min="2" max="2" width="16.85546875" style="13" bestFit="1" customWidth="1"/>
    <col min="3" max="3" width="19" style="13" bestFit="1" customWidth="1"/>
    <col min="4" max="4" width="12" style="13" bestFit="1" customWidth="1"/>
    <col min="5" max="7" width="9.140625" style="9"/>
    <col min="8" max="8" width="13.140625" style="9" bestFit="1" customWidth="1"/>
    <col min="9" max="9" width="9.140625" style="9"/>
    <col min="10" max="10" width="10.5703125" style="9" bestFit="1" customWidth="1"/>
    <col min="11" max="11" width="9.140625" style="9"/>
    <col min="12" max="12" width="10.140625" style="9" bestFit="1" customWidth="1"/>
    <col min="13" max="14" width="10.140625" style="9" customWidth="1"/>
    <col min="15" max="15" width="11.7109375" style="9" customWidth="1"/>
    <col min="16" max="16384" width="9.140625" style="9"/>
  </cols>
  <sheetData>
    <row r="1" spans="1:15" x14ac:dyDescent="0.2">
      <c r="A1" s="13" t="str">
        <f>'1'!BJ1</f>
        <v># employees</v>
      </c>
      <c r="B1" s="13" t="str">
        <f>'1'!BK1</f>
        <v>users per month</v>
      </c>
      <c r="C1" s="13" t="str">
        <f>'1'!BL1</f>
        <v>type</v>
      </c>
      <c r="D1" s="13" t="str">
        <f>'1'!BM1</f>
        <v>who works</v>
      </c>
      <c r="F1" s="9" t="s">
        <v>2481</v>
      </c>
      <c r="G1" s="9" t="s">
        <v>209</v>
      </c>
      <c r="H1" s="9" t="s">
        <v>105</v>
      </c>
      <c r="I1" s="9" t="s">
        <v>324</v>
      </c>
      <c r="J1" s="9" t="s">
        <v>107</v>
      </c>
      <c r="K1" s="9" t="s">
        <v>363</v>
      </c>
      <c r="L1" s="9" t="s">
        <v>161</v>
      </c>
      <c r="M1" s="9" t="s">
        <v>309</v>
      </c>
      <c r="N1" s="9" t="s">
        <v>377</v>
      </c>
      <c r="O1" s="9" t="s">
        <v>443</v>
      </c>
    </row>
    <row r="2" spans="1:15" x14ac:dyDescent="0.2">
      <c r="A2" s="13">
        <f>'1'!BJ2</f>
        <v>1</v>
      </c>
      <c r="B2" s="13">
        <f>'1'!BK2</f>
        <v>21</v>
      </c>
      <c r="C2" s="13" t="str">
        <f>'1'!BL2</f>
        <v>crystallography</v>
      </c>
      <c r="D2" s="13" t="str">
        <f>'1'!BM2</f>
        <v>both</v>
      </c>
      <c r="F2" s="9">
        <v>2.5</v>
      </c>
      <c r="G2" s="9">
        <v>10</v>
      </c>
      <c r="H2" s="9">
        <f>COUNTIFS($C2:$C500,"flow cytometry",$A$2:$A$500,1,$B$2:$B$500,1)</f>
        <v>8</v>
      </c>
      <c r="I2" s="9">
        <f>COUNTIFS($C2:$C500,"genomics",$A$2:$A$500,1,$B$2:$B$500,1)</f>
        <v>8</v>
      </c>
      <c r="J2" s="9">
        <f>COUNTIFS($C2:$C500,"microscopy",$A$2:$A$500,1,$B$2:$B$500,1)</f>
        <v>19</v>
      </c>
      <c r="K2" s="9">
        <f>COUNTIFS($C2:$C500,"mouse",$A$2:$A$500,1,$B$2:$B$500,1)</f>
        <v>6</v>
      </c>
      <c r="L2" s="9">
        <f t="shared" ref="L2" si="0">COUNTIFS($C2:$C500,"proteomics",$A$2:$A$500,1,$B$2:$B$500,1)</f>
        <v>16</v>
      </c>
      <c r="M2" s="9">
        <f>COUNTIFS($C2:$C500,"histology",$A$2:$A$500,1,$B$2:$B$500,1)</f>
        <v>5</v>
      </c>
      <c r="N2" s="9">
        <f>COUNTIFS($C2:$C500,"protein expression",$A$2:$A$500,1,$B$2:$B$500,1)</f>
        <v>5</v>
      </c>
      <c r="O2" s="9">
        <f>COUNTIFS($C2:$C500,"metabolomics",$A$2:$A$500,1,$B$2:$B$500,1)</f>
        <v>4</v>
      </c>
    </row>
    <row r="3" spans="1:15" x14ac:dyDescent="0.2">
      <c r="A3" s="13">
        <f>'1'!BJ3</f>
        <v>1</v>
      </c>
      <c r="B3" s="13">
        <f>'1'!BK3</f>
        <v>1</v>
      </c>
      <c r="C3" s="13" t="str">
        <f>'1'!BL3</f>
        <v>microscopy</v>
      </c>
      <c r="D3" s="13" t="str">
        <f>'1'!BM3</f>
        <v>both</v>
      </c>
      <c r="F3" s="9">
        <v>2.5</v>
      </c>
      <c r="G3" s="9">
        <v>30</v>
      </c>
      <c r="H3" s="9">
        <f>COUNTIFS($C2:$C500,"flow cytometry",$A$2:$A$500,1,$B$2:$B$500,21)</f>
        <v>11</v>
      </c>
      <c r="I3" s="9">
        <f>COUNTIFS($C2:$C500,"genomics",$A$2:$A$500,1,$B$2:$B$500,21)</f>
        <v>3</v>
      </c>
      <c r="J3" s="9">
        <f>COUNTIFS($C2:$C500,"microscopy",$A$2:$A$500,1,$B$2:$B$500,21)</f>
        <v>8</v>
      </c>
      <c r="K3" s="9">
        <f>COUNTIFS($C2:$C500,"mouse",$A$2:$A$500,1,$B$2:$B$500,21)</f>
        <v>5</v>
      </c>
      <c r="L3" s="9">
        <f t="shared" ref="L3" si="1">COUNTIFS($C2:$C500,"proteomics",$A$2:$A$500,1,$B$2:$B$500,21)</f>
        <v>4</v>
      </c>
      <c r="M3" s="9">
        <f>COUNTIFS($C2:$C500,"histology",$A$2:$A$500,1,$B$2:$B$500,21)</f>
        <v>1</v>
      </c>
      <c r="N3" s="9">
        <f>COUNTIFS($C2:$C500,"protein expression",$A$2:$A$500,1,$B$2:$B$500,21)</f>
        <v>0</v>
      </c>
      <c r="O3" s="9">
        <f>COUNTIFS($C2:$C500,"metabolomics",$A$2:$A$500,1,$B$2:$B$500,21)</f>
        <v>1</v>
      </c>
    </row>
    <row r="4" spans="1:15" x14ac:dyDescent="0.2">
      <c r="A4" s="13">
        <f>'1'!BJ4</f>
        <v>1</v>
      </c>
      <c r="B4" s="13">
        <f>'1'!BK4</f>
        <v>1</v>
      </c>
      <c r="C4" s="13" t="str">
        <f>'1'!BL4</f>
        <v>Other</v>
      </c>
      <c r="D4" s="13" t="str">
        <f>'1'!BM4</f>
        <v>both</v>
      </c>
      <c r="F4" s="9">
        <v>2.5</v>
      </c>
      <c r="G4" s="9">
        <v>50</v>
      </c>
      <c r="H4" s="9">
        <f>COUNTIFS($C2:$C500,"flow cytometry",$A$2:$A$500,1,$B$2:$B$500,41)</f>
        <v>10</v>
      </c>
      <c r="I4" s="9">
        <f>COUNTIFS($C2:$C500,"genomics",$A$2:$A$500,1,$B$2:$B$500,41)</f>
        <v>0</v>
      </c>
      <c r="J4" s="9">
        <f>COUNTIFS($C2:$C500,"microscopy",$A$2:$A$500,1,$B$2:$B$500,41)</f>
        <v>11</v>
      </c>
      <c r="K4" s="9">
        <f>COUNTIFS($C2:$C500,"mouse",$A$2:$A$500,1,$B$2:$B$500,41)</f>
        <v>0</v>
      </c>
      <c r="L4" s="9">
        <f t="shared" ref="L4" si="2">COUNTIFS($C2:$C500,"proteomics",$A$2:$A$500,1,$B$2:$B$500,41)</f>
        <v>0</v>
      </c>
      <c r="M4" s="9">
        <f>COUNTIFS($C2:$C500,"histology",$A$2:$A$500,1,$B$2:$B$500,41)</f>
        <v>1</v>
      </c>
      <c r="N4" s="9">
        <f>COUNTIFS($C2:$C500,"protein expression",$A$2:$A$500,1,$B$2:$B$500,41)</f>
        <v>1</v>
      </c>
      <c r="O4" s="9">
        <f>COUNTIFS($C2:$C500,"metabolomics",$A$2:$A$500,1,$B$2:$B$500,41)</f>
        <v>0</v>
      </c>
    </row>
    <row r="5" spans="1:15" x14ac:dyDescent="0.2">
      <c r="A5" s="13">
        <f>'1'!BJ5</f>
        <v>1</v>
      </c>
      <c r="B5" s="13">
        <f>'1'!BK5</f>
        <v>1</v>
      </c>
      <c r="C5" s="13" t="str">
        <f>'1'!BL5</f>
        <v>pluripotent stem cells</v>
      </c>
      <c r="D5" s="13" t="str">
        <f>'1'!BM5</f>
        <v>both</v>
      </c>
      <c r="F5" s="9">
        <v>2.5</v>
      </c>
      <c r="G5" s="9">
        <v>70</v>
      </c>
      <c r="H5" s="9">
        <f>COUNTIFS($C2:$C500,"flow cytometry",$A$2:$A$500,1,$B$2:$B$500,61)</f>
        <v>5</v>
      </c>
      <c r="I5" s="9">
        <f>COUNTIFS($C2:$C500,"genomics",$A$2:$A$500,1,$B$2:$B$500,61)</f>
        <v>0</v>
      </c>
      <c r="J5" s="9">
        <f>COUNTIFS($C2:$C500,"microscopy",$A$2:$A$500,1,$B$2:$B$500,61)</f>
        <v>4</v>
      </c>
      <c r="K5" s="9">
        <f>COUNTIFS($C2:$C500,"mouse",$A$2:$A$500,1,$B$2:$B$500,61)</f>
        <v>0</v>
      </c>
      <c r="L5" s="9">
        <f t="shared" ref="L5" si="3">COUNTIFS($C2:$C500,"proteomics",$A$2:$A$500,1,$B$2:$B$500,61)</f>
        <v>0</v>
      </c>
      <c r="M5" s="9">
        <f>COUNTIFS($C2:$C500,"histology",$A$2:$A$500,1,$B$2:$B$500,61)</f>
        <v>0</v>
      </c>
      <c r="N5" s="9">
        <f>COUNTIFS($C2:$C500,"protein expression",$A$2:$A$500,1,$B$2:$B$500,61)</f>
        <v>0</v>
      </c>
      <c r="O5" s="9">
        <f>COUNTIFS($C2:$C500,"metabolomics",$A$2:$A$500,1,$B$2:$B$500,61)</f>
        <v>0</v>
      </c>
    </row>
    <row r="6" spans="1:15" x14ac:dyDescent="0.2">
      <c r="A6" s="13">
        <f>'1'!BJ6</f>
        <v>1</v>
      </c>
      <c r="B6" s="13">
        <f>'1'!BK6</f>
        <v>1</v>
      </c>
      <c r="C6" s="13" t="str">
        <f>'1'!BL6</f>
        <v>microscopy</v>
      </c>
      <c r="D6" s="13" t="str">
        <f>'1'!BM6</f>
        <v>both</v>
      </c>
      <c r="F6" s="9">
        <v>2.5</v>
      </c>
      <c r="G6" s="9">
        <v>90</v>
      </c>
      <c r="H6" s="9">
        <f>COUNTIFS($C2:$C500,"flow cytometry",$A$2:$A$500,1,$B$2:$B$500,81)</f>
        <v>2</v>
      </c>
      <c r="I6" s="9">
        <f>COUNTIFS($C2:$C500,"genomics",$A$2:$A$500,1,$B$2:$B$500,81)</f>
        <v>0</v>
      </c>
      <c r="J6" s="9">
        <f>COUNTIFS($C2:$C500,"microscopy",$A$2:$A$500,1,$B$2:$B$500,81)</f>
        <v>5</v>
      </c>
      <c r="K6" s="9">
        <f>COUNTIFS($C2:$C500,"mouse",$A$2:$A$500,1,$B$2:$B$500,81)</f>
        <v>0</v>
      </c>
      <c r="L6" s="9">
        <f t="shared" ref="L6" si="4">COUNTIFS($C2:$C500,"proteomics",$A$2:$A$500,1,$B$2:$B$500,81)</f>
        <v>0</v>
      </c>
      <c r="M6" s="9">
        <f>COUNTIFS($C2:$C500,"histology",$A$2:$A$500,1,$B$2:$B$500,81)</f>
        <v>0</v>
      </c>
      <c r="N6" s="9">
        <f>COUNTIFS($C2:$C500,"protein expression",$A$2:$A$500,1,$B$2:$B$500,81)</f>
        <v>0</v>
      </c>
      <c r="O6" s="9">
        <f>COUNTIFS($C2:$C500,"metabolomics",$A$2:$A$500,1,$B$2:$B$500,81)</f>
        <v>0</v>
      </c>
    </row>
    <row r="7" spans="1:15" x14ac:dyDescent="0.2">
      <c r="A7" s="13">
        <f>'1'!BJ7</f>
        <v>1</v>
      </c>
      <c r="B7" s="13">
        <f>'1'!BK7</f>
        <v>1</v>
      </c>
      <c r="C7" s="13" t="str">
        <f>'1'!BL7</f>
        <v>proteomics</v>
      </c>
      <c r="D7" s="13" t="str">
        <f>'1'!BM7</f>
        <v>both</v>
      </c>
      <c r="F7" s="9">
        <v>2.5</v>
      </c>
      <c r="G7" s="9">
        <v>110</v>
      </c>
      <c r="H7" s="9">
        <f>COUNTIFS($C2:$C500,"flow cytometry",$A$2:$A$500,1,$B$2:$B$500,101)</f>
        <v>5</v>
      </c>
      <c r="I7" s="9">
        <f>COUNTIFS($C2:$C500,"genomics",$A$2:$A$500,1,$B$2:$B$500,101)</f>
        <v>2</v>
      </c>
      <c r="J7" s="9">
        <f>COUNTIFS($C2:$C500,"microscopy",$A$2:$A$500,1,$B$2:$B$500,101)</f>
        <v>1</v>
      </c>
      <c r="K7" s="9">
        <f>COUNTIFS($C2:$C500,"mouse",$A$2:$A$500,1,$B$2:$B$500,101)</f>
        <v>0</v>
      </c>
      <c r="L7" s="9">
        <f t="shared" ref="L7" si="5">COUNTIFS($C2:$C500,"proteomics",$A$2:$A$500,1,$B$2:$B$500,101)</f>
        <v>0</v>
      </c>
      <c r="M7" s="9">
        <f>COUNTIFS($C2:$C500,"histology",$A$2:$A$500,1,$B$2:$B$500,101)</f>
        <v>1</v>
      </c>
      <c r="N7" s="9">
        <f>COUNTIFS($C2:$C500,"protein expression",$A$2:$A$500,1,$B$2:$B$500,101)</f>
        <v>0</v>
      </c>
      <c r="O7" s="9">
        <f>COUNTIFS($C2:$C500,"metabolomics",$A$2:$A$500,1,$B$2:$B$500,101)</f>
        <v>0</v>
      </c>
    </row>
    <row r="8" spans="1:15" x14ac:dyDescent="0.2">
      <c r="A8" s="13">
        <f>'1'!BJ8</f>
        <v>1</v>
      </c>
      <c r="B8" s="13">
        <f>'1'!BK8</f>
        <v>1</v>
      </c>
      <c r="C8" s="13" t="str">
        <f>'1'!BL8</f>
        <v>Other</v>
      </c>
      <c r="D8" s="13" t="str">
        <f>'1'!BM8</f>
        <v>user</v>
      </c>
      <c r="F8" s="9">
        <v>6.5</v>
      </c>
      <c r="G8" s="9">
        <v>10</v>
      </c>
      <c r="H8" s="9">
        <f>COUNTIFS($C2:$C500,"flow cytometry",$A$2:$A$500,5,$B$2:$B$500,1)</f>
        <v>1</v>
      </c>
      <c r="I8" s="9">
        <f>COUNTIFS($C2:$C500,"genomics",$A$2:$A$500,5,$B$2:$B$500,1)</f>
        <v>7</v>
      </c>
      <c r="J8" s="9">
        <f>COUNTIFS($C2:$C500,"microscopy",$A$2:$A$500,5,$B$2:$B$500,1)</f>
        <v>2</v>
      </c>
      <c r="K8" s="9">
        <f>COUNTIFS($C2:$C500,"mouse",$A$2:$A$500,5,$B$2:$B$500,1)</f>
        <v>3</v>
      </c>
      <c r="L8" s="9">
        <f t="shared" ref="L8" si="6">COUNTIFS($C2:$C500,"proteomics",$A$2:$A$500,5,$B$2:$B$500,1)</f>
        <v>5</v>
      </c>
      <c r="M8" s="9">
        <f>COUNTIFS($C2:$C500,"histology",$A$2:$A$500,5,$B$2:$B$500,1)</f>
        <v>0</v>
      </c>
      <c r="N8" s="9">
        <f>COUNTIFS($C2:$C500,"protein expression",$A$2:$A$500,5,$B$2:$B$500,1)</f>
        <v>1</v>
      </c>
      <c r="O8" s="9">
        <f>COUNTIFS($C2:$C500,"metabolomics",$A$2:$A$500,5,$B$2:$B$500,1)</f>
        <v>2</v>
      </c>
    </row>
    <row r="9" spans="1:15" x14ac:dyDescent="0.2">
      <c r="A9" s="13">
        <f>'1'!BJ9</f>
        <v>17</v>
      </c>
      <c r="B9" s="13">
        <f>'1'!BK9</f>
        <v>1</v>
      </c>
      <c r="C9" s="13" t="str">
        <f>'1'!BL9</f>
        <v>bioinformatics</v>
      </c>
      <c r="D9" s="13" t="str">
        <f>'1'!BM9</f>
        <v>both</v>
      </c>
      <c r="F9" s="9">
        <v>6.5</v>
      </c>
      <c r="G9" s="9">
        <v>30</v>
      </c>
      <c r="H9" s="9">
        <f>COUNTIFS($C2:$C500,"flow cytometry",$A$2:$A$500,5,$B$2:$B$500,21)</f>
        <v>1</v>
      </c>
      <c r="I9" s="9">
        <f>COUNTIFS($C2:$C500,"genomics",$A$2:$A$500,5,$B$2:$B$500,21)</f>
        <v>2</v>
      </c>
      <c r="J9" s="9">
        <f>COUNTIFS($C2:$C500,"microscopy",$A$2:$A$500,5,$B$2:$B$500,21)</f>
        <v>3</v>
      </c>
      <c r="K9" s="9">
        <f>COUNTIFS($C2:$C500,"mouse",$A$2:$A$500,5,$B$2:$B$500,21)</f>
        <v>0</v>
      </c>
      <c r="L9" s="9">
        <f t="shared" ref="L9" si="7">COUNTIFS($C2:$C500,"proteomics",$A$2:$A$500,5,$B$2:$B$500,21)</f>
        <v>4</v>
      </c>
      <c r="M9" s="9">
        <f>COUNTIFS($C2:$C500,"histology",$A$2:$A$500,5,$B$2:$B$500,21)</f>
        <v>0</v>
      </c>
      <c r="N9" s="9">
        <f>COUNTIFS($C2:$C500,"protein expression",$A$2:$A$500,5,$B$2:$B$500,21)</f>
        <v>1</v>
      </c>
      <c r="O9" s="9">
        <f>COUNTIFS($C2:$C500,"metabolomics",$A$2:$A$500,5,$B$2:$B$500,21)</f>
        <v>0</v>
      </c>
    </row>
    <row r="10" spans="1:15" x14ac:dyDescent="0.2">
      <c r="A10" s="13">
        <f>'1'!BJ10</f>
        <v>1</v>
      </c>
      <c r="B10" s="13">
        <f>'1'!BK10</f>
        <v>61</v>
      </c>
      <c r="C10" s="13" t="str">
        <f>'1'!BL10</f>
        <v>microscopy</v>
      </c>
      <c r="D10" s="13" t="str">
        <f>'1'!BM10</f>
        <v>user</v>
      </c>
      <c r="F10" s="9">
        <v>6.5</v>
      </c>
      <c r="G10" s="9">
        <v>50</v>
      </c>
      <c r="H10" s="9">
        <f>COUNTIFS($C2:$C500,"flow cytometry",$A$2:$A$500,5,$B$2:$B$500,41)</f>
        <v>3</v>
      </c>
      <c r="I10" s="9">
        <f>COUNTIFS($C2:$C500,"genomics",$A$2:$A$500,5,$B$2:$B$500,41)</f>
        <v>1</v>
      </c>
      <c r="J10" s="9">
        <f>COUNTIFS($C2:$C500,"microscopy",$A$2:$A$500,5,$B$2:$B$500,41)</f>
        <v>1</v>
      </c>
      <c r="K10" s="9">
        <f>COUNTIFS($C2:$C500,"mouse",$A$2:$A$500,5,$B$2:$B$500,41)</f>
        <v>0</v>
      </c>
      <c r="L10" s="9">
        <f t="shared" ref="L10" si="8">COUNTIFS($C2:$C500,"proteomics",$A$2:$A$500,5,$B$2:$B$500,41)</f>
        <v>0</v>
      </c>
      <c r="M10" s="9">
        <f>COUNTIFS($C2:$C500,"histology",$A$2:$A$500,5,$B$2:$B$500,41)</f>
        <v>0</v>
      </c>
      <c r="N10" s="9">
        <f>COUNTIFS($C2:$C500,"protein expression",$A$2:$A$500,5,$B$2:$B$500,41)</f>
        <v>0</v>
      </c>
      <c r="O10" s="9">
        <f>COUNTIFS($C2:$C500,"metabolomics",$A$2:$A$500,5,$B$2:$B$500,41)</f>
        <v>0</v>
      </c>
    </row>
    <row r="11" spans="1:15" x14ac:dyDescent="0.2">
      <c r="A11" s="13">
        <f>'1'!BJ11</f>
        <v>1</v>
      </c>
      <c r="B11" s="13">
        <f>'1'!BK11</f>
        <v>41</v>
      </c>
      <c r="C11" s="13" t="str">
        <f>'1'!BL11</f>
        <v>microscopy</v>
      </c>
      <c r="D11" s="13" t="str">
        <f>'1'!BM11</f>
        <v>both</v>
      </c>
      <c r="F11" s="9">
        <v>6.5</v>
      </c>
      <c r="G11" s="9">
        <v>70</v>
      </c>
      <c r="H11" s="9">
        <f>COUNTIFS($C2:$C500,"flow cytometry",$A$2:$A$500,5,$B$2:$B$500,61)</f>
        <v>0</v>
      </c>
      <c r="I11" s="9">
        <f>COUNTIFS($C2:$C500,"genomics",$A$2:$A$500,5,$B$2:$B$500,61)</f>
        <v>0</v>
      </c>
      <c r="J11" s="9">
        <f>COUNTIFS($C2:$C500,"microscopy",$A$2:$A$500,5,$B$2:$B$500,61)</f>
        <v>1</v>
      </c>
      <c r="K11" s="9">
        <f>COUNTIFS($C2:$C500,"mouse",$A$2:$A$500,5,$B$2:$B$500,61)</f>
        <v>0</v>
      </c>
      <c r="L11" s="9">
        <f t="shared" ref="L11" si="9">COUNTIFS($C2:$C500,"proteomics",$A$2:$A$500,5,$B$2:$B$500,61)</f>
        <v>0</v>
      </c>
      <c r="M11" s="9">
        <f>COUNTIFS($C2:$C500,"histology",$A$2:$A$500,5,$B$2:$B$500,61)</f>
        <v>0</v>
      </c>
      <c r="N11" s="9">
        <f>COUNTIFS($C2:$C500,"protein expression",$A$2:$A$500,5,$B$2:$B$500,61)</f>
        <v>0</v>
      </c>
      <c r="O11" s="9">
        <f>COUNTIFS($C2:$C500,"metabolomics",$A$2:$A$500,5,$B$2:$B$500,61)</f>
        <v>1</v>
      </c>
    </row>
    <row r="12" spans="1:15" x14ac:dyDescent="0.2">
      <c r="A12" s="13">
        <f>'1'!BJ12</f>
        <v>1</v>
      </c>
      <c r="B12" s="13">
        <f>'1'!BK12</f>
        <v>41</v>
      </c>
      <c r="C12" s="13" t="str">
        <f>'1'!BL12</f>
        <v>microscopy</v>
      </c>
      <c r="D12" s="13" t="str">
        <f>'1'!BM12</f>
        <v>user</v>
      </c>
      <c r="F12" s="9">
        <v>6.5</v>
      </c>
      <c r="G12" s="9">
        <v>90</v>
      </c>
      <c r="H12" s="9">
        <f>COUNTIFS($C2:$C500,"flow cytometry",$A$2:$A$500,5,$B$2:$B$500,81)</f>
        <v>0</v>
      </c>
      <c r="I12" s="9">
        <f>COUNTIFS($C2:$C500,"genomics",$A$2:$A$500,5,$B$2:$B$500,81)</f>
        <v>1</v>
      </c>
      <c r="J12" s="9">
        <f>COUNTIFS($C2:$C500,"microscopy",$A$2:$A$500,5,$B$2:$B$500,81)</f>
        <v>0</v>
      </c>
      <c r="K12" s="9">
        <f>COUNTIFS($C2:$C500,"mouse",$A$2:$A$500,5,$B$2:$B$500,81)</f>
        <v>0</v>
      </c>
      <c r="L12" s="9">
        <f t="shared" ref="L12" si="10">COUNTIFS($C2:$C500,"proteomics",$A$2:$A$500,5,$B$2:$B$500,81)</f>
        <v>0</v>
      </c>
      <c r="M12" s="9">
        <f>COUNTIFS($C2:$C500,"histology",$A$2:$A$500,5,$B$2:$B$500,81)</f>
        <v>0</v>
      </c>
      <c r="N12" s="9">
        <f>COUNTIFS($C2:$C500,"protein expression",$A$2:$A$500,5,$B$2:$B$500,81)</f>
        <v>0</v>
      </c>
      <c r="O12" s="9">
        <f>COUNTIFS($C2:$C500,"metabolomics",$A$2:$A$500,5,$B$2:$B$500,81)</f>
        <v>0</v>
      </c>
    </row>
    <row r="13" spans="1:15" x14ac:dyDescent="0.2">
      <c r="A13" s="13">
        <f>'1'!BJ13</f>
        <v>5</v>
      </c>
      <c r="B13" s="13">
        <f>'1'!BK13</f>
        <v>1</v>
      </c>
      <c r="C13" s="13" t="str">
        <f>'1'!BL13</f>
        <v>Other</v>
      </c>
      <c r="D13" s="13" t="str">
        <f>'1'!BM13</f>
        <v>both</v>
      </c>
      <c r="F13" s="9">
        <v>6.5</v>
      </c>
      <c r="G13" s="9">
        <v>110</v>
      </c>
      <c r="H13" s="9">
        <f>COUNTIFS($C2:$C500,"flow cytometry",$A$2:$A$500,5,$B$2:$B$500,101)</f>
        <v>1</v>
      </c>
      <c r="I13" s="9">
        <f>COUNTIFS($C2:$C500,"genomics",$A$2:$A$500,5,$B$2:$B$500,101)</f>
        <v>1</v>
      </c>
      <c r="J13" s="9">
        <f>COUNTIFS($C2:$C500,"microscopy",$A$2:$A$500,5,$B$2:$B$500,101)</f>
        <v>3</v>
      </c>
      <c r="K13" s="9">
        <f>COUNTIFS($C2:$C500,"mouse",$A$2:$A$500,5,$B$2:$B$500,101)</f>
        <v>0</v>
      </c>
      <c r="L13" s="9">
        <f t="shared" ref="L13" si="11">COUNTIFS($C2:$C500,"proteomics",$A$2:$A$500,5,$B$2:$B$500,101)</f>
        <v>0</v>
      </c>
      <c r="M13" s="9">
        <f>COUNTIFS($C2:$C500,"histology",$A$2:$A$500,5,$B$2:$B$500,101)</f>
        <v>1</v>
      </c>
      <c r="N13" s="9">
        <f>COUNTIFS($C2:$C500,"protein expression",$A$2:$A$500,5,$B$2:$B$500,101)</f>
        <v>0</v>
      </c>
      <c r="O13" s="9">
        <f>COUNTIFS($C2:$C500,"metabolomics",$A$2:$A$500,5,$B$2:$B$500,101)</f>
        <v>0</v>
      </c>
    </row>
    <row r="14" spans="1:15" x14ac:dyDescent="0.2">
      <c r="A14" s="13">
        <f>'1'!BJ14</f>
        <v>1</v>
      </c>
      <c r="B14" s="13">
        <f>'1'!BK14</f>
        <v>101</v>
      </c>
      <c r="C14" s="13" t="str">
        <f>'1'!BL14</f>
        <v>flow cytometry</v>
      </c>
      <c r="D14" s="13" t="str">
        <f>'1'!BM14</f>
        <v>user</v>
      </c>
      <c r="F14" s="9">
        <v>10.5</v>
      </c>
      <c r="G14" s="9">
        <v>10</v>
      </c>
      <c r="H14" s="9">
        <f>COUNTIFS($C2:$C500,"flow cytometry",$A$2:$A$500,9,$B$2:$B$500,1)</f>
        <v>0</v>
      </c>
      <c r="I14" s="9">
        <f>COUNTIFS($C2:$C500,"genomics",$A$2:$A$500,9,$B$2:$B$500,1)</f>
        <v>0</v>
      </c>
      <c r="J14" s="9">
        <f>COUNTIFS($C2:$C500,"microscopy",$A$2:$A$500,9,$B$2:$B$500,1)</f>
        <v>0</v>
      </c>
      <c r="K14" s="9">
        <f>COUNTIFS($C2:$C500,"mouse",$A$2:$A$500,9,$B$2:$B$500,1)</f>
        <v>0</v>
      </c>
      <c r="L14" s="9">
        <f t="shared" ref="L14" si="12">COUNTIFS($C2:$C500,"proteomics",$A$2:$A$500,9,$B$2:$B$500,1)</f>
        <v>1</v>
      </c>
      <c r="M14" s="9">
        <f>COUNTIFS($C2:$C500,"histology",$A$2:$A$500,9,$B$2:$B$500,1)</f>
        <v>0</v>
      </c>
      <c r="N14" s="9">
        <f>COUNTIFS($C2:$C500,"protein expression",$A$2:$A$500,9,$B$2:$B$500,1)</f>
        <v>0</v>
      </c>
      <c r="O14" s="9">
        <f>COUNTIFS($C2:$C500,"metabolomics",$A$2:$A$500,9,$B$2:$B$500,1)</f>
        <v>0</v>
      </c>
    </row>
    <row r="15" spans="1:15" x14ac:dyDescent="0.2">
      <c r="A15" s="13">
        <f>'1'!BJ15</f>
        <v>9</v>
      </c>
      <c r="B15" s="13">
        <f>'1'!BK15</f>
        <v>1</v>
      </c>
      <c r="C15" s="13" t="str">
        <f>'1'!BL15</f>
        <v>Other</v>
      </c>
      <c r="D15" s="13" t="str">
        <f>'1'!BM15</f>
        <v>staff</v>
      </c>
      <c r="F15" s="9">
        <v>10.5</v>
      </c>
      <c r="G15" s="9">
        <v>30</v>
      </c>
      <c r="H15" s="9">
        <f>COUNTIFS($C2:$C500,"flow cytometry",$A$2:$A$500,9,$B$2:$B$500,21)</f>
        <v>0</v>
      </c>
      <c r="I15" s="9">
        <f>COUNTIFS($C2:$C500,"genomics",$A$2:$A$500,9,$B$2:$B$500,21)</f>
        <v>2</v>
      </c>
      <c r="J15" s="9">
        <f>COUNTIFS($C2:$C500,"microscopy",$A$2:$A$500,9,$B$2:$B$500,21)</f>
        <v>0</v>
      </c>
      <c r="K15" s="9">
        <f>COUNTIFS($C2:$C500,"mouse",$A$2:$A$500,9,$B$2:$B$500,21)</f>
        <v>0</v>
      </c>
      <c r="L15" s="9">
        <f t="shared" ref="L15" si="13">COUNTIFS($C2:$C500,"proteomics",$A$2:$A$500,9,$B$2:$B$500,21)</f>
        <v>1</v>
      </c>
      <c r="M15" s="9">
        <f>COUNTIFS($C2:$C500,"histology",$A$2:$A$500,9,$B$2:$B$500,21)</f>
        <v>1</v>
      </c>
      <c r="N15" s="9">
        <f>COUNTIFS($C2:$C500,"protein expression",$A$2:$A$500,9,$B$2:$B$500,21)</f>
        <v>0</v>
      </c>
      <c r="O15" s="9">
        <f>COUNTIFS($C2:$C500,"metabolomics",$A$2:$A$500,9,$B$2:$B$500,21)</f>
        <v>0</v>
      </c>
    </row>
    <row r="16" spans="1:15" x14ac:dyDescent="0.2">
      <c r="A16" s="13">
        <f>'1'!BJ16</f>
        <v>5</v>
      </c>
      <c r="B16" s="13">
        <f>'1'!BK16</f>
        <v>101</v>
      </c>
      <c r="C16" s="13" t="str">
        <f>'1'!BL16</f>
        <v>Histology</v>
      </c>
      <c r="D16" s="13" t="str">
        <f>'1'!BM16</f>
        <v>both</v>
      </c>
      <c r="F16" s="9">
        <v>10.5</v>
      </c>
      <c r="G16" s="9">
        <v>50</v>
      </c>
      <c r="H16" s="9">
        <f>COUNTIFS($C2:$C500,"flow cytometry",$A$2:$A$500,9,$B$2:$B$500,41)</f>
        <v>1</v>
      </c>
      <c r="I16" s="9">
        <f>COUNTIFS($C2:$C500,"genomics",$A$2:$A$500,9,$B$2:$B$500,41)</f>
        <v>1</v>
      </c>
      <c r="J16" s="9">
        <f>COUNTIFS($C2:$C500,"microscopy",$A$2:$A$500,9,$B$2:$B$500,41)</f>
        <v>1</v>
      </c>
      <c r="K16" s="9">
        <f>COUNTIFS($C2:$C500,"mouse",$A$2:$A$500,9,$B$2:$B$500,41)</f>
        <v>0</v>
      </c>
      <c r="L16" s="9">
        <f t="shared" ref="L16" si="14">COUNTIFS($C2:$C500,"proteomics",$A$2:$A$500,9,$B$2:$B$500,41)</f>
        <v>2</v>
      </c>
      <c r="M16" s="9">
        <f>COUNTIFS($C2:$C500,"histology",$A$2:$A$500,9,$B$2:$B$500,41)</f>
        <v>1</v>
      </c>
      <c r="N16" s="9">
        <f>COUNTIFS($C2:$C500,"protein expression",$A$2:$A$500,9,$B$2:$B$500,41)</f>
        <v>0</v>
      </c>
      <c r="O16" s="9">
        <f>COUNTIFS($C2:$C500,"metabolomics",$A$2:$A$500,9,$B$2:$B$500,41)</f>
        <v>0</v>
      </c>
    </row>
    <row r="17" spans="1:15" x14ac:dyDescent="0.2">
      <c r="A17" s="13">
        <f>'1'!BJ17</f>
        <v>5</v>
      </c>
      <c r="B17" s="13">
        <f>'1'!BK17</f>
        <v>41</v>
      </c>
      <c r="C17" s="13" t="str">
        <f>'1'!BL17</f>
        <v>genomics</v>
      </c>
      <c r="D17" s="13" t="str">
        <f>'1'!BM17</f>
        <v>both</v>
      </c>
      <c r="F17" s="9">
        <v>10.5</v>
      </c>
      <c r="G17" s="9">
        <v>70</v>
      </c>
      <c r="H17" s="9">
        <f>COUNTIFS($C2:$C500,"flow cytometry",$A$2:$A$500,9,$B$2:$B$500,61)</f>
        <v>0</v>
      </c>
      <c r="I17" s="9">
        <f>COUNTIFS($C2:$C500,"genomics",$A$2:$A$500,9,$B$2:$B$500,61)</f>
        <v>0</v>
      </c>
      <c r="J17" s="9">
        <f>COUNTIFS($C2:$C500,"microscopy",$A$2:$A$500,9,$B$2:$B$500,61)</f>
        <v>0</v>
      </c>
      <c r="K17" s="9">
        <f>COUNTIFS($C2:$C500,"mouse",$A$2:$A$500,9,$B$2:$B$500,61)</f>
        <v>0</v>
      </c>
      <c r="L17" s="9">
        <f t="shared" ref="L17" si="15">COUNTIFS($C2:$C500,"proteomics",$A$2:$A$500,9,$B$2:$B$500,61)</f>
        <v>0</v>
      </c>
      <c r="M17" s="9">
        <f>COUNTIFS($C2:$C500,"histology",$A$2:$A$500,9,$B$2:$B$500,61)</f>
        <v>0</v>
      </c>
      <c r="N17" s="9">
        <f>COUNTIFS($C2:$C500,"protein expression",$A$2:$A$500,9,$B$2:$B$500,61)</f>
        <v>0</v>
      </c>
      <c r="O17" s="9">
        <f>COUNTIFS($C2:$C500,"metabolomics",$A$2:$A$500,9,$B$2:$B$500,61)</f>
        <v>0</v>
      </c>
    </row>
    <row r="18" spans="1:15" x14ac:dyDescent="0.2">
      <c r="A18" s="13">
        <f>'1'!BJ18</f>
        <v>1</v>
      </c>
      <c r="B18" s="13">
        <f>'1'!BK18</f>
        <v>101</v>
      </c>
      <c r="C18" s="13" t="str">
        <f>'1'!BL18</f>
        <v>cell culture</v>
      </c>
      <c r="D18" s="13" t="str">
        <f>'1'!BM18</f>
        <v>user</v>
      </c>
      <c r="F18" s="9">
        <v>10.5</v>
      </c>
      <c r="G18" s="9">
        <v>90</v>
      </c>
      <c r="H18" s="9">
        <f>COUNTIFS($C2:$C500,"flow cytometry",$A$2:$A$500,9,$B$2:$B$500,81)</f>
        <v>0</v>
      </c>
      <c r="I18" s="9">
        <f>COUNTIFS($C2:$C500,"genomics",$A$2:$A$500,9,$B$2:$B$500,81)</f>
        <v>0</v>
      </c>
      <c r="J18" s="9">
        <f>COUNTIFS($C2:$C500,"microscopy",$A$2:$A$500,9,$B$2:$B$500,81)</f>
        <v>0</v>
      </c>
      <c r="K18" s="9">
        <f>COUNTIFS($C2:$C500,"mouse",$A$2:$A$500,9,$B$2:$B$500,81)</f>
        <v>0</v>
      </c>
      <c r="L18" s="9">
        <f t="shared" ref="L18" si="16">COUNTIFS($C2:$C500,"proteomics",$A$2:$A$500,9,$B$2:$B$500,81)</f>
        <v>0</v>
      </c>
      <c r="M18" s="9">
        <f>COUNTIFS($C2:$C500,"histology",$A$2:$A$500,9,$B$2:$B$500,81)</f>
        <v>0</v>
      </c>
      <c r="N18" s="9">
        <f>COUNTIFS($C2:$C500,"protein expression",$A$2:$A$500,9,$B$2:$B$500,81)</f>
        <v>0</v>
      </c>
      <c r="O18" s="9">
        <f>COUNTIFS($C2:$C500,"metabolomics",$A$2:$A$500,9,$B$2:$B$500,81)</f>
        <v>0</v>
      </c>
    </row>
    <row r="19" spans="1:15" x14ac:dyDescent="0.2">
      <c r="A19" s="13">
        <f>'1'!BJ19</f>
        <v>1</v>
      </c>
      <c r="B19" s="13">
        <f>'1'!BK19</f>
        <v>1</v>
      </c>
      <c r="C19" s="13" t="str">
        <f>'1'!BL19</f>
        <v>genomics</v>
      </c>
      <c r="D19" s="13" t="str">
        <f>'1'!BM19</f>
        <v>staff</v>
      </c>
      <c r="F19" s="9">
        <v>10.5</v>
      </c>
      <c r="G19" s="9">
        <v>110</v>
      </c>
      <c r="H19" s="9">
        <f>COUNTIFS($C2:$C500,"flow cytometry",$A$2:$A$500,9,$B$2:$B$500,101)</f>
        <v>1</v>
      </c>
      <c r="I19" s="9">
        <f>COUNTIFS($C2:$C500,"genomics",$A$2:$A$500,9,$B$2:$B$500,101)</f>
        <v>0</v>
      </c>
      <c r="J19" s="9">
        <f>COUNTIFS($C2:$C500,"microscopy",$A$2:$A$500,9,$B$2:$B$500,101)</f>
        <v>0</v>
      </c>
      <c r="K19" s="9">
        <f>COUNTIFS($C2:$C500,"mouse",$A$2:$A$500,9,$B$2:$B$500,101)</f>
        <v>0</v>
      </c>
      <c r="L19" s="9">
        <f t="shared" ref="L19" si="17">COUNTIFS($C2:$C500,"proteomics",$A$2:$A$500,9,$B$2:$B$500,101)</f>
        <v>0</v>
      </c>
      <c r="M19" s="9">
        <f>COUNTIFS($C2:$C500,"histology",$A$2:$A$500,9,$B$2:$B$500,101)</f>
        <v>0</v>
      </c>
      <c r="N19" s="9">
        <f>COUNTIFS($C2:$C500,"protein expression",$A$2:$A$500,9,$B$2:$B$500,101)</f>
        <v>0</v>
      </c>
      <c r="O19" s="9">
        <f>COUNTIFS($C2:$C500,"metabolomics",$A$2:$A$500,9,$B$2:$B$500,101)</f>
        <v>0</v>
      </c>
    </row>
    <row r="20" spans="1:15" x14ac:dyDescent="0.2">
      <c r="A20" s="13">
        <f>'1'!BJ20</f>
        <v>1</v>
      </c>
      <c r="B20" s="13">
        <f>'1'!BK20</f>
        <v>21</v>
      </c>
      <c r="C20" s="13" t="str">
        <f>'1'!BL20</f>
        <v>mouse</v>
      </c>
      <c r="D20" s="13" t="str">
        <f>'1'!BM20</f>
        <v>user</v>
      </c>
      <c r="F20" s="9">
        <v>14.5</v>
      </c>
      <c r="G20" s="9">
        <v>10</v>
      </c>
      <c r="H20" s="9">
        <f>COUNTIFS($C2:$C500,"flow cytometry",$A$2:$A$500,13,$B$2:$B$500,1)</f>
        <v>0</v>
      </c>
      <c r="I20" s="9">
        <f>COUNTIFS($C2:$C500,"genomics",$A$2:$A$500,13,$B$2:$B$500,1)</f>
        <v>0</v>
      </c>
      <c r="J20" s="9">
        <f>COUNTIFS($C2:$C500,"microscopy",$A$2:$A$500,13,$B$2:$B$500,1)</f>
        <v>0</v>
      </c>
      <c r="K20" s="9">
        <f>COUNTIFS($C2:$C500,"mouse",$A$2:$A$500,13,$B$2:$B$500,1)</f>
        <v>0</v>
      </c>
      <c r="L20" s="9">
        <f t="shared" ref="L20" si="18">COUNTIFS($C2:$C500,"proteomics",$A$2:$A$500,13,$B$2:$B$500,1)</f>
        <v>0</v>
      </c>
      <c r="M20" s="9">
        <f>COUNTIFS($C2:$C500,"histology",$A$2:$A$500,13,$B$2:$B$500,1)</f>
        <v>0</v>
      </c>
      <c r="N20" s="9">
        <f>COUNTIFS($C2:$C500,"protein expression",$A$2:$A$500,13,$B$2:$B$500,1)</f>
        <v>0</v>
      </c>
      <c r="O20" s="9">
        <f>COUNTIFS($C2:$C500,"metabolomics",$A$2:$A$500,13,$B$2:$B$500,1)</f>
        <v>0</v>
      </c>
    </row>
    <row r="21" spans="1:15" x14ac:dyDescent="0.2">
      <c r="A21" s="13">
        <f>'1'!BJ21</f>
        <v>5</v>
      </c>
      <c r="B21" s="13">
        <f>'1'!BK21</f>
        <v>1</v>
      </c>
      <c r="C21" s="13" t="str">
        <f>'1'!BL21</f>
        <v>mouse</v>
      </c>
      <c r="D21" s="13" t="str">
        <f>'1'!BM21</f>
        <v>both</v>
      </c>
      <c r="F21" s="9">
        <v>14.5</v>
      </c>
      <c r="G21" s="9">
        <v>30</v>
      </c>
      <c r="H21" s="9">
        <f>COUNTIFS($C2:$C500,"flow cytometry",$A$2:$A$500,13,$B$2:$B$500,21)</f>
        <v>0</v>
      </c>
      <c r="I21" s="9">
        <f>COUNTIFS($C2:$C500,"genomics",$A$2:$A$500,13,$B$2:$B$500,21)</f>
        <v>1</v>
      </c>
      <c r="J21" s="9">
        <f>COUNTIFS($C2:$C500,"microscopy",$A$2:$A$500,13,$B$2:$B$500,21)</f>
        <v>0</v>
      </c>
      <c r="K21" s="9">
        <f>COUNTIFS($C2:$C500,"mouse",$A$2:$A$500,13,$B$2:$B$500,21)</f>
        <v>0</v>
      </c>
      <c r="L21" s="9">
        <f t="shared" ref="L21" si="19">COUNTIFS($C2:$C500,"proteomics",$A$2:$A$500,13,$B$2:$B$500,21)</f>
        <v>0</v>
      </c>
      <c r="M21" s="9">
        <f>COUNTIFS($C2:$C500,"histology",$A$2:$A$500,13,$B$2:$B$500,21)</f>
        <v>0</v>
      </c>
      <c r="N21" s="9">
        <f>COUNTIFS($C2:$C500,"protein expression",$A$2:$A$500,13,$B$2:$B$500,21)</f>
        <v>0</v>
      </c>
      <c r="O21" s="9">
        <f>COUNTIFS($C2:$C500,"metabolomics",$A$2:$A$500,13,$B$2:$B$500,21)</f>
        <v>0</v>
      </c>
    </row>
    <row r="22" spans="1:15" x14ac:dyDescent="0.2">
      <c r="A22" s="13">
        <f>'1'!BJ22</f>
        <v>1</v>
      </c>
      <c r="B22" s="13">
        <f>'1'!BK22</f>
        <v>21</v>
      </c>
      <c r="C22" s="13" t="str">
        <f>'1'!BL22</f>
        <v>mouse</v>
      </c>
      <c r="D22" s="13" t="str">
        <f>'1'!BM22</f>
        <v>staff</v>
      </c>
      <c r="F22" s="9">
        <v>14.5</v>
      </c>
      <c r="G22" s="9">
        <v>50</v>
      </c>
      <c r="H22" s="9">
        <f>COUNTIFS($C2:$C500,"flow cytometry",$A$2:$A$500,13,$B$2:$B$500,41)</f>
        <v>0</v>
      </c>
      <c r="I22" s="9">
        <f>COUNTIFS($C2:$C500,"genomics",$A$2:$A$500,13,$B$2:$B$500,41)</f>
        <v>0</v>
      </c>
      <c r="J22" s="9">
        <f>COUNTIFS($C2:$C500,"microscopy",$A$2:$A$500,13,$B$2:$B$500,41)</f>
        <v>0</v>
      </c>
      <c r="K22" s="9">
        <f>COUNTIFS($C2:$C500,"mouse",$A$2:$A$500,13,$B$2:$B$500,41)</f>
        <v>0</v>
      </c>
      <c r="L22" s="9">
        <f t="shared" ref="L22" si="20">COUNTIFS($C2:$C500,"proteomics",$A$2:$A$500,13,$B$2:$B$500,41)</f>
        <v>0</v>
      </c>
      <c r="M22" s="9">
        <f>COUNTIFS($C2:$C500,"histology",$A$2:$A$500,13,$B$2:$B$500,41)</f>
        <v>0</v>
      </c>
      <c r="N22" s="9">
        <f>COUNTIFS($C2:$C500,"protein expression",$A$2:$A$500,13,$B$2:$B$500,41)</f>
        <v>0</v>
      </c>
      <c r="O22" s="9">
        <f>COUNTIFS($C2:$C500,"metabolomics",$A$2:$A$500,13,$B$2:$B$500,41)</f>
        <v>0</v>
      </c>
    </row>
    <row r="23" spans="1:15" x14ac:dyDescent="0.2">
      <c r="A23" s="13">
        <f>'1'!BJ23</f>
        <v>5</v>
      </c>
      <c r="B23" s="13">
        <f>'1'!BK23</f>
        <v>1</v>
      </c>
      <c r="C23" s="13" t="str">
        <f>'1'!BL23</f>
        <v>protein expression</v>
      </c>
      <c r="D23" s="13" t="str">
        <f>'1'!BM23</f>
        <v>staff</v>
      </c>
      <c r="F23" s="9">
        <v>14.5</v>
      </c>
      <c r="G23" s="9">
        <v>70</v>
      </c>
      <c r="H23" s="9">
        <f>COUNTIFS($C2:$C500,"flow cytometry",$A$2:$A$500,13,$B$2:$B$500,61)</f>
        <v>0</v>
      </c>
      <c r="I23" s="9">
        <f>COUNTIFS($C2:$C500,"genomics",$A$2:$A$500,13,$B$2:$B$500,61)</f>
        <v>0</v>
      </c>
      <c r="J23" s="9">
        <f>COUNTIFS($C2:$C500,"microscopy",$A$2:$A$500,13,$B$2:$B$500,61)</f>
        <v>0</v>
      </c>
      <c r="K23" s="9">
        <f>COUNTIFS($C2:$C500,"mouse",$A$2:$A$500,13,$B$2:$B$500,61)</f>
        <v>0</v>
      </c>
      <c r="L23" s="9">
        <f t="shared" ref="L23" si="21">COUNTIFS($C2:$C500,"proteomics",$A$2:$A$500,13,$B$2:$B$500,61)</f>
        <v>0</v>
      </c>
      <c r="M23" s="9">
        <f>COUNTIFS($C2:$C500,"histology",$A$2:$A$500,13,$B$2:$B$500,61)</f>
        <v>0</v>
      </c>
      <c r="N23" s="9">
        <f>COUNTIFS($C2:$C500,"protein expression",$A$2:$A$500,13,$B$2:$B$500,61)</f>
        <v>0</v>
      </c>
      <c r="O23" s="9">
        <f>COUNTIFS($C2:$C500,"metabolomics",$A$2:$A$500,13,$B$2:$B$500,61)</f>
        <v>0</v>
      </c>
    </row>
    <row r="24" spans="1:15" x14ac:dyDescent="0.2">
      <c r="A24" s="13">
        <f>'1'!BJ24</f>
        <v>1</v>
      </c>
      <c r="B24" s="13">
        <f>'1'!BK24</f>
        <v>1</v>
      </c>
      <c r="C24" s="13" t="str">
        <f>'1'!BL24</f>
        <v>genomics</v>
      </c>
      <c r="D24" s="13" t="str">
        <f>'1'!BM24</f>
        <v>both</v>
      </c>
      <c r="F24" s="9">
        <v>14.5</v>
      </c>
      <c r="G24" s="9">
        <v>90</v>
      </c>
      <c r="H24" s="9">
        <f>COUNTIFS($C2:$C500,"flow cytometry",$A$2:$A$500,13,$B$2:$B$500,81)</f>
        <v>0</v>
      </c>
      <c r="I24" s="9">
        <f>COUNTIFS($C2:$C500,"genomics",$A$2:$A$500,13,$B$2:$B$500,81)</f>
        <v>0</v>
      </c>
      <c r="J24" s="9">
        <f>COUNTIFS($C2:$C500,"microscopy",$A$2:$A$500,13,$B$2:$B$500,81)</f>
        <v>1</v>
      </c>
      <c r="K24" s="9">
        <f>COUNTIFS($C2:$C500,"mouse",$A$2:$A$500,13,$B$2:$B$500,81)</f>
        <v>0</v>
      </c>
      <c r="L24" s="9">
        <f t="shared" ref="L24" si="22">COUNTIFS($C2:$C500,"proteomics",$A$2:$A$500,13,$B$2:$B$500,81)</f>
        <v>0</v>
      </c>
      <c r="M24" s="9">
        <f>COUNTIFS($C2:$C500,"histology",$A$2:$A$500,13,$B$2:$B$500,81)</f>
        <v>0</v>
      </c>
      <c r="N24" s="9">
        <f>COUNTIFS($C2:$C500,"protein expression",$A$2:$A$500,13,$B$2:$B$500,81)</f>
        <v>0</v>
      </c>
      <c r="O24" s="9">
        <f>COUNTIFS($C2:$C500,"metabolomics",$A$2:$A$500,13,$B$2:$B$500,81)</f>
        <v>0</v>
      </c>
    </row>
    <row r="25" spans="1:15" x14ac:dyDescent="0.2">
      <c r="A25" s="13">
        <f>'1'!BJ25</f>
        <v>1</v>
      </c>
      <c r="B25" s="13">
        <f>'1'!BK25</f>
        <v>1</v>
      </c>
      <c r="C25" s="13" t="str">
        <f>'1'!BL25</f>
        <v>bioinformatics</v>
      </c>
      <c r="D25" s="13" t="str">
        <f>'1'!BM25</f>
        <v>user</v>
      </c>
      <c r="F25" s="9">
        <v>14.5</v>
      </c>
      <c r="G25" s="9">
        <v>110</v>
      </c>
      <c r="H25" s="9">
        <f>COUNTIFS($C2:$C500,"flow cytometry",$A$2:$A$500,13,$B$2:$B$500,101)</f>
        <v>1</v>
      </c>
      <c r="I25" s="9">
        <f>COUNTIFS($C2:$C500,"genomics",$A$2:$A$500,13,$B$2:$B$500,101)</f>
        <v>1</v>
      </c>
      <c r="J25" s="9">
        <f>COUNTIFS($C2:$C500,"microscopy",$A$2:$A$500,13,$B$2:$B$500,101)</f>
        <v>1</v>
      </c>
      <c r="K25" s="9">
        <f>COUNTIFS($C2:$C500,"mouse",$A$2:$A$500,13,$B$2:$B$500,101)</f>
        <v>0</v>
      </c>
      <c r="L25" s="9">
        <f t="shared" ref="L25" si="23">COUNTIFS($C2:$C500,"proteomics",$A$2:$A$500,13,$B$2:$B$500,101)</f>
        <v>1</v>
      </c>
      <c r="M25" s="9">
        <f>COUNTIFS($C2:$C500,"histology",$A$2:$A$500,13,$B$2:$B$500,101)</f>
        <v>0</v>
      </c>
      <c r="N25" s="9">
        <f>COUNTIFS($C2:$C500,"protein expression",$A$2:$A$500,13,$B$2:$B$500,101)</f>
        <v>0</v>
      </c>
      <c r="O25" s="9">
        <f>COUNTIFS($C2:$C500,"metabolomics",$A$2:$A$500,13,$B$2:$B$500,101)</f>
        <v>0</v>
      </c>
    </row>
    <row r="26" spans="1:15" x14ac:dyDescent="0.2">
      <c r="A26" s="13">
        <f>'1'!BJ26</f>
        <v>1</v>
      </c>
      <c r="B26" s="13">
        <f>'1'!BK26</f>
        <v>101</v>
      </c>
      <c r="C26" s="13" t="str">
        <f>'1'!BL26</f>
        <v>genomics</v>
      </c>
      <c r="D26" s="13" t="str">
        <f>'1'!BM26</f>
        <v>user</v>
      </c>
      <c r="F26" s="9">
        <v>18.5</v>
      </c>
      <c r="G26" s="9">
        <v>10</v>
      </c>
      <c r="H26" s="9">
        <f>COUNTIFS($C2:$C500,"flow cytometry",$A$2:$A$500,17,$B$2:$B$500,1)</f>
        <v>0</v>
      </c>
      <c r="I26" s="9">
        <f>COUNTIFS($C2:$C500,"genomics",$A$2:$A$500,17,$B$2:$B$500,1)</f>
        <v>1</v>
      </c>
      <c r="J26" s="9">
        <f>COUNTIFS($C2:$C500,"microscopy",$A$2:$A$500,17,$B$2:$B$500,1)</f>
        <v>0</v>
      </c>
      <c r="K26" s="9">
        <f>COUNTIFS($C2:$C500,"mouse",$A$2:$A$500,17,$B$2:$B$500,1)</f>
        <v>1</v>
      </c>
      <c r="L26" s="9">
        <f t="shared" ref="L26" si="24">COUNTIFS($C2:$C500,"proteomics",$A$2:$A$500,17,$B$2:$B$500,1)</f>
        <v>1</v>
      </c>
      <c r="M26" s="9">
        <f>COUNTIFS($C2:$C500,"histology",$A$2:$A$500,17,$B$2:$B$500,1)</f>
        <v>0</v>
      </c>
      <c r="N26" s="9">
        <f>COUNTIFS($C2:$C500,"protein expression",$A$2:$A$500,17,$B$2:$B$500,1)</f>
        <v>0</v>
      </c>
      <c r="O26" s="9">
        <f>COUNTIFS($C2:$C500,"metabolomics",$A$2:$A$500,17,$B$2:$B$500,1)</f>
        <v>0</v>
      </c>
    </row>
    <row r="27" spans="1:15" x14ac:dyDescent="0.2">
      <c r="A27" s="13">
        <f>'1'!BJ27</f>
        <v>1</v>
      </c>
      <c r="B27" s="13">
        <f>'1'!BK27</f>
        <v>21</v>
      </c>
      <c r="C27" s="13" t="str">
        <f>'1'!BL27</f>
        <v>proteomics</v>
      </c>
      <c r="D27" s="13" t="str">
        <f>'1'!BM27</f>
        <v>staff</v>
      </c>
      <c r="F27" s="9">
        <v>18.5</v>
      </c>
      <c r="G27" s="9">
        <v>30</v>
      </c>
      <c r="H27" s="9">
        <f>COUNTIFS($C2:$C500,"flow cytometry",$A$2:$A$500,17,$B$2:$B$500,21)</f>
        <v>0</v>
      </c>
      <c r="I27" s="9">
        <f>COUNTIFS($C2:$C500,"genomics",$A$2:$A$500,17,$B$2:$B$500,21)</f>
        <v>1</v>
      </c>
      <c r="J27" s="9">
        <f>COUNTIFS($C2:$C500,"microscopy",$A$2:$A$500,17,$B$2:$B$500,21)</f>
        <v>0</v>
      </c>
      <c r="K27" s="9">
        <f>COUNTIFS($C2:$C500,"mouse",$A$2:$A$500,17,$B$2:$B$500,21)</f>
        <v>1</v>
      </c>
      <c r="L27" s="9">
        <f t="shared" ref="L27" si="25">COUNTIFS($C2:$C500,"proteomics",$A$2:$A$500,17,$B$2:$B$500,21)</f>
        <v>0</v>
      </c>
      <c r="M27" s="9">
        <f>COUNTIFS($C2:$C500,"histology",$A$2:$A$500,17,$B$2:$B$500,21)</f>
        <v>0</v>
      </c>
      <c r="N27" s="9">
        <f>COUNTIFS($C2:$C500,"protein expression",$A$2:$A$500,17,$B$2:$B$500,21)</f>
        <v>0</v>
      </c>
      <c r="O27" s="9">
        <f>COUNTIFS($C2:$C500,"metabolomics",$A$2:$A$500,17,$B$2:$B$500,21)</f>
        <v>0</v>
      </c>
    </row>
    <row r="28" spans="1:15" x14ac:dyDescent="0.2">
      <c r="A28" s="13">
        <f>'1'!BJ28</f>
        <v>1</v>
      </c>
      <c r="B28" s="13">
        <f>'1'!BK28</f>
        <v>1</v>
      </c>
      <c r="C28" s="13" t="str">
        <f>'1'!BL28</f>
        <v>metabolomics</v>
      </c>
      <c r="D28" s="13" t="str">
        <f>'1'!BM28</f>
        <v>user</v>
      </c>
      <c r="F28" s="9">
        <v>18.5</v>
      </c>
      <c r="G28" s="9">
        <v>50</v>
      </c>
      <c r="H28" s="9">
        <f>COUNTIFS($C2:$C500,"flow cytometry",$A$2:$A$500,17,$B$2:$B$500,41)</f>
        <v>0</v>
      </c>
      <c r="I28" s="9">
        <f>COUNTIFS($C2:$C500,"genomics",$A$2:$A$500,17,$B$2:$B$500,41)</f>
        <v>0</v>
      </c>
      <c r="J28" s="9">
        <f>COUNTIFS($C2:$C500,"microscopy",$A$2:$A$500,17,$B$2:$B$500,41)</f>
        <v>0</v>
      </c>
      <c r="K28" s="9">
        <f>COUNTIFS($C2:$C500,"mouse",$A$2:$A$500,17,$B$2:$B$500,41)</f>
        <v>0</v>
      </c>
      <c r="L28" s="9">
        <f t="shared" ref="L28" si="26">COUNTIFS($C2:$C500,"proteomics",$A$2:$A$500,17,$B$2:$B$500,41)</f>
        <v>0</v>
      </c>
      <c r="M28" s="9">
        <f>COUNTIFS($C2:$C500,"histology",$A$2:$A$500,17,$B$2:$B$500,41)</f>
        <v>0</v>
      </c>
      <c r="N28" s="9">
        <f>COUNTIFS($C2:$C500,"protein expression",$A$2:$A$500,17,$B$2:$B$500,41)</f>
        <v>0</v>
      </c>
      <c r="O28" s="9">
        <f>COUNTIFS($C2:$C500,"metabolomics",$A$2:$A$500,17,$B$2:$B$500,41)</f>
        <v>0</v>
      </c>
    </row>
    <row r="29" spans="1:15" x14ac:dyDescent="0.2">
      <c r="A29" s="13">
        <f>'1'!BJ29</f>
        <v>5</v>
      </c>
      <c r="B29" s="13">
        <f>'1'!BK29</f>
        <v>1</v>
      </c>
      <c r="C29" s="13" t="str">
        <f>'1'!BL29</f>
        <v>metabolomics</v>
      </c>
      <c r="D29" s="13" t="str">
        <f>'1'!BM29</f>
        <v>staff</v>
      </c>
      <c r="F29" s="9">
        <v>18.5</v>
      </c>
      <c r="G29" s="9">
        <v>70</v>
      </c>
      <c r="H29" s="9">
        <f>COUNTIFS($C2:$C500,"flow cytometry",$A$2:$A$500,17,$B$2:$B$500,61)</f>
        <v>0</v>
      </c>
      <c r="I29" s="9">
        <f>COUNTIFS($C2:$C500,"genomics",$A$2:$A$500,17,$B$2:$B$500,61)</f>
        <v>0</v>
      </c>
      <c r="J29" s="9">
        <f>COUNTIFS($C2:$C500,"microscopy",$A$2:$A$500,17,$B$2:$B$500,61)</f>
        <v>0</v>
      </c>
      <c r="K29" s="9">
        <f>COUNTIFS($C2:$C500,"mouse",$A$2:$A$500,17,$B$2:$B$500,61)</f>
        <v>0</v>
      </c>
      <c r="L29" s="9">
        <f t="shared" ref="L29" si="27">COUNTIFS($C2:$C500,"proteomics",$A$2:$A$500,17,$B$2:$B$500,61)</f>
        <v>0</v>
      </c>
      <c r="M29" s="9">
        <f>COUNTIFS($C2:$C500,"histology",$A$2:$A$500,17,$B$2:$B$500,61)</f>
        <v>0</v>
      </c>
      <c r="N29" s="9">
        <f>COUNTIFS($C2:$C500,"protein expression",$A$2:$A$500,17,$B$2:$B$500,61)</f>
        <v>0</v>
      </c>
      <c r="O29" s="9">
        <f>COUNTIFS($C2:$C500,"metabolomics",$A$2:$A$500,17,$B$2:$B$500,61)</f>
        <v>0</v>
      </c>
    </row>
    <row r="30" spans="1:15" x14ac:dyDescent="0.2">
      <c r="A30" s="13">
        <f>'1'!BJ30</f>
        <v>17</v>
      </c>
      <c r="B30" s="13">
        <f>'1'!BK30</f>
        <v>21</v>
      </c>
      <c r="C30" s="13" t="str">
        <f>'1'!BL30</f>
        <v>Other</v>
      </c>
      <c r="D30" s="13" t="str">
        <f>'1'!BM30</f>
        <v>both</v>
      </c>
      <c r="F30" s="9">
        <v>18.5</v>
      </c>
      <c r="G30" s="9">
        <v>90</v>
      </c>
      <c r="H30" s="9">
        <f>COUNTIFS($C2:$C500,"flow cytometry",$A$2:$A$500,17,$B$2:$B$500,81)</f>
        <v>0</v>
      </c>
      <c r="I30" s="9">
        <f>COUNTIFS($C2:$C500,"genomics",$A$2:$A$500,17,$B$2:$B$500,81)</f>
        <v>1</v>
      </c>
      <c r="J30" s="9">
        <f>COUNTIFS($C2:$C500,"microscopy",$A$2:$A$500,17,$B$2:$B$500,81)</f>
        <v>0</v>
      </c>
      <c r="K30" s="9">
        <f>COUNTIFS($C2:$C500,"mouse",$A$2:$A$500,17,$B$2:$B$500,81)</f>
        <v>0</v>
      </c>
      <c r="L30" s="9">
        <f t="shared" ref="L30" si="28">COUNTIFS($C2:$C500,"proteomics",$A$2:$A$500,17,$B$2:$B$500,81)</f>
        <v>0</v>
      </c>
      <c r="M30" s="9">
        <f>COUNTIFS($C2:$C500,"histology",$A$2:$A$500,17,$B$2:$B$500,81)</f>
        <v>0</v>
      </c>
      <c r="N30" s="9">
        <f>COUNTIFS($C2:$C500,"protein expression",$A$2:$A$500,17,$B$2:$B$500,81)</f>
        <v>0</v>
      </c>
      <c r="O30" s="9">
        <f>COUNTIFS($C2:$C500,"metabolomics",$A$2:$A$500,17,$B$2:$B$500,81)</f>
        <v>0</v>
      </c>
    </row>
    <row r="31" spans="1:15" x14ac:dyDescent="0.2">
      <c r="A31" s="13">
        <f>'1'!BJ31</f>
        <v>1</v>
      </c>
      <c r="B31" s="13">
        <f>'1'!BK31</f>
        <v>1</v>
      </c>
      <c r="C31" s="13" t="str">
        <f>'1'!BL31</f>
        <v>metabolomics</v>
      </c>
      <c r="D31" s="13" t="str">
        <f>'1'!BM31</f>
        <v>both</v>
      </c>
      <c r="F31" s="9">
        <v>18.5</v>
      </c>
      <c r="G31" s="9">
        <v>110</v>
      </c>
      <c r="H31" s="9">
        <f>COUNTIFS($C2:$C500,"flow cytometry",$A$2:$A$500,17,$B$2:$B$500,101)</f>
        <v>0</v>
      </c>
      <c r="I31" s="9">
        <f>COUNTIFS($C2:$C500,"genomics",$A$2:$A$500,17,$B$2:$B$500,101)</f>
        <v>0</v>
      </c>
      <c r="J31" s="9">
        <f>COUNTIFS($C2:$C500,"microscopy",$A$2:$A$500,17,$B$2:$B$500,101)</f>
        <v>2</v>
      </c>
      <c r="K31" s="9">
        <f>COUNTIFS($C2:$C500,"mouse",$A$2:$A$500,17,$B$2:$B$500,101)</f>
        <v>0</v>
      </c>
      <c r="L31" s="9">
        <f t="shared" ref="L31" si="29">COUNTIFS($C2:$C500,"proteomics",$A$2:$A$500,17,$B$2:$B$500,101)</f>
        <v>0</v>
      </c>
      <c r="M31" s="9">
        <f>COUNTIFS($C2:$C500,"histology",$A$2:$A$500,17,$B$2:$B$500,101)</f>
        <v>0</v>
      </c>
      <c r="N31" s="9">
        <f>COUNTIFS($C2:$C500,"protein expression",$A$2:$A$500,17,$B$2:$B$500,101)</f>
        <v>0</v>
      </c>
      <c r="O31" s="9">
        <f>COUNTIFS($C2:$C500,"metabolomics",$A$2:$A$500,17,$B$2:$B$500,101)</f>
        <v>0</v>
      </c>
    </row>
    <row r="32" spans="1:15" x14ac:dyDescent="0.2">
      <c r="A32" s="13">
        <f>'1'!BJ32</f>
        <v>1</v>
      </c>
      <c r="B32" s="13">
        <f>'1'!BK32</f>
        <v>21</v>
      </c>
      <c r="C32" s="13" t="str">
        <f>'1'!BL32</f>
        <v>mouse</v>
      </c>
      <c r="D32" s="13" t="str">
        <f>'1'!BM32</f>
        <v>staff</v>
      </c>
      <c r="H32" s="60">
        <f>SUM(H2:H31)</f>
        <v>50</v>
      </c>
      <c r="I32" s="60">
        <f t="shared" ref="I32:N32" si="30">SUM(I2:I31)</f>
        <v>33</v>
      </c>
      <c r="J32" s="60">
        <f t="shared" si="30"/>
        <v>63</v>
      </c>
      <c r="K32" s="60">
        <f t="shared" si="30"/>
        <v>16</v>
      </c>
      <c r="L32" s="60">
        <f t="shared" si="30"/>
        <v>35</v>
      </c>
      <c r="M32" s="60">
        <f t="shared" si="30"/>
        <v>11</v>
      </c>
      <c r="N32" s="60">
        <f t="shared" si="30"/>
        <v>8</v>
      </c>
      <c r="O32" s="60">
        <f t="shared" ref="O32" si="31">SUM(O2:O31)</f>
        <v>8</v>
      </c>
    </row>
    <row r="33" spans="1:4" x14ac:dyDescent="0.2">
      <c r="A33" s="13">
        <f>'1'!BJ33</f>
        <v>5</v>
      </c>
      <c r="B33" s="13">
        <f>'1'!BK33</f>
        <v>21</v>
      </c>
      <c r="C33" s="13" t="str">
        <f>'1'!BL33</f>
        <v>genomics</v>
      </c>
      <c r="D33" s="13" t="str">
        <f>'1'!BM33</f>
        <v>both</v>
      </c>
    </row>
    <row r="34" spans="1:4" x14ac:dyDescent="0.2">
      <c r="A34" s="13">
        <f>'1'!BJ34</f>
        <v>1</v>
      </c>
      <c r="B34" s="13">
        <f>'1'!BK34</f>
        <v>61</v>
      </c>
      <c r="C34" s="13" t="str">
        <f>'1'!BL34</f>
        <v>flow cytometry</v>
      </c>
      <c r="D34" s="13" t="str">
        <f>'1'!BM34</f>
        <v>both</v>
      </c>
    </row>
    <row r="35" spans="1:4" x14ac:dyDescent="0.2">
      <c r="A35" s="13">
        <f>'1'!BJ35</f>
        <v>1</v>
      </c>
      <c r="B35" s="13">
        <f>'1'!BK35</f>
        <v>1</v>
      </c>
      <c r="C35" s="13" t="str">
        <f>'1'!BL35</f>
        <v>mouse</v>
      </c>
      <c r="D35" s="13" t="str">
        <f>'1'!BM35</f>
        <v>user</v>
      </c>
    </row>
    <row r="36" spans="1:4" x14ac:dyDescent="0.2">
      <c r="A36" s="13">
        <f>'1'!BJ36</f>
        <v>1</v>
      </c>
      <c r="B36" s="13">
        <f>'1'!BK36</f>
        <v>1</v>
      </c>
      <c r="C36" s="13" t="str">
        <f>'1'!BL36</f>
        <v>proteomics</v>
      </c>
      <c r="D36" s="13" t="str">
        <f>'1'!BM36</f>
        <v>both</v>
      </c>
    </row>
    <row r="37" spans="1:4" x14ac:dyDescent="0.2">
      <c r="A37" s="13">
        <f>'1'!BJ37</f>
        <v>1</v>
      </c>
      <c r="B37" s="13">
        <f>'1'!BK37</f>
        <v>21</v>
      </c>
      <c r="C37" s="13" t="str">
        <f>'1'!BL37</f>
        <v>flow cytometry</v>
      </c>
      <c r="D37" s="13" t="str">
        <f>'1'!BM37</f>
        <v>staff</v>
      </c>
    </row>
    <row r="38" spans="1:4" x14ac:dyDescent="0.2">
      <c r="A38" s="13">
        <f>'1'!BJ38</f>
        <v>5</v>
      </c>
      <c r="B38" s="13">
        <f>'1'!BK38</f>
        <v>1</v>
      </c>
      <c r="C38" s="13" t="str">
        <f>'1'!BL38</f>
        <v>proteomics</v>
      </c>
      <c r="D38" s="13" t="str">
        <f>'1'!BM38</f>
        <v>both</v>
      </c>
    </row>
    <row r="39" spans="1:4" x14ac:dyDescent="0.2">
      <c r="A39" s="13">
        <f>'1'!BJ39</f>
        <v>1</v>
      </c>
      <c r="B39" s="13">
        <f>'1'!BK39</f>
        <v>101</v>
      </c>
      <c r="C39" s="13" t="str">
        <f>'1'!BL39</f>
        <v>microscopy</v>
      </c>
      <c r="D39" s="13" t="str">
        <f>'1'!BM39</f>
        <v>user</v>
      </c>
    </row>
    <row r="40" spans="1:4" x14ac:dyDescent="0.2">
      <c r="A40" s="13">
        <f>'1'!BJ40</f>
        <v>1</v>
      </c>
      <c r="B40" s="13">
        <f>'1'!BK40</f>
        <v>1</v>
      </c>
      <c r="C40" s="13" t="str">
        <f>'1'!BL40</f>
        <v>proteomics</v>
      </c>
      <c r="D40" s="13" t="str">
        <f>'1'!BM40</f>
        <v>staff</v>
      </c>
    </row>
    <row r="41" spans="1:4" x14ac:dyDescent="0.2">
      <c r="A41" s="13">
        <f>'1'!BJ41</f>
        <v>5</v>
      </c>
      <c r="B41" s="13">
        <f>'1'!BK41</f>
        <v>1</v>
      </c>
      <c r="C41" s="13" t="str">
        <f>'1'!BL41</f>
        <v>proteomics</v>
      </c>
      <c r="D41" s="13" t="str">
        <f>'1'!BM41</f>
        <v>staff</v>
      </c>
    </row>
    <row r="42" spans="1:4" x14ac:dyDescent="0.2">
      <c r="A42" s="13">
        <f>'1'!BJ42</f>
        <v>1</v>
      </c>
      <c r="B42" s="13">
        <f>'1'!BK42</f>
        <v>41</v>
      </c>
      <c r="C42" s="13" t="str">
        <f>'1'!BL42</f>
        <v>microscopy</v>
      </c>
      <c r="D42" s="13" t="str">
        <f>'1'!BM42</f>
        <v>user</v>
      </c>
    </row>
    <row r="43" spans="1:4" x14ac:dyDescent="0.2">
      <c r="A43" s="13">
        <f>'1'!BJ43</f>
        <v>5</v>
      </c>
      <c r="B43" s="13">
        <f>'1'!BK43</f>
        <v>1</v>
      </c>
      <c r="C43" s="13" t="str">
        <f>'1'!BL43</f>
        <v>pluripotent stem cells</v>
      </c>
      <c r="D43" s="13" t="str">
        <f>'1'!BM43</f>
        <v>user</v>
      </c>
    </row>
    <row r="44" spans="1:4" x14ac:dyDescent="0.2">
      <c r="A44" s="13">
        <f>'1'!BJ44</f>
        <v>17</v>
      </c>
      <c r="B44" s="13">
        <f>'1'!BK44</f>
        <v>21</v>
      </c>
      <c r="C44" s="13" t="str">
        <f>'1'!BL44</f>
        <v>Other</v>
      </c>
      <c r="D44" s="13" t="str">
        <f>'1'!BM44</f>
        <v>both</v>
      </c>
    </row>
    <row r="45" spans="1:4" x14ac:dyDescent="0.2">
      <c r="A45" s="13">
        <f>'1'!BJ45</f>
        <v>1</v>
      </c>
      <c r="B45" s="13">
        <f>'1'!BK45</f>
        <v>21</v>
      </c>
      <c r="C45" s="13" t="str">
        <f>'1'!BL45</f>
        <v>flow cytometry</v>
      </c>
      <c r="D45" s="13" t="str">
        <f>'1'!BM45</f>
        <v>staff</v>
      </c>
    </row>
    <row r="46" spans="1:4" x14ac:dyDescent="0.2">
      <c r="A46" s="13">
        <f>'1'!BJ46</f>
        <v>9</v>
      </c>
      <c r="B46" s="13">
        <f>'1'!BK46</f>
        <v>41</v>
      </c>
      <c r="C46" s="13" t="str">
        <f>'1'!BL46</f>
        <v>proteomics</v>
      </c>
      <c r="D46" s="13" t="str">
        <f>'1'!BM46</f>
        <v>staff</v>
      </c>
    </row>
    <row r="47" spans="1:4" x14ac:dyDescent="0.2">
      <c r="A47" s="13">
        <f>'1'!BJ47</f>
        <v>5</v>
      </c>
      <c r="B47" s="13">
        <f>'1'!BK47</f>
        <v>101</v>
      </c>
      <c r="C47" s="13" t="str">
        <f>'1'!BL47</f>
        <v>Other</v>
      </c>
      <c r="D47" s="13" t="str">
        <f>'1'!BM47</f>
        <v>user</v>
      </c>
    </row>
    <row r="48" spans="1:4" x14ac:dyDescent="0.2">
      <c r="A48" s="13">
        <f>'1'!BJ48</f>
        <v>1</v>
      </c>
      <c r="B48" s="13">
        <f>'1'!BK48</f>
        <v>1</v>
      </c>
      <c r="C48" s="13" t="str">
        <f>'1'!BL48</f>
        <v>cell culture</v>
      </c>
      <c r="D48" s="13" t="str">
        <f>'1'!BM48</f>
        <v>both</v>
      </c>
    </row>
    <row r="49" spans="1:4" x14ac:dyDescent="0.2">
      <c r="A49" s="13">
        <f>'1'!BJ49</f>
        <v>5</v>
      </c>
      <c r="B49" s="13">
        <f>'1'!BK49</f>
        <v>1</v>
      </c>
      <c r="C49" s="13" t="str">
        <f>'1'!BL49</f>
        <v>microscopy</v>
      </c>
      <c r="D49" s="13" t="str">
        <f>'1'!BM49</f>
        <v>both</v>
      </c>
    </row>
    <row r="50" spans="1:4" x14ac:dyDescent="0.2">
      <c r="A50" s="13">
        <f>'1'!BJ50</f>
        <v>1</v>
      </c>
      <c r="B50" s="13">
        <f>'1'!BK50</f>
        <v>1</v>
      </c>
      <c r="C50" s="13" t="str">
        <f>'1'!BL50</f>
        <v>Histology</v>
      </c>
      <c r="D50" s="13" t="str">
        <f>'1'!BM50</f>
        <v>both</v>
      </c>
    </row>
    <row r="51" spans="1:4" x14ac:dyDescent="0.2">
      <c r="A51" s="13">
        <f>'1'!BJ51</f>
        <v>1</v>
      </c>
      <c r="B51" s="13">
        <f>'1'!BK51</f>
        <v>21</v>
      </c>
      <c r="C51" s="13" t="str">
        <f>'1'!BL51</f>
        <v>flow cytometry</v>
      </c>
      <c r="D51" s="13" t="str">
        <f>'1'!BM51</f>
        <v>user</v>
      </c>
    </row>
    <row r="52" spans="1:4" x14ac:dyDescent="0.2">
      <c r="A52" s="13">
        <f>'1'!BJ52</f>
        <v>1</v>
      </c>
      <c r="B52" s="13">
        <f>'1'!BK52</f>
        <v>1</v>
      </c>
      <c r="C52" s="13" t="str">
        <f>'1'!BL52</f>
        <v>genomics</v>
      </c>
      <c r="D52" s="13" t="str">
        <f>'1'!BM52</f>
        <v>both</v>
      </c>
    </row>
    <row r="53" spans="1:4" x14ac:dyDescent="0.2">
      <c r="A53" s="13">
        <f>'1'!BJ53</f>
        <v>9</v>
      </c>
      <c r="B53" s="13">
        <f>'1'!BK53</f>
        <v>101</v>
      </c>
      <c r="C53" s="13" t="str">
        <f>'1'!BL53</f>
        <v>Other</v>
      </c>
      <c r="D53" s="13" t="str">
        <f>'1'!BM53</f>
        <v>user</v>
      </c>
    </row>
    <row r="54" spans="1:4" x14ac:dyDescent="0.2">
      <c r="A54" s="13">
        <f>'1'!BJ54</f>
        <v>17</v>
      </c>
      <c r="B54" s="13">
        <f>'1'!BK54</f>
        <v>21</v>
      </c>
      <c r="C54" s="13" t="str">
        <f>'1'!BL54</f>
        <v>mouse</v>
      </c>
      <c r="D54" s="13" t="str">
        <f>'1'!BM54</f>
        <v>both</v>
      </c>
    </row>
    <row r="55" spans="1:4" x14ac:dyDescent="0.2">
      <c r="A55" s="13">
        <f>'1'!BJ55</f>
        <v>1</v>
      </c>
      <c r="B55" s="13">
        <f>'1'!BK55</f>
        <v>41</v>
      </c>
      <c r="C55" s="13" t="str">
        <f>'1'!BL55</f>
        <v>Histology</v>
      </c>
      <c r="D55" s="13" t="str">
        <f>'1'!BM55</f>
        <v>both</v>
      </c>
    </row>
    <row r="56" spans="1:4" x14ac:dyDescent="0.2">
      <c r="A56" s="13">
        <f>'1'!BJ56</f>
        <v>9</v>
      </c>
      <c r="B56" s="13">
        <f>'1'!BK56</f>
        <v>41</v>
      </c>
      <c r="C56" s="13" t="str">
        <f>'1'!BL56</f>
        <v>Histology</v>
      </c>
      <c r="D56" s="13" t="str">
        <f>'1'!BM56</f>
        <v>user</v>
      </c>
    </row>
    <row r="57" spans="1:4" x14ac:dyDescent="0.2">
      <c r="A57" s="13">
        <f>'1'!BJ57</f>
        <v>5</v>
      </c>
      <c r="B57" s="13">
        <f>'1'!BK57</f>
        <v>101</v>
      </c>
      <c r="C57" s="13" t="str">
        <f>'1'!BL57</f>
        <v>microscopy</v>
      </c>
      <c r="D57" s="13" t="str">
        <f>'1'!BM57</f>
        <v>both</v>
      </c>
    </row>
    <row r="58" spans="1:4" x14ac:dyDescent="0.2">
      <c r="A58" s="13">
        <f>'1'!BJ58</f>
        <v>1</v>
      </c>
      <c r="B58" s="13">
        <f>'1'!BK58</f>
        <v>1</v>
      </c>
      <c r="C58" s="13" t="str">
        <f>'1'!BL58</f>
        <v>microscopy</v>
      </c>
      <c r="D58" s="13" t="str">
        <f>'1'!BM58</f>
        <v>both</v>
      </c>
    </row>
    <row r="59" spans="1:4" x14ac:dyDescent="0.2">
      <c r="A59" s="13">
        <f>'1'!BJ59</f>
        <v>1</v>
      </c>
      <c r="B59" s="13">
        <f>'1'!BK59</f>
        <v>1</v>
      </c>
      <c r="C59" s="13" t="str">
        <f>'1'!BL59</f>
        <v>proteomics</v>
      </c>
      <c r="D59" s="13" t="str">
        <f>'1'!BM59</f>
        <v>staff</v>
      </c>
    </row>
    <row r="60" spans="1:4" x14ac:dyDescent="0.2">
      <c r="A60" s="13">
        <f>'1'!BJ60</f>
        <v>1</v>
      </c>
      <c r="B60" s="13">
        <f>'1'!BK60</f>
        <v>21</v>
      </c>
      <c r="C60" s="13" t="str">
        <f>'1'!BL60</f>
        <v>flow cytometry</v>
      </c>
      <c r="D60" s="13" t="str">
        <f>'1'!BM60</f>
        <v>user</v>
      </c>
    </row>
    <row r="61" spans="1:4" x14ac:dyDescent="0.2">
      <c r="A61" s="13">
        <f>'1'!BJ61</f>
        <v>1</v>
      </c>
      <c r="B61" s="13">
        <f>'1'!BK61</f>
        <v>21</v>
      </c>
      <c r="C61" s="13" t="str">
        <f>'1'!BL61</f>
        <v>flow cytometry</v>
      </c>
      <c r="D61" s="13" t="str">
        <f>'1'!BM61</f>
        <v>both</v>
      </c>
    </row>
    <row r="62" spans="1:4" x14ac:dyDescent="0.2">
      <c r="A62" s="13">
        <f>'1'!BJ62</f>
        <v>1</v>
      </c>
      <c r="B62" s="13">
        <f>'1'!BK62</f>
        <v>1</v>
      </c>
      <c r="C62" s="13" t="str">
        <f>'1'!BL62</f>
        <v>proteomics</v>
      </c>
      <c r="D62" s="13" t="str">
        <f>'1'!BM62</f>
        <v>staff</v>
      </c>
    </row>
    <row r="63" spans="1:4" x14ac:dyDescent="0.2">
      <c r="A63" s="13">
        <f>'1'!BJ63</f>
        <v>1</v>
      </c>
      <c r="B63" s="13">
        <f>'1'!BK63</f>
        <v>41</v>
      </c>
      <c r="C63" s="13" t="str">
        <f>'1'!BL63</f>
        <v>microscopy</v>
      </c>
      <c r="D63" s="13" t="str">
        <f>'1'!BM63</f>
        <v>user</v>
      </c>
    </row>
    <row r="64" spans="1:4" x14ac:dyDescent="0.2">
      <c r="A64" s="13">
        <f>'1'!BJ64</f>
        <v>13</v>
      </c>
      <c r="B64" s="13">
        <f>'1'!BK64</f>
        <v>81</v>
      </c>
      <c r="C64" s="13" t="str">
        <f>'1'!BL64</f>
        <v>microscopy</v>
      </c>
      <c r="D64" s="13" t="str">
        <f>'1'!BM64</f>
        <v>both</v>
      </c>
    </row>
    <row r="65" spans="1:4" x14ac:dyDescent="0.2">
      <c r="A65" s="13">
        <f>'1'!BJ65</f>
        <v>5</v>
      </c>
      <c r="B65" s="13">
        <f>'1'!BK65</f>
        <v>1</v>
      </c>
      <c r="C65" s="13" t="str">
        <f>'1'!BL65</f>
        <v>genomics</v>
      </c>
      <c r="D65" s="13" t="str">
        <f>'1'!BM65</f>
        <v>staff</v>
      </c>
    </row>
    <row r="66" spans="1:4" x14ac:dyDescent="0.2">
      <c r="A66" s="13">
        <f>'1'!BJ66</f>
        <v>1</v>
      </c>
      <c r="B66" s="13">
        <f>'1'!BK66</f>
        <v>1</v>
      </c>
      <c r="C66" s="13" t="str">
        <f>'1'!BL66</f>
        <v>protein expression</v>
      </c>
      <c r="D66" s="13" t="str">
        <f>'1'!BM66</f>
        <v>staff</v>
      </c>
    </row>
    <row r="67" spans="1:4" x14ac:dyDescent="0.2">
      <c r="A67" s="13">
        <f>'1'!BJ67</f>
        <v>1</v>
      </c>
      <c r="B67" s="13">
        <f>'1'!BK67</f>
        <v>1</v>
      </c>
      <c r="C67" s="13" t="str">
        <f>'1'!BL67</f>
        <v>Other</v>
      </c>
      <c r="D67" s="13" t="str">
        <f>'1'!BM67</f>
        <v>staff</v>
      </c>
    </row>
    <row r="68" spans="1:4" x14ac:dyDescent="0.2">
      <c r="A68" s="13">
        <f>'1'!BJ68</f>
        <v>17</v>
      </c>
      <c r="B68" s="13">
        <f>'1'!BK68</f>
        <v>21</v>
      </c>
      <c r="C68" s="13" t="str">
        <f>'1'!BL68</f>
        <v>Other</v>
      </c>
      <c r="D68" s="13" t="str">
        <f>'1'!BM68</f>
        <v>both</v>
      </c>
    </row>
    <row r="69" spans="1:4" x14ac:dyDescent="0.2">
      <c r="A69" s="13">
        <f>'1'!BJ69</f>
        <v>1</v>
      </c>
      <c r="B69" s="13">
        <f>'1'!BK69</f>
        <v>1</v>
      </c>
      <c r="C69" s="13" t="str">
        <f>'1'!BL69</f>
        <v>mouse</v>
      </c>
      <c r="D69" s="13" t="str">
        <f>'1'!BM69</f>
        <v>staff</v>
      </c>
    </row>
    <row r="70" spans="1:4" x14ac:dyDescent="0.2">
      <c r="A70" s="13">
        <f>'1'!BJ70</f>
        <v>17</v>
      </c>
      <c r="B70" s="13">
        <f>'1'!BK70</f>
        <v>101</v>
      </c>
      <c r="C70" s="13" t="str">
        <f>'1'!BL70</f>
        <v>microscopy</v>
      </c>
      <c r="D70" s="13" t="str">
        <f>'1'!BM70</f>
        <v>both</v>
      </c>
    </row>
    <row r="71" spans="1:4" x14ac:dyDescent="0.2">
      <c r="A71" s="13">
        <f>'1'!BJ71</f>
        <v>1</v>
      </c>
      <c r="B71" s="13">
        <f>'1'!BK71</f>
        <v>21</v>
      </c>
      <c r="C71" s="13" t="str">
        <f>'1'!BL71</f>
        <v>microscopy</v>
      </c>
      <c r="D71" s="13" t="str">
        <f>'1'!BM71</f>
        <v>staff</v>
      </c>
    </row>
    <row r="72" spans="1:4" x14ac:dyDescent="0.2">
      <c r="A72" s="13">
        <f>'1'!BJ72</f>
        <v>1</v>
      </c>
      <c r="B72" s="13">
        <f>'1'!BK72</f>
        <v>21</v>
      </c>
      <c r="C72" s="13" t="str">
        <f>'1'!BL72</f>
        <v>flow cytometry</v>
      </c>
      <c r="D72" s="13" t="str">
        <f>'1'!BM72</f>
        <v>both</v>
      </c>
    </row>
    <row r="73" spans="1:4" x14ac:dyDescent="0.2">
      <c r="A73" s="13">
        <f>'1'!BJ73</f>
        <v>1</v>
      </c>
      <c r="B73" s="13">
        <f>'1'!BK73</f>
        <v>81</v>
      </c>
      <c r="C73" s="13" t="str">
        <f>'1'!BL73</f>
        <v>microscopy</v>
      </c>
      <c r="D73" s="13" t="str">
        <f>'1'!BM73</f>
        <v>both</v>
      </c>
    </row>
    <row r="74" spans="1:4" x14ac:dyDescent="0.2">
      <c r="A74" s="13">
        <f>'1'!BJ74</f>
        <v>1</v>
      </c>
      <c r="B74" s="13">
        <f>'1'!BK74</f>
        <v>1</v>
      </c>
      <c r="C74" s="13" t="str">
        <f>'1'!BL74</f>
        <v>genomics</v>
      </c>
      <c r="D74" s="13" t="str">
        <f>'1'!BM74</f>
        <v>both</v>
      </c>
    </row>
    <row r="75" spans="1:4" x14ac:dyDescent="0.2">
      <c r="A75" s="13">
        <f>'1'!BJ75</f>
        <v>1</v>
      </c>
      <c r="B75" s="13">
        <f>'1'!BK75</f>
        <v>1</v>
      </c>
      <c r="C75" s="13" t="str">
        <f>'1'!BL75</f>
        <v>genomics</v>
      </c>
      <c r="D75" s="13" t="str">
        <f>'1'!BM75</f>
        <v>both</v>
      </c>
    </row>
    <row r="76" spans="1:4" x14ac:dyDescent="0.2">
      <c r="A76" s="13">
        <f>'1'!BJ76</f>
        <v>5</v>
      </c>
      <c r="B76" s="13">
        <f>'1'!BK76</f>
        <v>101</v>
      </c>
      <c r="C76" s="13" t="str">
        <f>'1'!BL76</f>
        <v>genomics</v>
      </c>
      <c r="D76" s="13" t="str">
        <f>'1'!BM76</f>
        <v>both</v>
      </c>
    </row>
    <row r="77" spans="1:4" x14ac:dyDescent="0.2">
      <c r="A77" s="13">
        <f>'1'!BJ77</f>
        <v>9</v>
      </c>
      <c r="B77" s="13">
        <f>'1'!BK77</f>
        <v>1</v>
      </c>
      <c r="C77" s="13" t="str">
        <f>'1'!BL77</f>
        <v>Other</v>
      </c>
      <c r="D77" s="13" t="str">
        <f>'1'!BM77</f>
        <v>staff</v>
      </c>
    </row>
    <row r="78" spans="1:4" x14ac:dyDescent="0.2">
      <c r="A78" s="13">
        <f>'1'!BJ78</f>
        <v>5</v>
      </c>
      <c r="B78" s="13">
        <f>'1'!BK78</f>
        <v>21</v>
      </c>
      <c r="C78" s="13" t="str">
        <f>'1'!BL78</f>
        <v>proteomics</v>
      </c>
      <c r="D78" s="13" t="str">
        <f>'1'!BM78</f>
        <v>both</v>
      </c>
    </row>
    <row r="79" spans="1:4" x14ac:dyDescent="0.2">
      <c r="A79" s="13">
        <f>'1'!BJ79</f>
        <v>1</v>
      </c>
      <c r="B79" s="13">
        <f>'1'!BK79</f>
        <v>21</v>
      </c>
      <c r="C79" s="13" t="str">
        <f>'1'!BL79</f>
        <v>flow cytometry</v>
      </c>
      <c r="D79" s="13" t="str">
        <f>'1'!BM79</f>
        <v>both</v>
      </c>
    </row>
    <row r="80" spans="1:4" x14ac:dyDescent="0.2">
      <c r="A80" s="13">
        <f>'1'!BJ80</f>
        <v>5</v>
      </c>
      <c r="B80" s="13">
        <f>'1'!BK80</f>
        <v>1</v>
      </c>
      <c r="C80" s="13" t="str">
        <f>'1'!BL80</f>
        <v>genomics</v>
      </c>
      <c r="D80" s="13" t="str">
        <f>'1'!BM80</f>
        <v>staff</v>
      </c>
    </row>
    <row r="81" spans="1:4" x14ac:dyDescent="0.2">
      <c r="A81" s="13">
        <f>'1'!BJ81</f>
        <v>1</v>
      </c>
      <c r="B81" s="13">
        <f>'1'!BK81</f>
        <v>41</v>
      </c>
      <c r="C81" s="13" t="str">
        <f>'1'!BL81</f>
        <v>flow cytometry</v>
      </c>
      <c r="D81" s="13" t="str">
        <f>'1'!BM81</f>
        <v>both</v>
      </c>
    </row>
    <row r="82" spans="1:4" x14ac:dyDescent="0.2">
      <c r="A82" s="13">
        <f>'1'!BJ82</f>
        <v>1</v>
      </c>
      <c r="B82" s="13">
        <f>'1'!BK82</f>
        <v>1</v>
      </c>
      <c r="C82" s="13" t="str">
        <f>'1'!BL82</f>
        <v>Other</v>
      </c>
      <c r="D82" s="13" t="str">
        <f>'1'!BM82</f>
        <v>staff</v>
      </c>
    </row>
    <row r="83" spans="1:4" x14ac:dyDescent="0.2">
      <c r="A83" s="13">
        <f>'1'!BJ83</f>
        <v>1</v>
      </c>
      <c r="B83" s="13">
        <f>'1'!BK83</f>
        <v>21</v>
      </c>
      <c r="C83" s="13" t="str">
        <f>'1'!BL83</f>
        <v>bioinformatics</v>
      </c>
      <c r="D83" s="13" t="str">
        <f>'1'!BM83</f>
        <v>both</v>
      </c>
    </row>
    <row r="84" spans="1:4" x14ac:dyDescent="0.2">
      <c r="A84" s="13">
        <f>'1'!BJ84</f>
        <v>1</v>
      </c>
      <c r="B84" s="13">
        <f>'1'!BK84</f>
        <v>1</v>
      </c>
      <c r="C84" s="13" t="str">
        <f>'1'!BL84</f>
        <v>Other</v>
      </c>
      <c r="D84" s="13" t="str">
        <f>'1'!BM84</f>
        <v>staff</v>
      </c>
    </row>
    <row r="85" spans="1:4" x14ac:dyDescent="0.2">
      <c r="A85" s="13">
        <f>'1'!BJ85</f>
        <v>1</v>
      </c>
      <c r="B85" s="13">
        <f>'1'!BK85</f>
        <v>21</v>
      </c>
      <c r="C85" s="13" t="str">
        <f>'1'!BL85</f>
        <v>microscopy</v>
      </c>
      <c r="D85" s="13" t="str">
        <f>'1'!BM85</f>
        <v>both</v>
      </c>
    </row>
    <row r="86" spans="1:4" x14ac:dyDescent="0.2">
      <c r="A86" s="13">
        <f>'1'!BJ86</f>
        <v>1</v>
      </c>
      <c r="B86" s="13">
        <f>'1'!BK86</f>
        <v>1</v>
      </c>
      <c r="C86" s="13" t="str">
        <f>'1'!BL86</f>
        <v>Other</v>
      </c>
      <c r="D86" s="13" t="str">
        <f>'1'!BM86</f>
        <v>both</v>
      </c>
    </row>
    <row r="87" spans="1:4" x14ac:dyDescent="0.2">
      <c r="A87" s="13">
        <f>'1'!BJ87</f>
        <v>17</v>
      </c>
      <c r="B87" s="13">
        <f>'1'!BK87</f>
        <v>101</v>
      </c>
      <c r="C87" s="13" t="str">
        <f>'1'!BL87</f>
        <v>microscopy</v>
      </c>
      <c r="D87" s="13" t="str">
        <f>'1'!BM87</f>
        <v>both</v>
      </c>
    </row>
    <row r="88" spans="1:4" x14ac:dyDescent="0.2">
      <c r="A88" s="13">
        <f>'1'!BJ88</f>
        <v>1</v>
      </c>
      <c r="B88" s="13">
        <f>'1'!BK88</f>
        <v>1</v>
      </c>
      <c r="C88" s="13" t="str">
        <f>'1'!BL88</f>
        <v>protein expression</v>
      </c>
      <c r="D88" s="13" t="str">
        <f>'1'!BM88</f>
        <v>both</v>
      </c>
    </row>
    <row r="89" spans="1:4" x14ac:dyDescent="0.2">
      <c r="A89" s="13">
        <f>'1'!BJ89</f>
        <v>1</v>
      </c>
      <c r="B89" s="13">
        <f>'1'!BK89</f>
        <v>41</v>
      </c>
      <c r="C89" s="13" t="str">
        <f>'1'!BL89</f>
        <v>flow cytometry</v>
      </c>
      <c r="D89" s="13" t="str">
        <f>'1'!BM89</f>
        <v>both</v>
      </c>
    </row>
    <row r="90" spans="1:4" x14ac:dyDescent="0.2">
      <c r="A90" s="13">
        <f>'1'!BJ90</f>
        <v>1</v>
      </c>
      <c r="B90" s="13">
        <f>'1'!BK90</f>
        <v>21</v>
      </c>
      <c r="C90" s="13" t="str">
        <f>'1'!BL90</f>
        <v>microscopy</v>
      </c>
      <c r="D90" s="13" t="str">
        <f>'1'!BM90</f>
        <v>both</v>
      </c>
    </row>
    <row r="91" spans="1:4" x14ac:dyDescent="0.2">
      <c r="A91" s="13">
        <f>'1'!BJ91</f>
        <v>1</v>
      </c>
      <c r="B91" s="13">
        <f>'1'!BK91</f>
        <v>21</v>
      </c>
      <c r="C91" s="13" t="str">
        <f>'1'!BL91</f>
        <v>flow cytometry</v>
      </c>
      <c r="D91" s="13" t="str">
        <f>'1'!BM91</f>
        <v>user</v>
      </c>
    </row>
    <row r="92" spans="1:4" x14ac:dyDescent="0.2">
      <c r="A92" s="13">
        <f>'1'!BJ92</f>
        <v>1</v>
      </c>
      <c r="B92" s="13">
        <f>'1'!BK92</f>
        <v>1</v>
      </c>
      <c r="C92" s="13" t="str">
        <f>'1'!BL92</f>
        <v>mouse</v>
      </c>
      <c r="D92" s="13" t="str">
        <f>'1'!BM92</f>
        <v>both</v>
      </c>
    </row>
    <row r="93" spans="1:4" x14ac:dyDescent="0.2">
      <c r="A93" s="13">
        <f>'1'!BJ93</f>
        <v>1</v>
      </c>
      <c r="B93" s="13">
        <f>'1'!BK93</f>
        <v>41</v>
      </c>
      <c r="C93" s="13" t="str">
        <f>'1'!BL93</f>
        <v>microscopy</v>
      </c>
      <c r="D93" s="13" t="str">
        <f>'1'!BM93</f>
        <v>both</v>
      </c>
    </row>
    <row r="94" spans="1:4" x14ac:dyDescent="0.2">
      <c r="A94" s="13">
        <f>'1'!BJ94</f>
        <v>1</v>
      </c>
      <c r="B94" s="13">
        <f>'1'!BK94</f>
        <v>1</v>
      </c>
      <c r="C94" s="13" t="str">
        <f>'1'!BL94</f>
        <v>histology</v>
      </c>
      <c r="D94" s="13" t="str">
        <f>'1'!BM94</f>
        <v>both</v>
      </c>
    </row>
    <row r="95" spans="1:4" x14ac:dyDescent="0.2">
      <c r="A95" s="13">
        <f>'1'!BJ95</f>
        <v>1</v>
      </c>
      <c r="B95" s="13">
        <f>'1'!BK95</f>
        <v>1</v>
      </c>
      <c r="C95" s="13" t="str">
        <f>'1'!BL95</f>
        <v>microscopy</v>
      </c>
      <c r="D95" s="13" t="str">
        <f>'1'!BM95</f>
        <v>both</v>
      </c>
    </row>
    <row r="96" spans="1:4" x14ac:dyDescent="0.2">
      <c r="A96" s="13">
        <f>'1'!BJ96</f>
        <v>1</v>
      </c>
      <c r="B96" s="13">
        <f>'1'!BK96</f>
        <v>101</v>
      </c>
      <c r="C96" s="13" t="str">
        <f>'1'!BL96</f>
        <v>flow cytometry</v>
      </c>
      <c r="D96" s="13" t="str">
        <f>'1'!BM96</f>
        <v>both</v>
      </c>
    </row>
    <row r="97" spans="1:4" x14ac:dyDescent="0.2">
      <c r="A97" s="13">
        <f>'1'!BJ97</f>
        <v>1</v>
      </c>
      <c r="B97" s="13">
        <f>'1'!BK97</f>
        <v>21</v>
      </c>
      <c r="C97" s="13" t="str">
        <f>'1'!BL97</f>
        <v>proteomics</v>
      </c>
      <c r="D97" s="13" t="str">
        <f>'1'!BM97</f>
        <v>staff</v>
      </c>
    </row>
    <row r="98" spans="1:4" x14ac:dyDescent="0.2">
      <c r="A98" s="13">
        <f>'1'!BJ98</f>
        <v>1</v>
      </c>
      <c r="B98" s="13">
        <f>'1'!BK98</f>
        <v>21</v>
      </c>
      <c r="C98" s="13" t="str">
        <f>'1'!BL98</f>
        <v>bioinformatics</v>
      </c>
      <c r="D98" s="13" t="str">
        <f>'1'!BM98</f>
        <v>both</v>
      </c>
    </row>
    <row r="99" spans="1:4" x14ac:dyDescent="0.2">
      <c r="A99" s="13">
        <f>'1'!BJ99</f>
        <v>9</v>
      </c>
      <c r="B99" s="13">
        <f>'1'!BK99</f>
        <v>21</v>
      </c>
      <c r="C99" s="13" t="str">
        <f>'1'!BL99</f>
        <v>genomics</v>
      </c>
      <c r="D99" s="13" t="str">
        <f>'1'!BM99</f>
        <v>staff</v>
      </c>
    </row>
    <row r="100" spans="1:4" x14ac:dyDescent="0.2">
      <c r="A100" s="13">
        <f>'1'!BJ100</f>
        <v>1</v>
      </c>
      <c r="B100" s="13">
        <f>'1'!BK100</f>
        <v>1</v>
      </c>
      <c r="C100" s="13" t="str">
        <f>'1'!BL100</f>
        <v>microscopy</v>
      </c>
      <c r="D100" s="13" t="str">
        <f>'1'!BM100</f>
        <v>both</v>
      </c>
    </row>
    <row r="101" spans="1:4" x14ac:dyDescent="0.2">
      <c r="A101" s="13">
        <f>'1'!BJ101</f>
        <v>1</v>
      </c>
      <c r="B101" s="13">
        <f>'1'!BK101</f>
        <v>1</v>
      </c>
      <c r="C101" s="13" t="str">
        <f>'1'!BL101</f>
        <v>Other</v>
      </c>
      <c r="D101" s="13" t="str">
        <f>'1'!BM101</f>
        <v>both</v>
      </c>
    </row>
    <row r="102" spans="1:4" x14ac:dyDescent="0.2">
      <c r="A102" s="13">
        <f>'1'!BJ102</f>
        <v>13</v>
      </c>
      <c r="B102" s="13">
        <f>'1'!BK102</f>
        <v>101</v>
      </c>
      <c r="C102" s="13" t="str">
        <f>'1'!BL102</f>
        <v>genomics</v>
      </c>
      <c r="D102" s="13" t="str">
        <f>'1'!BM102</f>
        <v>both</v>
      </c>
    </row>
    <row r="103" spans="1:4" x14ac:dyDescent="0.2">
      <c r="A103" s="13">
        <f>'1'!BJ103</f>
        <v>5</v>
      </c>
      <c r="B103" s="13">
        <f>'1'!BK103</f>
        <v>21</v>
      </c>
      <c r="C103" s="13" t="str">
        <f>'1'!BL103</f>
        <v>protein expression</v>
      </c>
      <c r="D103" s="13" t="str">
        <f>'1'!BM103</f>
        <v>both</v>
      </c>
    </row>
    <row r="104" spans="1:4" x14ac:dyDescent="0.2">
      <c r="A104" s="13">
        <f>'1'!BJ104</f>
        <v>1</v>
      </c>
      <c r="B104" s="13">
        <f>'1'!BK104</f>
        <v>1</v>
      </c>
      <c r="C104" s="13" t="str">
        <f>'1'!BL104</f>
        <v>histology</v>
      </c>
      <c r="D104" s="13" t="str">
        <f>'1'!BM104</f>
        <v>both</v>
      </c>
    </row>
    <row r="105" spans="1:4" x14ac:dyDescent="0.2">
      <c r="A105" s="13">
        <f>'1'!BJ105</f>
        <v>1</v>
      </c>
      <c r="B105" s="13">
        <f>'1'!BK105</f>
        <v>101</v>
      </c>
      <c r="C105" s="13" t="str">
        <f>'1'!BL105</f>
        <v>cell culture</v>
      </c>
      <c r="D105" s="13" t="str">
        <f>'1'!BM105</f>
        <v>both</v>
      </c>
    </row>
    <row r="106" spans="1:4" x14ac:dyDescent="0.2">
      <c r="A106" s="13">
        <f>'1'!BJ106</f>
        <v>1</v>
      </c>
      <c r="B106" s="13">
        <f>'1'!BK106</f>
        <v>1</v>
      </c>
      <c r="C106" s="13" t="str">
        <f>'1'!BL106</f>
        <v>microscopy</v>
      </c>
      <c r="D106" s="13" t="str">
        <f>'1'!BM106</f>
        <v>staff</v>
      </c>
    </row>
    <row r="107" spans="1:4" x14ac:dyDescent="0.2">
      <c r="A107" s="13">
        <f>'1'!BJ107</f>
        <v>17</v>
      </c>
      <c r="B107" s="13">
        <f>'1'!BK107</f>
        <v>21</v>
      </c>
      <c r="C107" s="13" t="str">
        <f>'1'!BL107</f>
        <v>genomics</v>
      </c>
      <c r="D107" s="13" t="str">
        <f>'1'!BM107</f>
        <v>both</v>
      </c>
    </row>
    <row r="108" spans="1:4" x14ac:dyDescent="0.2">
      <c r="A108" s="13">
        <f>'1'!BJ108</f>
        <v>1</v>
      </c>
      <c r="B108" s="13">
        <f>'1'!BK108</f>
        <v>1</v>
      </c>
      <c r="C108" s="13" t="str">
        <f>'1'!BL108</f>
        <v>protein expression</v>
      </c>
      <c r="D108" s="13" t="str">
        <f>'1'!BM108</f>
        <v>both</v>
      </c>
    </row>
    <row r="109" spans="1:4" x14ac:dyDescent="0.2">
      <c r="A109" s="13">
        <f>'1'!BJ109</f>
        <v>1</v>
      </c>
      <c r="B109" s="13">
        <f>'1'!BK109</f>
        <v>41</v>
      </c>
      <c r="C109" s="13" t="str">
        <f>'1'!BL109</f>
        <v>microscopy</v>
      </c>
      <c r="D109" s="13" t="str">
        <f>'1'!BM109</f>
        <v>both</v>
      </c>
    </row>
    <row r="110" spans="1:4" x14ac:dyDescent="0.2">
      <c r="A110" s="13">
        <f>'1'!BJ110</f>
        <v>1</v>
      </c>
      <c r="B110" s="13">
        <f>'1'!BK110</f>
        <v>1</v>
      </c>
      <c r="C110" s="13" t="str">
        <f>'1'!BL110</f>
        <v>metabolomics</v>
      </c>
      <c r="D110" s="13" t="str">
        <f>'1'!BM110</f>
        <v>staff</v>
      </c>
    </row>
    <row r="111" spans="1:4" x14ac:dyDescent="0.2">
      <c r="A111" s="13">
        <f>'1'!BJ111</f>
        <v>1</v>
      </c>
      <c r="B111" s="13">
        <f>'1'!BK111</f>
        <v>101</v>
      </c>
      <c r="C111" s="13" t="str">
        <f>'1'!BL111</f>
        <v>flow cytometry</v>
      </c>
      <c r="D111" s="13" t="str">
        <f>'1'!BM111</f>
        <v>both</v>
      </c>
    </row>
    <row r="112" spans="1:4" x14ac:dyDescent="0.2">
      <c r="A112" s="13">
        <f>'1'!BJ112</f>
        <v>5</v>
      </c>
      <c r="B112" s="13">
        <f>'1'!BK112</f>
        <v>1</v>
      </c>
      <c r="C112" s="13" t="str">
        <f>'1'!BL112</f>
        <v>genomics</v>
      </c>
      <c r="D112" s="13" t="str">
        <f>'1'!BM112</f>
        <v>both</v>
      </c>
    </row>
    <row r="113" spans="1:4" x14ac:dyDescent="0.2">
      <c r="A113" s="13">
        <f>'1'!BJ113</f>
        <v>9</v>
      </c>
      <c r="B113" s="13">
        <f>'1'!BK113</f>
        <v>41</v>
      </c>
      <c r="C113" s="13" t="str">
        <f>'1'!BL113</f>
        <v>microscopy</v>
      </c>
      <c r="D113" s="13" t="str">
        <f>'1'!BM113</f>
        <v>both</v>
      </c>
    </row>
    <row r="114" spans="1:4" x14ac:dyDescent="0.2">
      <c r="A114" s="13">
        <f>'1'!BJ114</f>
        <v>1</v>
      </c>
      <c r="B114" s="13">
        <f>'1'!BK114</f>
        <v>41</v>
      </c>
      <c r="C114" s="13" t="str">
        <f>'1'!BL114</f>
        <v>flow cytometry</v>
      </c>
      <c r="D114" s="13" t="str">
        <f>'1'!BM114</f>
        <v>both</v>
      </c>
    </row>
    <row r="115" spans="1:4" x14ac:dyDescent="0.2">
      <c r="A115" s="13">
        <f>'1'!BJ115</f>
        <v>5</v>
      </c>
      <c r="B115" s="13">
        <f>'1'!BK115</f>
        <v>101</v>
      </c>
      <c r="C115" s="13" t="str">
        <f>'1'!BL115</f>
        <v>flow cytometry</v>
      </c>
      <c r="D115" s="13" t="str">
        <f>'1'!BM115</f>
        <v>both</v>
      </c>
    </row>
    <row r="116" spans="1:4" x14ac:dyDescent="0.2">
      <c r="A116" s="13">
        <f>'1'!BJ116</f>
        <v>1</v>
      </c>
      <c r="B116" s="13">
        <f>'1'!BK116</f>
        <v>1</v>
      </c>
      <c r="C116" s="13" t="str">
        <f>'1'!BL116</f>
        <v>microscopy</v>
      </c>
      <c r="D116" s="13" t="str">
        <f>'1'!BM116</f>
        <v>both</v>
      </c>
    </row>
    <row r="117" spans="1:4" x14ac:dyDescent="0.2">
      <c r="A117" s="13">
        <f>'1'!BJ117</f>
        <v>1</v>
      </c>
      <c r="B117" s="13">
        <f>'1'!BK117</f>
        <v>1</v>
      </c>
      <c r="C117" s="13" t="str">
        <f>'1'!BL117</f>
        <v>metabolomics</v>
      </c>
      <c r="D117" s="13" t="str">
        <f>'1'!BM117</f>
        <v>both</v>
      </c>
    </row>
    <row r="118" spans="1:4" x14ac:dyDescent="0.2">
      <c r="A118" s="13">
        <f>'1'!BJ118</f>
        <v>5</v>
      </c>
      <c r="B118" s="13">
        <f>'1'!BK118</f>
        <v>41</v>
      </c>
      <c r="C118" s="13" t="str">
        <f>'1'!BL118</f>
        <v>flow cytometry</v>
      </c>
      <c r="D118" s="13" t="str">
        <f>'1'!BM118</f>
        <v>both</v>
      </c>
    </row>
    <row r="119" spans="1:4" x14ac:dyDescent="0.2">
      <c r="A119" s="13">
        <f>'1'!BJ119</f>
        <v>17</v>
      </c>
      <c r="B119" s="13">
        <f>'1'!BK119</f>
        <v>81</v>
      </c>
      <c r="C119" s="13" t="str">
        <f>'1'!BL119</f>
        <v>genomics</v>
      </c>
      <c r="D119" s="13" t="str">
        <f>'1'!BM119</f>
        <v>staff</v>
      </c>
    </row>
    <row r="120" spans="1:4" x14ac:dyDescent="0.2">
      <c r="A120" s="13">
        <f>'1'!BJ120</f>
        <v>1</v>
      </c>
      <c r="B120" s="13">
        <f>'1'!BK120</f>
        <v>61</v>
      </c>
      <c r="C120" s="13" t="str">
        <f>'1'!BL120</f>
        <v>microscopy</v>
      </c>
      <c r="D120" s="13" t="str">
        <f>'1'!BM120</f>
        <v>both</v>
      </c>
    </row>
    <row r="121" spans="1:4" x14ac:dyDescent="0.2">
      <c r="A121" s="13">
        <f>'1'!BJ121</f>
        <v>5</v>
      </c>
      <c r="B121" s="13">
        <f>'1'!BK121</f>
        <v>1</v>
      </c>
      <c r="C121" s="13" t="str">
        <f>'1'!BL121</f>
        <v>proteomics</v>
      </c>
      <c r="D121" s="13" t="str">
        <f>'1'!BM121</f>
        <v>staff</v>
      </c>
    </row>
    <row r="122" spans="1:4" x14ac:dyDescent="0.2">
      <c r="A122" s="13">
        <f>'1'!BJ122</f>
        <v>1</v>
      </c>
      <c r="B122" s="13">
        <f>'1'!BK122</f>
        <v>1</v>
      </c>
      <c r="C122" s="13" t="str">
        <f>'1'!BL122</f>
        <v>microscopy</v>
      </c>
      <c r="D122" s="13" t="str">
        <f>'1'!BM122</f>
        <v>both</v>
      </c>
    </row>
    <row r="123" spans="1:4" x14ac:dyDescent="0.2">
      <c r="A123" s="13">
        <f>'1'!BJ123</f>
        <v>1</v>
      </c>
      <c r="B123" s="13">
        <f>'1'!BK123</f>
        <v>1</v>
      </c>
      <c r="C123" s="13" t="str">
        <f>'1'!BL123</f>
        <v>Other</v>
      </c>
      <c r="D123" s="13" t="str">
        <f>'1'!BM123</f>
        <v>both</v>
      </c>
    </row>
    <row r="124" spans="1:4" x14ac:dyDescent="0.2">
      <c r="A124" s="13">
        <f>'1'!BJ124</f>
        <v>5</v>
      </c>
      <c r="B124" s="13">
        <f>'1'!BK124</f>
        <v>21</v>
      </c>
      <c r="C124" s="13" t="str">
        <f>'1'!BL124</f>
        <v>Other</v>
      </c>
      <c r="D124" s="13" t="str">
        <f>'1'!BM124</f>
        <v>both</v>
      </c>
    </row>
    <row r="125" spans="1:4" x14ac:dyDescent="0.2">
      <c r="A125" s="13">
        <f>'1'!BJ125</f>
        <v>1</v>
      </c>
      <c r="B125" s="13">
        <f>'1'!BK125</f>
        <v>1</v>
      </c>
      <c r="C125" s="13" t="str">
        <f>'1'!BL125</f>
        <v>histology</v>
      </c>
      <c r="D125" s="13" t="str">
        <f>'1'!BM125</f>
        <v>staff</v>
      </c>
    </row>
    <row r="126" spans="1:4" x14ac:dyDescent="0.2">
      <c r="A126" s="13">
        <f>'1'!BJ126</f>
        <v>13</v>
      </c>
      <c r="B126" s="13">
        <f>'1'!BK126</f>
        <v>101</v>
      </c>
      <c r="C126" s="13" t="str">
        <f>'1'!BL126</f>
        <v>proteomics</v>
      </c>
      <c r="D126" s="13" t="str">
        <f>'1'!BM126</f>
        <v>both</v>
      </c>
    </row>
    <row r="127" spans="1:4" x14ac:dyDescent="0.2">
      <c r="A127" s="13">
        <f>'1'!BJ127</f>
        <v>5</v>
      </c>
      <c r="B127" s="13">
        <f>'1'!BK127</f>
        <v>41</v>
      </c>
      <c r="C127" s="13" t="str">
        <f>'1'!BL127</f>
        <v>flow cytometry</v>
      </c>
      <c r="D127" s="13" t="str">
        <f>'1'!BM127</f>
        <v>user</v>
      </c>
    </row>
    <row r="128" spans="1:4" x14ac:dyDescent="0.2">
      <c r="A128" s="13">
        <f>'1'!BJ128</f>
        <v>1</v>
      </c>
      <c r="B128" s="13">
        <f>'1'!BK128</f>
        <v>41</v>
      </c>
      <c r="C128" s="13" t="str">
        <f>'1'!BL128</f>
        <v>microscopy</v>
      </c>
      <c r="D128" s="13" t="str">
        <f>'1'!BM128</f>
        <v>both</v>
      </c>
    </row>
    <row r="129" spans="1:4" x14ac:dyDescent="0.2">
      <c r="A129" s="13">
        <f>'1'!BJ129</f>
        <v>1</v>
      </c>
      <c r="B129" s="13">
        <f>'1'!BK129</f>
        <v>81</v>
      </c>
      <c r="C129" s="13" t="str">
        <f>'1'!BL129</f>
        <v>microscopy</v>
      </c>
      <c r="D129" s="13" t="str">
        <f>'1'!BM129</f>
        <v>both</v>
      </c>
    </row>
    <row r="130" spans="1:4" x14ac:dyDescent="0.2">
      <c r="A130" s="13">
        <f>'1'!BJ130</f>
        <v>1</v>
      </c>
      <c r="B130" s="13">
        <f>'1'!BK130</f>
        <v>21</v>
      </c>
      <c r="C130" s="13" t="str">
        <f>'1'!BL130</f>
        <v>microscopy</v>
      </c>
      <c r="D130" s="13" t="str">
        <f>'1'!BM130</f>
        <v>both</v>
      </c>
    </row>
    <row r="131" spans="1:4" x14ac:dyDescent="0.2">
      <c r="A131" s="13">
        <f>'1'!BJ131</f>
        <v>1</v>
      </c>
      <c r="B131" s="13">
        <f>'1'!BK131</f>
        <v>61</v>
      </c>
      <c r="C131" s="13" t="str">
        <f>'1'!BL131</f>
        <v>flow cytometry</v>
      </c>
      <c r="D131" s="13" t="str">
        <f>'1'!BM131</f>
        <v>both</v>
      </c>
    </row>
    <row r="132" spans="1:4" x14ac:dyDescent="0.2">
      <c r="A132" s="13">
        <f>'1'!BJ132</f>
        <v>13</v>
      </c>
      <c r="B132" s="13">
        <f>'1'!BK132</f>
        <v>101</v>
      </c>
      <c r="C132" s="13" t="str">
        <f>'1'!BL132</f>
        <v>flow cytometry</v>
      </c>
      <c r="D132" s="13" t="str">
        <f>'1'!BM132</f>
        <v>both</v>
      </c>
    </row>
    <row r="133" spans="1:4" x14ac:dyDescent="0.2">
      <c r="A133" s="13">
        <f>'1'!BJ133</f>
        <v>1</v>
      </c>
      <c r="B133" s="13">
        <f>'1'!BK133</f>
        <v>21</v>
      </c>
      <c r="C133" s="13" t="str">
        <f>'1'!BL133</f>
        <v>flow cytometry</v>
      </c>
      <c r="D133" s="13" t="str">
        <f>'1'!BM133</f>
        <v>both</v>
      </c>
    </row>
    <row r="134" spans="1:4" x14ac:dyDescent="0.2">
      <c r="A134" s="13">
        <f>'1'!BJ134</f>
        <v>1</v>
      </c>
      <c r="B134" s="13">
        <f>'1'!BK134</f>
        <v>21</v>
      </c>
      <c r="C134" s="13" t="str">
        <f>'1'!BL134</f>
        <v>genomics</v>
      </c>
      <c r="D134" s="13" t="str">
        <f>'1'!BM134</f>
        <v>staff</v>
      </c>
    </row>
    <row r="135" spans="1:4" x14ac:dyDescent="0.2">
      <c r="A135" s="13">
        <f>'1'!BJ135</f>
        <v>1</v>
      </c>
      <c r="B135" s="13">
        <f>'1'!BK135</f>
        <v>1</v>
      </c>
      <c r="C135" s="13" t="str">
        <f>'1'!BL135</f>
        <v>microscopy</v>
      </c>
      <c r="D135" s="13" t="str">
        <f>'1'!BM135</f>
        <v>both</v>
      </c>
    </row>
    <row r="136" spans="1:4" x14ac:dyDescent="0.2">
      <c r="A136" s="13">
        <f>'1'!BJ136</f>
        <v>1</v>
      </c>
      <c r="B136" s="13">
        <f>'1'!BK136</f>
        <v>1</v>
      </c>
      <c r="C136" s="13" t="str">
        <f>'1'!BL136</f>
        <v>mouse</v>
      </c>
      <c r="D136" s="13" t="str">
        <f>'1'!BM136</f>
        <v>user</v>
      </c>
    </row>
    <row r="137" spans="1:4" x14ac:dyDescent="0.2">
      <c r="A137" s="13">
        <f>'1'!BJ137</f>
        <v>1</v>
      </c>
      <c r="B137" s="13">
        <f>'1'!BK137</f>
        <v>1</v>
      </c>
      <c r="C137" s="13" t="str">
        <f>'1'!BL137</f>
        <v>microscopy</v>
      </c>
      <c r="D137" s="13" t="str">
        <f>'1'!BM137</f>
        <v>both</v>
      </c>
    </row>
    <row r="138" spans="1:4" x14ac:dyDescent="0.2">
      <c r="A138" s="13">
        <f>'1'!BJ138</f>
        <v>1</v>
      </c>
      <c r="B138" s="13">
        <f>'1'!BK138</f>
        <v>1</v>
      </c>
      <c r="C138" s="13" t="str">
        <f>'1'!BL138</f>
        <v>flow cytometry</v>
      </c>
      <c r="D138" s="13" t="str">
        <f>'1'!BM138</f>
        <v>both</v>
      </c>
    </row>
    <row r="139" spans="1:4" x14ac:dyDescent="0.2">
      <c r="A139" s="13">
        <f>'1'!BJ139</f>
        <v>1</v>
      </c>
      <c r="B139" s="13">
        <f>'1'!BK139</f>
        <v>1</v>
      </c>
      <c r="C139" s="13" t="str">
        <f>'1'!BL139</f>
        <v>flow cytometry</v>
      </c>
      <c r="D139" s="13" t="str">
        <f>'1'!BM139</f>
        <v>both</v>
      </c>
    </row>
    <row r="140" spans="1:4" x14ac:dyDescent="0.2">
      <c r="A140" s="13">
        <f>'1'!BJ140</f>
        <v>1</v>
      </c>
      <c r="B140" s="13">
        <f>'1'!BK140</f>
        <v>21</v>
      </c>
      <c r="C140" s="13" t="str">
        <f>'1'!BL140</f>
        <v>metabolomics</v>
      </c>
      <c r="D140" s="13" t="str">
        <f>'1'!BM140</f>
        <v>both</v>
      </c>
    </row>
    <row r="141" spans="1:4" x14ac:dyDescent="0.2">
      <c r="A141" s="13">
        <f>'1'!BJ141</f>
        <v>1</v>
      </c>
      <c r="B141" s="13">
        <f>'1'!BK141</f>
        <v>1</v>
      </c>
      <c r="C141" s="13" t="str">
        <f>'1'!BL141</f>
        <v>microscopy</v>
      </c>
      <c r="D141" s="13" t="str">
        <f>'1'!BM141</f>
        <v>both</v>
      </c>
    </row>
    <row r="142" spans="1:4" x14ac:dyDescent="0.2">
      <c r="A142" s="13">
        <f>'1'!BJ142</f>
        <v>9</v>
      </c>
      <c r="B142" s="13">
        <f>'1'!BK142</f>
        <v>101</v>
      </c>
      <c r="C142" s="13" t="str">
        <f>'1'!BL142</f>
        <v>flow cytometry</v>
      </c>
      <c r="D142" s="13" t="str">
        <f>'1'!BM142</f>
        <v>both</v>
      </c>
    </row>
    <row r="143" spans="1:4" x14ac:dyDescent="0.2">
      <c r="A143" s="13">
        <f>'1'!BJ143</f>
        <v>9</v>
      </c>
      <c r="B143" s="13">
        <f>'1'!BK143</f>
        <v>101</v>
      </c>
      <c r="C143" s="13" t="str">
        <f>'1'!BL143</f>
        <v>Other</v>
      </c>
      <c r="D143" s="13" t="str">
        <f>'1'!BM143</f>
        <v>both</v>
      </c>
    </row>
    <row r="144" spans="1:4" x14ac:dyDescent="0.2">
      <c r="A144" s="13">
        <f>'1'!BJ144</f>
        <v>1</v>
      </c>
      <c r="B144" s="13">
        <f>'1'!BK144</f>
        <v>41</v>
      </c>
      <c r="C144" s="13" t="str">
        <f>'1'!BL144</f>
        <v>flow cytometry</v>
      </c>
      <c r="D144" s="13" t="str">
        <f>'1'!BM144</f>
        <v>user</v>
      </c>
    </row>
    <row r="145" spans="1:4" x14ac:dyDescent="0.2">
      <c r="A145" s="13">
        <f>'1'!BJ145</f>
        <v>1</v>
      </c>
      <c r="B145" s="13">
        <f>'1'!BK145</f>
        <v>1</v>
      </c>
      <c r="C145" s="13" t="str">
        <f>'1'!BL145</f>
        <v>Other</v>
      </c>
      <c r="D145" s="13" t="str">
        <f>'1'!BM145</f>
        <v>both</v>
      </c>
    </row>
    <row r="146" spans="1:4" x14ac:dyDescent="0.2">
      <c r="A146" s="13">
        <f>'1'!BJ146</f>
        <v>1</v>
      </c>
      <c r="B146" s="13">
        <f>'1'!BK146</f>
        <v>41</v>
      </c>
      <c r="C146" s="13" t="str">
        <f>'1'!BL146</f>
        <v>protein expression</v>
      </c>
      <c r="D146" s="13" t="str">
        <f>'1'!BM146</f>
        <v>both</v>
      </c>
    </row>
    <row r="147" spans="1:4" x14ac:dyDescent="0.2">
      <c r="A147" s="13">
        <f>'1'!BJ147</f>
        <v>1</v>
      </c>
      <c r="B147" s="13">
        <f>'1'!BK147</f>
        <v>21</v>
      </c>
      <c r="C147" s="13" t="str">
        <f>'1'!BL147</f>
        <v>flow cytometry</v>
      </c>
      <c r="D147" s="13" t="str">
        <f>'1'!BM147</f>
        <v>both</v>
      </c>
    </row>
    <row r="148" spans="1:4" x14ac:dyDescent="0.2">
      <c r="A148" s="13">
        <f>'1'!BJ148</f>
        <v>5</v>
      </c>
      <c r="B148" s="13">
        <f>'1'!BK148</f>
        <v>41</v>
      </c>
      <c r="C148" s="13" t="str">
        <f>'1'!BL148</f>
        <v>flow cytometry</v>
      </c>
      <c r="D148" s="13" t="str">
        <f>'1'!BM148</f>
        <v>both</v>
      </c>
    </row>
    <row r="149" spans="1:4" x14ac:dyDescent="0.2">
      <c r="A149" s="13">
        <f>'1'!BJ149</f>
        <v>1</v>
      </c>
      <c r="B149" s="13">
        <f>'1'!BK149</f>
        <v>61</v>
      </c>
      <c r="C149" s="13" t="str">
        <f>'1'!BL149</f>
        <v>microscopy</v>
      </c>
      <c r="D149" s="13" t="str">
        <f>'1'!BM149</f>
        <v>user</v>
      </c>
    </row>
    <row r="150" spans="1:4" x14ac:dyDescent="0.2">
      <c r="A150" s="13">
        <f>'1'!BJ150</f>
        <v>1</v>
      </c>
      <c r="B150" s="13">
        <f>'1'!BK150</f>
        <v>1</v>
      </c>
      <c r="C150" s="13" t="str">
        <f>'1'!BL150</f>
        <v>NMR</v>
      </c>
      <c r="D150" s="13" t="str">
        <f>'1'!BM150</f>
        <v>both</v>
      </c>
    </row>
    <row r="151" spans="1:4" x14ac:dyDescent="0.2">
      <c r="A151" s="13">
        <f>'1'!BJ151</f>
        <v>1</v>
      </c>
      <c r="B151" s="13">
        <f>'1'!BK151</f>
        <v>1</v>
      </c>
      <c r="C151" s="13" t="str">
        <f>'1'!BL151</f>
        <v>microscopy</v>
      </c>
      <c r="D151" s="13" t="str">
        <f>'1'!BM151</f>
        <v>both</v>
      </c>
    </row>
    <row r="152" spans="1:4" x14ac:dyDescent="0.2">
      <c r="A152" s="13">
        <f>'1'!BJ152</f>
        <v>1</v>
      </c>
      <c r="B152" s="13">
        <f>'1'!BK152</f>
        <v>81</v>
      </c>
      <c r="C152" s="13" t="str">
        <f>'1'!BL152</f>
        <v>flow cytometry</v>
      </c>
      <c r="D152" s="13" t="str">
        <f>'1'!BM152</f>
        <v>both</v>
      </c>
    </row>
    <row r="153" spans="1:4" x14ac:dyDescent="0.2">
      <c r="A153" s="13">
        <f>'1'!BJ153</f>
        <v>1</v>
      </c>
      <c r="B153" s="13">
        <f>'1'!BK153</f>
        <v>1</v>
      </c>
      <c r="C153" s="13" t="str">
        <f>'1'!BL153</f>
        <v>flow cytometry</v>
      </c>
      <c r="D153" s="13" t="str">
        <f>'1'!BM153</f>
        <v>both</v>
      </c>
    </row>
    <row r="154" spans="1:4" x14ac:dyDescent="0.2">
      <c r="A154" s="13">
        <f>'1'!BJ154</f>
        <v>1</v>
      </c>
      <c r="B154" s="13">
        <f>'1'!BK154</f>
        <v>21</v>
      </c>
      <c r="C154" s="13" t="str">
        <f>'1'!BL154</f>
        <v>proteomics</v>
      </c>
      <c r="D154" s="13" t="str">
        <f>'1'!BM154</f>
        <v>staff</v>
      </c>
    </row>
    <row r="155" spans="1:4" x14ac:dyDescent="0.2">
      <c r="A155" s="13">
        <f>'1'!BJ155</f>
        <v>5</v>
      </c>
      <c r="B155" s="13">
        <f>'1'!BK155</f>
        <v>1</v>
      </c>
      <c r="C155" s="13" t="str">
        <f>'1'!BL155</f>
        <v>flow cytometry</v>
      </c>
      <c r="D155" s="13" t="str">
        <f>'1'!BM155</f>
        <v>both</v>
      </c>
    </row>
    <row r="156" spans="1:4" x14ac:dyDescent="0.2">
      <c r="A156" s="13">
        <f>'1'!BJ156</f>
        <v>1</v>
      </c>
      <c r="B156" s="13">
        <f>'1'!BK156</f>
        <v>1</v>
      </c>
      <c r="C156" s="13" t="str">
        <f>'1'!BL156</f>
        <v>flow cytometry</v>
      </c>
      <c r="D156" s="13" t="str">
        <f>'1'!BM156</f>
        <v>both</v>
      </c>
    </row>
    <row r="157" spans="1:4" x14ac:dyDescent="0.2">
      <c r="A157" s="13">
        <f>'1'!BJ157</f>
        <v>1</v>
      </c>
      <c r="B157" s="13">
        <f>'1'!BK157</f>
        <v>41</v>
      </c>
      <c r="C157" s="13" t="str">
        <f>'1'!BL157</f>
        <v>microscopy</v>
      </c>
      <c r="D157" s="13" t="str">
        <f>'1'!BM157</f>
        <v>both</v>
      </c>
    </row>
    <row r="158" spans="1:4" x14ac:dyDescent="0.2">
      <c r="A158" s="13">
        <f>'1'!BJ158</f>
        <v>1</v>
      </c>
      <c r="B158" s="13">
        <f>'1'!BK158</f>
        <v>41</v>
      </c>
      <c r="C158" s="13" t="str">
        <f>'1'!BL158</f>
        <v>flow cytometry</v>
      </c>
      <c r="D158" s="13" t="str">
        <f>'1'!BM158</f>
        <v>both</v>
      </c>
    </row>
    <row r="159" spans="1:4" x14ac:dyDescent="0.2">
      <c r="A159" s="13">
        <f>'1'!BJ159</f>
        <v>1</v>
      </c>
      <c r="B159" s="13">
        <f>'1'!BK159</f>
        <v>41</v>
      </c>
      <c r="C159" s="13" t="str">
        <f>'1'!BL159</f>
        <v>flow cytometry</v>
      </c>
      <c r="D159" s="13" t="str">
        <f>'1'!BM159</f>
        <v>both</v>
      </c>
    </row>
    <row r="160" spans="1:4" x14ac:dyDescent="0.2">
      <c r="A160" s="13">
        <f>'1'!BJ160</f>
        <v>5</v>
      </c>
      <c r="B160" s="13">
        <f>'1'!BK160</f>
        <v>41</v>
      </c>
      <c r="C160" s="13" t="str">
        <f>'1'!BL160</f>
        <v>microscopy</v>
      </c>
      <c r="D160" s="13" t="str">
        <f>'1'!BM160</f>
        <v>both</v>
      </c>
    </row>
    <row r="161" spans="1:4" x14ac:dyDescent="0.2">
      <c r="A161" s="13">
        <f>'1'!BJ161</f>
        <v>1</v>
      </c>
      <c r="B161" s="13">
        <f>'1'!BK161</f>
        <v>21</v>
      </c>
      <c r="C161" s="13" t="str">
        <f>'1'!BL161</f>
        <v>mouse</v>
      </c>
      <c r="D161" s="13" t="str">
        <f>'1'!BM161</f>
        <v>both</v>
      </c>
    </row>
    <row r="162" spans="1:4" x14ac:dyDescent="0.2">
      <c r="A162" s="13">
        <f>'1'!BJ162</f>
        <v>9</v>
      </c>
      <c r="B162" s="13">
        <f>'1'!BK162</f>
        <v>21</v>
      </c>
      <c r="C162" s="13" t="str">
        <f>'1'!BL162</f>
        <v>histology</v>
      </c>
      <c r="D162" s="13" t="str">
        <f>'1'!BM162</f>
        <v>both</v>
      </c>
    </row>
    <row r="163" spans="1:4" x14ac:dyDescent="0.2">
      <c r="A163" s="13">
        <f>'1'!BJ163</f>
        <v>5</v>
      </c>
      <c r="B163" s="13">
        <f>'1'!BK163</f>
        <v>1</v>
      </c>
      <c r="C163" s="13" t="str">
        <f>'1'!BL163</f>
        <v>Other</v>
      </c>
      <c r="D163" s="13" t="str">
        <f>'1'!BM163</f>
        <v>staff</v>
      </c>
    </row>
    <row r="164" spans="1:4" x14ac:dyDescent="0.2">
      <c r="A164" s="13">
        <f>'1'!BJ164</f>
        <v>1</v>
      </c>
      <c r="B164" s="13">
        <f>'1'!BK164</f>
        <v>1</v>
      </c>
      <c r="C164" s="13" t="str">
        <f>'1'!BL164</f>
        <v>microscopy</v>
      </c>
      <c r="D164" s="13" t="str">
        <f>'1'!BM164</f>
        <v>both</v>
      </c>
    </row>
    <row r="165" spans="1:4" x14ac:dyDescent="0.2">
      <c r="A165" s="13">
        <f>'1'!BJ165</f>
        <v>1</v>
      </c>
      <c r="B165" s="13">
        <f>'1'!BK165</f>
        <v>1</v>
      </c>
      <c r="C165" s="13" t="str">
        <f>'1'!BL165</f>
        <v>NMR</v>
      </c>
      <c r="D165" s="13" t="str">
        <f>'1'!BM165</f>
        <v>both</v>
      </c>
    </row>
    <row r="166" spans="1:4" x14ac:dyDescent="0.2">
      <c r="A166" s="13">
        <f>'1'!BJ166</f>
        <v>5</v>
      </c>
      <c r="B166" s="13">
        <f>'1'!BK166</f>
        <v>61</v>
      </c>
      <c r="C166" s="13" t="str">
        <f>'1'!BL166</f>
        <v>metabolomics</v>
      </c>
      <c r="D166" s="13" t="str">
        <f>'1'!BM166</f>
        <v>both</v>
      </c>
    </row>
    <row r="167" spans="1:4" x14ac:dyDescent="0.2">
      <c r="A167" s="13">
        <f>'1'!BJ167</f>
        <v>9</v>
      </c>
      <c r="B167" s="13">
        <f>'1'!BK167</f>
        <v>41</v>
      </c>
      <c r="C167" s="13" t="str">
        <f>'1'!BL167</f>
        <v>flow cytometry</v>
      </c>
      <c r="D167" s="13" t="str">
        <f>'1'!BM167</f>
        <v>both</v>
      </c>
    </row>
    <row r="168" spans="1:4" x14ac:dyDescent="0.2">
      <c r="A168" s="13">
        <f>'1'!BJ168</f>
        <v>1</v>
      </c>
      <c r="B168" s="13">
        <f>'1'!BK168</f>
        <v>61</v>
      </c>
      <c r="C168" s="13" t="str">
        <f>'1'!BL168</f>
        <v>flow cytometry</v>
      </c>
      <c r="D168" s="13" t="str">
        <f>'1'!BM168</f>
        <v>both</v>
      </c>
    </row>
    <row r="169" spans="1:4" x14ac:dyDescent="0.2">
      <c r="A169" s="13">
        <f>'1'!BJ169</f>
        <v>1</v>
      </c>
      <c r="B169" s="13">
        <f>'1'!BK169</f>
        <v>1</v>
      </c>
      <c r="C169" s="13" t="str">
        <f>'1'!BL169</f>
        <v>cell culture</v>
      </c>
      <c r="D169" s="13" t="str">
        <f>'1'!BM169</f>
        <v>both</v>
      </c>
    </row>
    <row r="170" spans="1:4" x14ac:dyDescent="0.2">
      <c r="A170" s="13">
        <f>'1'!BJ170</f>
        <v>1</v>
      </c>
      <c r="B170" s="13">
        <f>'1'!BK170</f>
        <v>21</v>
      </c>
      <c r="C170" s="13" t="str">
        <f>'1'!BL170</f>
        <v>genomics</v>
      </c>
      <c r="D170" s="13" t="str">
        <f>'1'!BM170</f>
        <v>both</v>
      </c>
    </row>
    <row r="171" spans="1:4" x14ac:dyDescent="0.2">
      <c r="A171" s="13">
        <f>'1'!BJ171</f>
        <v>1</v>
      </c>
      <c r="B171" s="13">
        <f>'1'!BK171</f>
        <v>81</v>
      </c>
      <c r="C171" s="13" t="str">
        <f>'1'!BL171</f>
        <v>microscopy</v>
      </c>
      <c r="D171" s="13" t="str">
        <f>'1'!BM171</f>
        <v>user</v>
      </c>
    </row>
    <row r="172" spans="1:4" x14ac:dyDescent="0.2">
      <c r="A172" s="13">
        <f>'1'!BJ172</f>
        <v>1</v>
      </c>
      <c r="B172" s="13">
        <f>'1'!BK172</f>
        <v>21</v>
      </c>
      <c r="C172" s="13" t="str">
        <f>'1'!BL172</f>
        <v>Other</v>
      </c>
      <c r="D172" s="13" t="str">
        <f>'1'!BM172</f>
        <v>both</v>
      </c>
    </row>
    <row r="173" spans="1:4" x14ac:dyDescent="0.2">
      <c r="A173" s="13">
        <f>'1'!BJ173</f>
        <v>5</v>
      </c>
      <c r="B173" s="13">
        <f>'1'!BK173</f>
        <v>21</v>
      </c>
      <c r="C173" s="13" t="str">
        <f>'1'!BL173</f>
        <v>proteomics</v>
      </c>
      <c r="D173" s="13" t="str">
        <f>'1'!BM173</f>
        <v>staff</v>
      </c>
    </row>
    <row r="174" spans="1:4" x14ac:dyDescent="0.2">
      <c r="A174" s="13">
        <f>'1'!BJ174</f>
        <v>5</v>
      </c>
      <c r="B174" s="13">
        <f>'1'!BK174</f>
        <v>61</v>
      </c>
      <c r="C174" s="13" t="str">
        <f>'1'!BL174</f>
        <v>microscopy</v>
      </c>
      <c r="D174" s="13" t="str">
        <f>'1'!BM174</f>
        <v>both</v>
      </c>
    </row>
    <row r="175" spans="1:4" x14ac:dyDescent="0.2">
      <c r="A175" s="13">
        <f>'1'!BJ175</f>
        <v>1</v>
      </c>
      <c r="B175" s="13">
        <f>'1'!BK175</f>
        <v>1</v>
      </c>
      <c r="C175" s="13" t="str">
        <f>'1'!BL175</f>
        <v>flow cytometry</v>
      </c>
      <c r="D175" s="13" t="str">
        <f>'1'!BM175</f>
        <v>both</v>
      </c>
    </row>
    <row r="176" spans="1:4" x14ac:dyDescent="0.2">
      <c r="A176" s="13">
        <f>'1'!BJ176</f>
        <v>5</v>
      </c>
      <c r="B176" s="13">
        <f>'1'!BK176</f>
        <v>1</v>
      </c>
      <c r="C176" s="13" t="str">
        <f>'1'!BL176</f>
        <v>genomics</v>
      </c>
      <c r="D176" s="13" t="str">
        <f>'1'!BM176</f>
        <v>both</v>
      </c>
    </row>
    <row r="177" spans="1:4" x14ac:dyDescent="0.2">
      <c r="A177" s="13">
        <f>'1'!BJ177</f>
        <v>1</v>
      </c>
      <c r="B177" s="13">
        <f>'1'!BK177</f>
        <v>41</v>
      </c>
      <c r="C177" s="13" t="str">
        <f>'1'!BL177</f>
        <v>microscopy</v>
      </c>
      <c r="D177" s="13" t="str">
        <f>'1'!BM177</f>
        <v>both</v>
      </c>
    </row>
    <row r="178" spans="1:4" x14ac:dyDescent="0.2">
      <c r="A178" s="13">
        <f>'1'!BJ178</f>
        <v>1</v>
      </c>
      <c r="B178" s="13">
        <f>'1'!BK178</f>
        <v>1</v>
      </c>
      <c r="C178" s="13" t="str">
        <f>'1'!BL178</f>
        <v>microscopy</v>
      </c>
      <c r="D178" s="13" t="str">
        <f>'1'!BM178</f>
        <v>both</v>
      </c>
    </row>
    <row r="179" spans="1:4" x14ac:dyDescent="0.2">
      <c r="A179" s="13">
        <f>'1'!BJ179</f>
        <v>1</v>
      </c>
      <c r="B179" s="13">
        <f>'1'!BK179</f>
        <v>1</v>
      </c>
      <c r="C179" s="13" t="str">
        <f>'1'!BL179</f>
        <v>flow cytometry</v>
      </c>
      <c r="D179" s="13" t="str">
        <f>'1'!BM179</f>
        <v>both</v>
      </c>
    </row>
    <row r="180" spans="1:4" x14ac:dyDescent="0.2">
      <c r="A180" s="13">
        <f>'1'!BJ180</f>
        <v>1</v>
      </c>
      <c r="B180" s="13">
        <f>'1'!BK180</f>
        <v>1</v>
      </c>
      <c r="C180" s="13" t="str">
        <f>'1'!BL180</f>
        <v>proteomics</v>
      </c>
      <c r="D180" s="13" t="str">
        <f>'1'!BM180</f>
        <v>staff</v>
      </c>
    </row>
    <row r="181" spans="1:4" x14ac:dyDescent="0.2">
      <c r="A181" s="13">
        <f>'1'!BJ181</f>
        <v>1</v>
      </c>
      <c r="B181" s="13">
        <f>'1'!BK181</f>
        <v>21</v>
      </c>
      <c r="C181" s="13" t="str">
        <f>'1'!BL181</f>
        <v>microscopy</v>
      </c>
      <c r="D181" s="13" t="str">
        <f>'1'!BM181</f>
        <v>both</v>
      </c>
    </row>
    <row r="182" spans="1:4" x14ac:dyDescent="0.2">
      <c r="A182" s="13">
        <f>'1'!BJ182</f>
        <v>1</v>
      </c>
      <c r="B182" s="13">
        <f>'1'!BK182</f>
        <v>1</v>
      </c>
      <c r="C182" s="13" t="str">
        <f>'1'!BL182</f>
        <v>protein expression</v>
      </c>
      <c r="D182" s="13" t="str">
        <f>'1'!BM182</f>
        <v>staff</v>
      </c>
    </row>
    <row r="183" spans="1:4" x14ac:dyDescent="0.2">
      <c r="A183" s="13">
        <f>'1'!BJ183</f>
        <v>1</v>
      </c>
      <c r="B183" s="13">
        <f>'1'!BK183</f>
        <v>1</v>
      </c>
      <c r="C183" s="13" t="str">
        <f>'1'!BL183</f>
        <v>genomics</v>
      </c>
      <c r="D183" s="13" t="str">
        <f>'1'!BM183</f>
        <v>both</v>
      </c>
    </row>
    <row r="184" spans="1:4" x14ac:dyDescent="0.2">
      <c r="A184" s="13">
        <f>'1'!BJ184</f>
        <v>1</v>
      </c>
      <c r="B184" s="13">
        <f>'1'!BK184</f>
        <v>1</v>
      </c>
      <c r="C184" s="13" t="str">
        <f>'1'!BL184</f>
        <v>proteomics</v>
      </c>
      <c r="D184" s="13" t="str">
        <f>'1'!BM184</f>
        <v>staff</v>
      </c>
    </row>
    <row r="185" spans="1:4" x14ac:dyDescent="0.2">
      <c r="A185" s="13">
        <f>'1'!BJ185</f>
        <v>1</v>
      </c>
      <c r="B185" s="13">
        <f>'1'!BK185</f>
        <v>41</v>
      </c>
      <c r="C185" s="13" t="str">
        <f>'1'!BL185</f>
        <v>flow cytometry</v>
      </c>
      <c r="D185" s="13" t="str">
        <f>'1'!BM185</f>
        <v>both</v>
      </c>
    </row>
    <row r="186" spans="1:4" x14ac:dyDescent="0.2">
      <c r="A186" s="13">
        <f>'1'!BJ186</f>
        <v>17</v>
      </c>
      <c r="B186" s="13">
        <f>'1'!BK186</f>
        <v>1</v>
      </c>
      <c r="C186" s="13" t="str">
        <f>'1'!BL186</f>
        <v>genomics</v>
      </c>
      <c r="D186" s="13" t="str">
        <f>'1'!BM186</f>
        <v>staff</v>
      </c>
    </row>
    <row r="187" spans="1:4" x14ac:dyDescent="0.2">
      <c r="A187" s="13">
        <f>'1'!BJ187</f>
        <v>1</v>
      </c>
      <c r="B187" s="13">
        <f>'1'!BK187</f>
        <v>1</v>
      </c>
      <c r="C187" s="13" t="str">
        <f>'1'!BL187</f>
        <v>Other</v>
      </c>
      <c r="D187" s="13" t="str">
        <f>'1'!BM187</f>
        <v>staff</v>
      </c>
    </row>
    <row r="188" spans="1:4" x14ac:dyDescent="0.2">
      <c r="A188" s="13">
        <f>'1'!BJ188</f>
        <v>5</v>
      </c>
      <c r="B188" s="13">
        <f>'1'!BK188</f>
        <v>1</v>
      </c>
      <c r="C188" s="13" t="str">
        <f>'1'!BL188</f>
        <v>genomics</v>
      </c>
      <c r="D188" s="13" t="str">
        <f>'1'!BM188</f>
        <v>both</v>
      </c>
    </row>
    <row r="189" spans="1:4" x14ac:dyDescent="0.2">
      <c r="A189" s="13">
        <f>'1'!BJ189</f>
        <v>17</v>
      </c>
      <c r="B189" s="13">
        <f>'1'!BK189</f>
        <v>1</v>
      </c>
      <c r="C189" s="13" t="str">
        <f>'1'!BL189</f>
        <v>proteomics</v>
      </c>
      <c r="D189" s="13" t="str">
        <f>'1'!BM189</f>
        <v>staff</v>
      </c>
    </row>
    <row r="190" spans="1:4" x14ac:dyDescent="0.2">
      <c r="A190" s="13">
        <f>'1'!BJ190</f>
        <v>1</v>
      </c>
      <c r="B190" s="13">
        <f>'1'!BK190</f>
        <v>1</v>
      </c>
      <c r="C190" s="13" t="str">
        <f>'1'!BL190</f>
        <v>crystallography</v>
      </c>
      <c r="D190" s="13" t="str">
        <f>'1'!BM190</f>
        <v>staff</v>
      </c>
    </row>
    <row r="191" spans="1:4" x14ac:dyDescent="0.2">
      <c r="A191" s="13">
        <f>'1'!BJ191</f>
        <v>1</v>
      </c>
      <c r="B191" s="13">
        <f>'1'!BK191</f>
        <v>1</v>
      </c>
      <c r="C191" s="13" t="str">
        <f>'1'!BL191</f>
        <v>bioinformatics</v>
      </c>
      <c r="D191" s="13" t="str">
        <f>'1'!BM191</f>
        <v>both</v>
      </c>
    </row>
    <row r="192" spans="1:4" x14ac:dyDescent="0.2">
      <c r="A192" s="13">
        <f>'1'!BJ192</f>
        <v>1</v>
      </c>
      <c r="B192" s="13">
        <f>'1'!BK192</f>
        <v>1</v>
      </c>
      <c r="C192" s="13" t="str">
        <f>'1'!BL192</f>
        <v>proteomics</v>
      </c>
      <c r="D192" s="13" t="str">
        <f>'1'!BM192</f>
        <v>staff</v>
      </c>
    </row>
    <row r="193" spans="1:4" x14ac:dyDescent="0.2">
      <c r="A193" s="13">
        <f>'1'!BJ193</f>
        <v>9</v>
      </c>
      <c r="B193" s="13">
        <f>'1'!BK193</f>
        <v>1</v>
      </c>
      <c r="C193" s="13" t="str">
        <f>'1'!BL193</f>
        <v>proteomics</v>
      </c>
      <c r="D193" s="13" t="str">
        <f>'1'!BM193</f>
        <v>staff</v>
      </c>
    </row>
    <row r="194" spans="1:4" x14ac:dyDescent="0.2">
      <c r="A194" s="13">
        <f>'1'!BJ194</f>
        <v>9</v>
      </c>
      <c r="B194" s="13">
        <f>'1'!BK194</f>
        <v>1</v>
      </c>
      <c r="C194" s="13" t="str">
        <f>'1'!BL194</f>
        <v>Other</v>
      </c>
      <c r="D194" s="13" t="str">
        <f>'1'!BM194</f>
        <v>both</v>
      </c>
    </row>
    <row r="195" spans="1:4" x14ac:dyDescent="0.2">
      <c r="A195" s="13">
        <f>'1'!BJ195</f>
        <v>1</v>
      </c>
      <c r="B195" s="13">
        <f>'1'!BK195</f>
        <v>1</v>
      </c>
      <c r="C195" s="13" t="str">
        <f>'1'!BL195</f>
        <v>proteomics</v>
      </c>
      <c r="D195" s="13" t="str">
        <f>'1'!BM195</f>
        <v>staff</v>
      </c>
    </row>
    <row r="196" spans="1:4" x14ac:dyDescent="0.2">
      <c r="A196" s="13">
        <f>'1'!BJ196</f>
        <v>13</v>
      </c>
      <c r="B196" s="13">
        <f>'1'!BK196</f>
        <v>61</v>
      </c>
      <c r="C196" s="13" t="str">
        <f>'1'!BL196</f>
        <v>bioinformatics</v>
      </c>
      <c r="D196" s="13" t="str">
        <f>'1'!BM196</f>
        <v>both</v>
      </c>
    </row>
    <row r="197" spans="1:4" x14ac:dyDescent="0.2">
      <c r="A197" s="13">
        <f>'1'!BJ197</f>
        <v>9</v>
      </c>
      <c r="B197" s="13">
        <f>'1'!BK197</f>
        <v>21</v>
      </c>
      <c r="C197" s="13" t="str">
        <f>'1'!BL197</f>
        <v>proteomics</v>
      </c>
      <c r="D197" s="13" t="str">
        <f>'1'!BM197</f>
        <v>staff</v>
      </c>
    </row>
    <row r="198" spans="1:4" x14ac:dyDescent="0.2">
      <c r="A198" s="13">
        <f>'1'!BJ198</f>
        <v>5</v>
      </c>
      <c r="B198" s="13">
        <f>'1'!BK198</f>
        <v>21</v>
      </c>
      <c r="C198" s="13" t="str">
        <f>'1'!BL198</f>
        <v>microscopy</v>
      </c>
      <c r="D198" s="13" t="str">
        <f>'1'!BM198</f>
        <v>both</v>
      </c>
    </row>
    <row r="199" spans="1:4" x14ac:dyDescent="0.2">
      <c r="A199" s="13">
        <f>'1'!BJ199</f>
        <v>5</v>
      </c>
      <c r="B199" s="13">
        <f>'1'!BK199</f>
        <v>101</v>
      </c>
      <c r="C199" s="13" t="str">
        <f>'1'!BL199</f>
        <v>microscopy</v>
      </c>
      <c r="D199" s="13" t="str">
        <f>'1'!BM199</f>
        <v>staff</v>
      </c>
    </row>
    <row r="200" spans="1:4" x14ac:dyDescent="0.2">
      <c r="A200" s="13">
        <f>'1'!BJ200</f>
        <v>1</v>
      </c>
      <c r="B200" s="13">
        <f>'1'!BK200</f>
        <v>1</v>
      </c>
      <c r="C200" s="13" t="str">
        <f>'1'!BL200</f>
        <v>proteomics</v>
      </c>
      <c r="D200" s="13" t="str">
        <f>'1'!BM200</f>
        <v>staff</v>
      </c>
    </row>
    <row r="201" spans="1:4" x14ac:dyDescent="0.2">
      <c r="A201" s="13">
        <f>'1'!BJ201</f>
        <v>9</v>
      </c>
      <c r="B201" s="13">
        <f>'1'!BK201</f>
        <v>21</v>
      </c>
      <c r="C201" s="13" t="str">
        <f>'1'!BL201</f>
        <v>genomics</v>
      </c>
      <c r="D201" s="13" t="str">
        <f>'1'!BM201</f>
        <v>staff</v>
      </c>
    </row>
    <row r="202" spans="1:4" x14ac:dyDescent="0.2">
      <c r="A202" s="13">
        <f>'1'!BJ202</f>
        <v>1</v>
      </c>
      <c r="B202" s="13">
        <f>'1'!BK202</f>
        <v>1</v>
      </c>
      <c r="C202" s="13" t="str">
        <f>'1'!BL202</f>
        <v>histology</v>
      </c>
      <c r="D202" s="13" t="str">
        <f>'1'!BM202</f>
        <v>both</v>
      </c>
    </row>
    <row r="203" spans="1:4" x14ac:dyDescent="0.2">
      <c r="A203" s="13">
        <f>'1'!BJ203</f>
        <v>1</v>
      </c>
      <c r="B203" s="13">
        <f>'1'!BK203</f>
        <v>1</v>
      </c>
      <c r="C203" s="13" t="str">
        <f>'1'!BL203</f>
        <v>Other</v>
      </c>
      <c r="D203" s="13" t="str">
        <f>'1'!BM203</f>
        <v>both</v>
      </c>
    </row>
    <row r="204" spans="1:4" x14ac:dyDescent="0.2">
      <c r="A204" s="13">
        <f>'1'!BJ204</f>
        <v>1</v>
      </c>
      <c r="B204" s="13">
        <f>'1'!BK204</f>
        <v>81</v>
      </c>
      <c r="C204" s="13" t="str">
        <f>'1'!BL204</f>
        <v>flow cytometry</v>
      </c>
      <c r="D204" s="13" t="str">
        <f>'1'!BM204</f>
        <v>both</v>
      </c>
    </row>
    <row r="205" spans="1:4" x14ac:dyDescent="0.2">
      <c r="A205" s="13">
        <f>'1'!BJ205</f>
        <v>1</v>
      </c>
      <c r="B205" s="13">
        <f>'1'!BK205</f>
        <v>41</v>
      </c>
      <c r="C205" s="13" t="str">
        <f>'1'!BL205</f>
        <v>flow cytometry</v>
      </c>
      <c r="D205" s="13" t="str">
        <f>'1'!BM205</f>
        <v>both</v>
      </c>
    </row>
    <row r="206" spans="1:4" x14ac:dyDescent="0.2">
      <c r="A206" s="13">
        <f>'1'!BJ206</f>
        <v>1</v>
      </c>
      <c r="B206" s="13">
        <f>'1'!BK206</f>
        <v>1</v>
      </c>
      <c r="C206" s="13" t="str">
        <f>'1'!BL206</f>
        <v>mouse</v>
      </c>
      <c r="D206" s="13" t="str">
        <f>'1'!BM206</f>
        <v>both</v>
      </c>
    </row>
    <row r="207" spans="1:4" x14ac:dyDescent="0.2">
      <c r="A207" s="13">
        <f>'1'!BJ207</f>
        <v>1</v>
      </c>
      <c r="B207" s="13">
        <f>'1'!BK207</f>
        <v>1</v>
      </c>
      <c r="C207" s="13" t="str">
        <f>'1'!BL207</f>
        <v>proteomics</v>
      </c>
      <c r="D207" s="13" t="str">
        <f>'1'!BM207</f>
        <v>both</v>
      </c>
    </row>
    <row r="208" spans="1:4" x14ac:dyDescent="0.2">
      <c r="A208" s="13">
        <f>'1'!BJ208</f>
        <v>1</v>
      </c>
      <c r="B208" s="13">
        <f>'1'!BK208</f>
        <v>1</v>
      </c>
      <c r="C208" s="13" t="str">
        <f>'1'!BL208</f>
        <v>proteomics</v>
      </c>
      <c r="D208" s="13" t="str">
        <f>'1'!BM208</f>
        <v>both</v>
      </c>
    </row>
    <row r="209" spans="1:4" x14ac:dyDescent="0.2">
      <c r="A209" s="13">
        <f>'1'!BJ209</f>
        <v>1</v>
      </c>
      <c r="B209" s="13">
        <f>'1'!BK209</f>
        <v>21</v>
      </c>
      <c r="C209" s="13" t="str">
        <f>'1'!BL209</f>
        <v>mouse</v>
      </c>
      <c r="D209" s="13" t="str">
        <f>'1'!BM209</f>
        <v>staff</v>
      </c>
    </row>
    <row r="210" spans="1:4" x14ac:dyDescent="0.2">
      <c r="A210" s="13">
        <f>'1'!BJ210</f>
        <v>5</v>
      </c>
      <c r="B210" s="13">
        <f>'1'!BK210</f>
        <v>1</v>
      </c>
      <c r="C210" s="13" t="str">
        <f>'1'!BL210</f>
        <v>proteomics</v>
      </c>
      <c r="D210" s="13" t="str">
        <f>'1'!BM210</f>
        <v>staff</v>
      </c>
    </row>
    <row r="211" spans="1:4" x14ac:dyDescent="0.2">
      <c r="A211" s="13">
        <f>'1'!BJ211</f>
        <v>13</v>
      </c>
      <c r="B211" s="13">
        <f>'1'!BK211</f>
        <v>101</v>
      </c>
      <c r="C211" s="13" t="str">
        <f>'1'!BL211</f>
        <v>microscopy</v>
      </c>
      <c r="D211" s="13" t="str">
        <f>'1'!BM211</f>
        <v>both</v>
      </c>
    </row>
    <row r="212" spans="1:4" x14ac:dyDescent="0.2">
      <c r="A212" s="13">
        <f>'1'!BJ212</f>
        <v>5</v>
      </c>
      <c r="B212" s="13">
        <f>'1'!BK212</f>
        <v>21</v>
      </c>
      <c r="C212" s="13" t="str">
        <f>'1'!BL212</f>
        <v>proteomics</v>
      </c>
      <c r="D212" s="13" t="str">
        <f>'1'!BM212</f>
        <v>both</v>
      </c>
    </row>
    <row r="213" spans="1:4" x14ac:dyDescent="0.2">
      <c r="A213" s="13">
        <f>'1'!BJ213</f>
        <v>1</v>
      </c>
      <c r="B213" s="13">
        <f>'1'!BK213</f>
        <v>101</v>
      </c>
      <c r="C213" s="13" t="str">
        <f>'1'!BL213</f>
        <v>histology</v>
      </c>
      <c r="D213" s="13" t="str">
        <f>'1'!BM213</f>
        <v>both</v>
      </c>
    </row>
    <row r="214" spans="1:4" x14ac:dyDescent="0.2">
      <c r="A214" s="13">
        <f>'1'!BJ214</f>
        <v>1</v>
      </c>
      <c r="B214" s="13">
        <f>'1'!BK214</f>
        <v>61</v>
      </c>
      <c r="C214" s="13" t="str">
        <f>'1'!BL214</f>
        <v>flow cytometry</v>
      </c>
      <c r="D214" s="13" t="str">
        <f>'1'!BM214</f>
        <v>both</v>
      </c>
    </row>
    <row r="215" spans="1:4" x14ac:dyDescent="0.2">
      <c r="A215" s="13">
        <f>'1'!BJ215</f>
        <v>1</v>
      </c>
      <c r="B215" s="13">
        <f>'1'!BK215</f>
        <v>21</v>
      </c>
      <c r="C215" s="13" t="str">
        <f>'1'!BL215</f>
        <v>flow cytometry</v>
      </c>
      <c r="D215" s="13" t="str">
        <f>'1'!BM215</f>
        <v>both</v>
      </c>
    </row>
    <row r="216" spans="1:4" x14ac:dyDescent="0.2">
      <c r="A216" s="13">
        <f>'1'!BJ216</f>
        <v>17</v>
      </c>
      <c r="B216" s="13">
        <f>'1'!BK216</f>
        <v>1</v>
      </c>
      <c r="C216" s="13" t="str">
        <f>'1'!BL216</f>
        <v>Other</v>
      </c>
      <c r="D216" s="13" t="str">
        <f>'1'!BM216</f>
        <v>both</v>
      </c>
    </row>
    <row r="217" spans="1:4" x14ac:dyDescent="0.2">
      <c r="A217" s="13">
        <f>'1'!BJ217</f>
        <v>5</v>
      </c>
      <c r="B217" s="13">
        <f>'1'!BK217</f>
        <v>81</v>
      </c>
      <c r="C217" s="13" t="str">
        <f>'1'!BL217</f>
        <v>genomics</v>
      </c>
      <c r="D217" s="13" t="str">
        <f>'1'!BM217</f>
        <v>staff</v>
      </c>
    </row>
    <row r="218" spans="1:4" x14ac:dyDescent="0.2">
      <c r="A218" s="13">
        <f>'1'!BJ218</f>
        <v>1</v>
      </c>
      <c r="B218" s="13">
        <f>'1'!BK218</f>
        <v>21</v>
      </c>
      <c r="C218" s="13" t="str">
        <f>'1'!BL218</f>
        <v>histology</v>
      </c>
      <c r="D218" s="13" t="str">
        <f>'1'!BM218</f>
        <v>staff</v>
      </c>
    </row>
    <row r="219" spans="1:4" x14ac:dyDescent="0.2">
      <c r="A219" s="13">
        <f>'1'!BJ219</f>
        <v>1</v>
      </c>
      <c r="B219" s="13">
        <f>'1'!BK219</f>
        <v>81</v>
      </c>
      <c r="C219" s="13" t="str">
        <f>'1'!BL219</f>
        <v>microscopy</v>
      </c>
      <c r="D219" s="13" t="str">
        <f>'1'!BM219</f>
        <v>both</v>
      </c>
    </row>
    <row r="220" spans="1:4" x14ac:dyDescent="0.2">
      <c r="A220" s="13">
        <f>'1'!BJ220</f>
        <v>17</v>
      </c>
      <c r="B220" s="13">
        <f>'1'!BK220</f>
        <v>1</v>
      </c>
      <c r="C220" s="13" t="str">
        <f>'1'!BL220</f>
        <v>Other</v>
      </c>
      <c r="D220" s="13" t="str">
        <f>'1'!BM220</f>
        <v>staff</v>
      </c>
    </row>
    <row r="221" spans="1:4" x14ac:dyDescent="0.2">
      <c r="A221" s="13">
        <f>'1'!BJ221</f>
        <v>1</v>
      </c>
      <c r="B221" s="13">
        <f>'1'!BK221</f>
        <v>1</v>
      </c>
      <c r="C221" s="13" t="str">
        <f>'1'!BL221</f>
        <v>NMR</v>
      </c>
      <c r="D221" s="13" t="str">
        <f>'1'!BM221</f>
        <v>staff</v>
      </c>
    </row>
    <row r="222" spans="1:4" x14ac:dyDescent="0.2">
      <c r="A222" s="13">
        <f>'1'!BJ222</f>
        <v>1</v>
      </c>
      <c r="B222" s="13">
        <f>'1'!BK222</f>
        <v>21</v>
      </c>
      <c r="C222" s="13" t="str">
        <f>'1'!BL222</f>
        <v>microscopy</v>
      </c>
      <c r="D222" s="13" t="str">
        <f>'1'!BM222</f>
        <v>user</v>
      </c>
    </row>
    <row r="223" spans="1:4" x14ac:dyDescent="0.2">
      <c r="A223" s="13">
        <f>'1'!BJ223</f>
        <v>1</v>
      </c>
      <c r="B223" s="13">
        <f>'1'!BK223</f>
        <v>21</v>
      </c>
      <c r="C223" s="13" t="str">
        <f>'1'!BL223</f>
        <v>microscopy</v>
      </c>
      <c r="D223" s="13" t="str">
        <f>'1'!BM223</f>
        <v>both</v>
      </c>
    </row>
    <row r="224" spans="1:4" x14ac:dyDescent="0.2">
      <c r="A224" s="13">
        <f>'1'!BJ224</f>
        <v>5</v>
      </c>
      <c r="B224" s="13">
        <f>'1'!BK224</f>
        <v>1</v>
      </c>
      <c r="C224" s="13" t="str">
        <f>'1'!BL224</f>
        <v>pluripotent stem cells</v>
      </c>
      <c r="D224" s="13" t="str">
        <f>'1'!BM224</f>
        <v>both</v>
      </c>
    </row>
    <row r="225" spans="1:4" x14ac:dyDescent="0.2">
      <c r="A225" s="13">
        <f>'1'!BJ225</f>
        <v>1</v>
      </c>
      <c r="B225" s="13">
        <f>'1'!BK225</f>
        <v>1</v>
      </c>
      <c r="C225" s="13" t="str">
        <f>'1'!BL225</f>
        <v>Other</v>
      </c>
      <c r="D225" s="13" t="str">
        <f>'1'!BM225</f>
        <v>both</v>
      </c>
    </row>
    <row r="226" spans="1:4" x14ac:dyDescent="0.2">
      <c r="A226" s="13">
        <f>'1'!BJ226</f>
        <v>1</v>
      </c>
      <c r="B226" s="13">
        <f>'1'!BK226</f>
        <v>1</v>
      </c>
      <c r="C226" s="13" t="str">
        <f>'1'!BL226</f>
        <v>proteomics</v>
      </c>
      <c r="D226" s="13" t="str">
        <f>'1'!BM226</f>
        <v>staff</v>
      </c>
    </row>
    <row r="227" spans="1:4" x14ac:dyDescent="0.2">
      <c r="A227" s="13">
        <f>'1'!BJ227</f>
        <v>5</v>
      </c>
      <c r="B227" s="13">
        <f>'1'!BK227</f>
        <v>1</v>
      </c>
      <c r="C227" s="13" t="str">
        <f>'1'!BL227</f>
        <v>genomics</v>
      </c>
      <c r="D227" s="13" t="str">
        <f>'1'!BM227</f>
        <v>staff</v>
      </c>
    </row>
    <row r="228" spans="1:4" x14ac:dyDescent="0.2">
      <c r="A228" s="13">
        <f>'1'!BJ228</f>
        <v>1</v>
      </c>
      <c r="B228" s="13">
        <f>'1'!BK228</f>
        <v>1</v>
      </c>
      <c r="C228" s="13" t="str">
        <f>'1'!BL228</f>
        <v>protein expression</v>
      </c>
      <c r="D228" s="13" t="str">
        <f>'1'!BM228</f>
        <v>both</v>
      </c>
    </row>
    <row r="229" spans="1:4" x14ac:dyDescent="0.2">
      <c r="A229" s="13">
        <f>'1'!BJ229</f>
        <v>5</v>
      </c>
      <c r="B229" s="13">
        <f>'1'!BK229</f>
        <v>21</v>
      </c>
      <c r="C229" s="13" t="str">
        <f>'1'!BL229</f>
        <v>genomics</v>
      </c>
      <c r="D229" s="13" t="str">
        <f>'1'!BM229</f>
        <v>both</v>
      </c>
    </row>
    <row r="230" spans="1:4" x14ac:dyDescent="0.2">
      <c r="A230" s="13">
        <f>'1'!BJ230</f>
        <v>1</v>
      </c>
      <c r="B230" s="13">
        <f>'1'!BK230</f>
        <v>61</v>
      </c>
      <c r="C230" s="13" t="str">
        <f>'1'!BL230</f>
        <v>microscopy</v>
      </c>
      <c r="D230" s="13" t="str">
        <f>'1'!BM230</f>
        <v>both</v>
      </c>
    </row>
    <row r="231" spans="1:4" x14ac:dyDescent="0.2">
      <c r="A231" s="13">
        <f>'1'!BJ231</f>
        <v>1</v>
      </c>
      <c r="B231" s="13">
        <f>'1'!BK231</f>
        <v>1</v>
      </c>
      <c r="C231" s="13" t="str">
        <f>'1'!BL231</f>
        <v>microscopy</v>
      </c>
      <c r="D231" s="13" t="str">
        <f>'1'!BM231</f>
        <v>both</v>
      </c>
    </row>
    <row r="232" spans="1:4" x14ac:dyDescent="0.2">
      <c r="A232" s="13">
        <f>'1'!BJ232</f>
        <v>1</v>
      </c>
      <c r="B232" s="13">
        <f>'1'!BK232</f>
        <v>101</v>
      </c>
      <c r="C232" s="13" t="str">
        <f>'1'!BL232</f>
        <v>flow cytometry</v>
      </c>
      <c r="D232" s="13" t="str">
        <f>'1'!BM232</f>
        <v>both</v>
      </c>
    </row>
    <row r="233" spans="1:4" x14ac:dyDescent="0.2">
      <c r="A233" s="13">
        <f>'1'!BJ233</f>
        <v>1</v>
      </c>
      <c r="B233" s="13">
        <f>'1'!BK233</f>
        <v>1</v>
      </c>
      <c r="C233" s="13" t="str">
        <f>'1'!BL233</f>
        <v>flow cytometry</v>
      </c>
      <c r="D233" s="13" t="str">
        <f>'1'!BM233</f>
        <v>staff</v>
      </c>
    </row>
    <row r="234" spans="1:4" x14ac:dyDescent="0.2">
      <c r="A234" s="13">
        <f>'1'!BJ234</f>
        <v>5</v>
      </c>
      <c r="B234" s="13">
        <f>'1'!BK234</f>
        <v>21</v>
      </c>
      <c r="C234" s="13" t="str">
        <f>'1'!BL234</f>
        <v>NMR</v>
      </c>
      <c r="D234" s="13" t="str">
        <f>'1'!BM234</f>
        <v>both</v>
      </c>
    </row>
    <row r="235" spans="1:4" x14ac:dyDescent="0.2">
      <c r="A235" s="13">
        <f>'1'!BJ235</f>
        <v>5</v>
      </c>
      <c r="B235" s="13">
        <f>'1'!BK235</f>
        <v>1</v>
      </c>
      <c r="C235" s="13" t="str">
        <f>'1'!BL235</f>
        <v>mouse</v>
      </c>
      <c r="D235" s="13" t="str">
        <f>'1'!BM235</f>
        <v>both</v>
      </c>
    </row>
    <row r="236" spans="1:4" x14ac:dyDescent="0.2">
      <c r="A236" s="13">
        <f>'1'!BJ236</f>
        <v>5</v>
      </c>
      <c r="B236" s="13">
        <f>'1'!BK236</f>
        <v>21</v>
      </c>
      <c r="C236" s="13" t="str">
        <f>'1'!BL236</f>
        <v>proteomics</v>
      </c>
      <c r="D236" s="13" t="str">
        <f>'1'!BM236</f>
        <v>staff</v>
      </c>
    </row>
    <row r="237" spans="1:4" x14ac:dyDescent="0.2">
      <c r="A237" s="13">
        <f>'1'!BJ237</f>
        <v>1</v>
      </c>
      <c r="B237" s="13">
        <f>'1'!BK237</f>
        <v>1</v>
      </c>
      <c r="C237" s="13" t="str">
        <f>'1'!BL237</f>
        <v>proteomics</v>
      </c>
      <c r="D237" s="13" t="str">
        <f>'1'!BM237</f>
        <v>staff</v>
      </c>
    </row>
    <row r="238" spans="1:4" x14ac:dyDescent="0.2">
      <c r="A238" s="13">
        <f>'1'!BJ238</f>
        <v>1</v>
      </c>
      <c r="B238" s="13">
        <f>'1'!BK238</f>
        <v>21</v>
      </c>
      <c r="C238" s="13" t="str">
        <f>'1'!BL238</f>
        <v>proteomics</v>
      </c>
      <c r="D238" s="13" t="str">
        <f>'1'!BM238</f>
        <v>both</v>
      </c>
    </row>
    <row r="239" spans="1:4" x14ac:dyDescent="0.2">
      <c r="A239" s="13">
        <f>'1'!BJ239</f>
        <v>1</v>
      </c>
      <c r="B239" s="13">
        <f>'1'!BK239</f>
        <v>81</v>
      </c>
      <c r="C239" s="13" t="str">
        <f>'1'!BL239</f>
        <v>microscopy</v>
      </c>
      <c r="D239" s="13" t="str">
        <f>'1'!BM239</f>
        <v>both</v>
      </c>
    </row>
    <row r="240" spans="1:4" x14ac:dyDescent="0.2">
      <c r="A240" s="13">
        <f>'1'!BJ240</f>
        <v>1</v>
      </c>
      <c r="B240" s="13">
        <f>'1'!BK240</f>
        <v>1</v>
      </c>
      <c r="C240" s="13" t="str">
        <f>'1'!BL240</f>
        <v>flow cytometry</v>
      </c>
      <c r="D240" s="13" t="str">
        <f>'1'!BM240</f>
        <v>both</v>
      </c>
    </row>
    <row r="241" spans="1:4" x14ac:dyDescent="0.2">
      <c r="A241" s="13">
        <f>'1'!BJ241</f>
        <v>5</v>
      </c>
      <c r="B241" s="13">
        <f>'1'!BK241</f>
        <v>1</v>
      </c>
      <c r="C241" s="13" t="str">
        <f>'1'!BL241</f>
        <v>microscopy</v>
      </c>
      <c r="D241" s="13" t="str">
        <f>'1'!BM241</f>
        <v>staff</v>
      </c>
    </row>
    <row r="242" spans="1:4" x14ac:dyDescent="0.2">
      <c r="A242" s="13">
        <f>'1'!BJ242</f>
        <v>1</v>
      </c>
      <c r="B242" s="13">
        <f>'1'!BK242</f>
        <v>21</v>
      </c>
      <c r="C242" s="13" t="str">
        <f>'1'!BL242</f>
        <v>genomics</v>
      </c>
      <c r="D242" s="13" t="str">
        <f>'1'!BM242</f>
        <v>both</v>
      </c>
    </row>
    <row r="243" spans="1:4" x14ac:dyDescent="0.2">
      <c r="A243" s="13">
        <f>'1'!BJ243</f>
        <v>1</v>
      </c>
      <c r="B243" s="13">
        <f>'1'!BK243</f>
        <v>1</v>
      </c>
      <c r="C243" s="13" t="str">
        <f>'1'!BL243</f>
        <v>proteomics</v>
      </c>
      <c r="D243" s="13" t="str">
        <f>'1'!BM243</f>
        <v>both</v>
      </c>
    </row>
    <row r="244" spans="1:4" x14ac:dyDescent="0.2">
      <c r="A244" s="13">
        <f>'1'!BJ244</f>
        <v>5</v>
      </c>
      <c r="B244" s="13">
        <f>'1'!BK244</f>
        <v>1</v>
      </c>
      <c r="C244" s="13" t="str">
        <f>'1'!BL244</f>
        <v>genomics</v>
      </c>
      <c r="D244" s="13" t="str">
        <f>'1'!BM244</f>
        <v>staff</v>
      </c>
    </row>
    <row r="245" spans="1:4" x14ac:dyDescent="0.2">
      <c r="A245" s="13">
        <f>'1'!BJ245</f>
        <v>5</v>
      </c>
      <c r="B245" s="13">
        <f>'1'!BK245</f>
        <v>1</v>
      </c>
      <c r="C245" s="13" t="str">
        <f>'1'!BL245</f>
        <v>proteomics</v>
      </c>
      <c r="D245" s="13" t="str">
        <f>'1'!BM245</f>
        <v>both</v>
      </c>
    </row>
    <row r="246" spans="1:4" x14ac:dyDescent="0.2">
      <c r="A246" s="13">
        <f>'1'!BJ246</f>
        <v>1</v>
      </c>
      <c r="B246" s="13">
        <f>'1'!BK246</f>
        <v>21</v>
      </c>
      <c r="C246" s="13" t="str">
        <f>'1'!BL246</f>
        <v>Other</v>
      </c>
      <c r="D246" s="13" t="str">
        <f>'1'!BM246</f>
        <v>both</v>
      </c>
    </row>
    <row r="247" spans="1:4" x14ac:dyDescent="0.2">
      <c r="A247" s="13">
        <f>'1'!BJ247</f>
        <v>1</v>
      </c>
      <c r="B247" s="13">
        <f>'1'!BK247</f>
        <v>1</v>
      </c>
      <c r="C247" s="13" t="str">
        <f>'1'!BL247</f>
        <v>microscopy</v>
      </c>
      <c r="D247" s="13" t="str">
        <f>'1'!BM247</f>
        <v>both</v>
      </c>
    </row>
    <row r="248" spans="1:4" x14ac:dyDescent="0.2">
      <c r="A248" s="13">
        <f>'1'!BJ248</f>
        <v>13</v>
      </c>
      <c r="B248" s="13">
        <f>'1'!BK248</f>
        <v>21</v>
      </c>
      <c r="C248" s="13" t="str">
        <f>'1'!BL248</f>
        <v>Other</v>
      </c>
      <c r="D248" s="13" t="str">
        <f>'1'!BM248</f>
        <v>both</v>
      </c>
    </row>
    <row r="249" spans="1:4" x14ac:dyDescent="0.2">
      <c r="A249" s="13">
        <f>'1'!BJ249</f>
        <v>1</v>
      </c>
      <c r="B249" s="13">
        <f>'1'!BK249</f>
        <v>41</v>
      </c>
      <c r="C249" s="13" t="str">
        <f>'1'!BL249</f>
        <v>microscopy</v>
      </c>
      <c r="D249" s="13" t="str">
        <f>'1'!BM249</f>
        <v>both</v>
      </c>
    </row>
    <row r="250" spans="1:4" x14ac:dyDescent="0.2">
      <c r="A250" s="13">
        <f>'1'!BJ250</f>
        <v>1</v>
      </c>
      <c r="B250" s="13">
        <f>'1'!BK250</f>
        <v>21</v>
      </c>
      <c r="C250" s="13" t="str">
        <f>'1'!BL250</f>
        <v>antibodies</v>
      </c>
      <c r="D250" s="13" t="str">
        <f>'1'!BM250</f>
        <v>staff</v>
      </c>
    </row>
    <row r="251" spans="1:4" x14ac:dyDescent="0.2">
      <c r="A251" s="13">
        <f>'1'!BJ251</f>
        <v>1</v>
      </c>
      <c r="B251" s="13">
        <f>'1'!BK251</f>
        <v>1</v>
      </c>
      <c r="C251" s="13" t="str">
        <f>'1'!BL251</f>
        <v>genomics</v>
      </c>
      <c r="D251" s="13" t="str">
        <f>'1'!BM251</f>
        <v>staff</v>
      </c>
    </row>
    <row r="252" spans="1:4" x14ac:dyDescent="0.2">
      <c r="A252" s="13">
        <f>'1'!BJ252</f>
        <v>1</v>
      </c>
      <c r="B252" s="13">
        <f>'1'!BK252</f>
        <v>1</v>
      </c>
      <c r="C252" s="13" t="str">
        <f>'1'!BL252</f>
        <v>microscopy</v>
      </c>
      <c r="D252" s="13" t="str">
        <f>'1'!BM252</f>
        <v>both</v>
      </c>
    </row>
    <row r="253" spans="1:4" x14ac:dyDescent="0.2">
      <c r="A253" s="13">
        <f>'1'!BJ253</f>
        <v>5</v>
      </c>
      <c r="B253" s="13">
        <f>'1'!BK253</f>
        <v>101</v>
      </c>
      <c r="C253" s="13" t="str">
        <f>'1'!BL253</f>
        <v>microscopy</v>
      </c>
      <c r="D253" s="13" t="str">
        <f>'1'!BM253</f>
        <v>user</v>
      </c>
    </row>
    <row r="254" spans="1:4" x14ac:dyDescent="0.2">
      <c r="A254" s="13">
        <f>'1'!BJ254</f>
        <v>5</v>
      </c>
      <c r="B254" s="13">
        <f>'1'!BK254</f>
        <v>21</v>
      </c>
      <c r="C254" s="13" t="str">
        <f>'1'!BL254</f>
        <v>microscopy</v>
      </c>
      <c r="D254" s="13" t="str">
        <f>'1'!BM254</f>
        <v>both</v>
      </c>
    </row>
    <row r="255" spans="1:4" x14ac:dyDescent="0.2">
      <c r="A255" s="13">
        <f>'1'!BJ255</f>
        <v>17</v>
      </c>
      <c r="B255" s="13">
        <f>'1'!BK255</f>
        <v>101</v>
      </c>
      <c r="C255" s="13" t="str">
        <f>'1'!BL255</f>
        <v>cell culture</v>
      </c>
      <c r="D255" s="13" t="str">
        <f>'1'!BM255</f>
        <v>staff</v>
      </c>
    </row>
    <row r="256" spans="1:4" x14ac:dyDescent="0.2">
      <c r="A256" s="13">
        <f>'1'!BJ256</f>
        <v>5</v>
      </c>
      <c r="B256" s="13">
        <f>'1'!BK256</f>
        <v>1</v>
      </c>
      <c r="C256" s="13" t="str">
        <f>'1'!BL256</f>
        <v>metabolomics</v>
      </c>
      <c r="D256" s="13" t="str">
        <f>'1'!BM256</f>
        <v>staff</v>
      </c>
    </row>
    <row r="257" spans="1:4" x14ac:dyDescent="0.2">
      <c r="A257" s="13">
        <f>'1'!BJ257</f>
        <v>5</v>
      </c>
      <c r="B257" s="13">
        <f>'1'!BK257</f>
        <v>21</v>
      </c>
      <c r="C257" s="13" t="str">
        <f>'1'!BL257</f>
        <v>flow cytometry</v>
      </c>
      <c r="D257" s="13" t="str">
        <f>'1'!BM257</f>
        <v>both</v>
      </c>
    </row>
    <row r="258" spans="1:4" x14ac:dyDescent="0.2">
      <c r="A258" s="13">
        <f>'1'!BJ258</f>
        <v>1</v>
      </c>
      <c r="B258" s="13">
        <f>'1'!BK258</f>
        <v>41</v>
      </c>
      <c r="C258" s="13" t="str">
        <f>'1'!BL258</f>
        <v>flow cytometry</v>
      </c>
      <c r="D258" s="13" t="str">
        <f>'1'!BM258</f>
        <v>both</v>
      </c>
    </row>
    <row r="259" spans="1:4" x14ac:dyDescent="0.2">
      <c r="A259" s="13">
        <f>'1'!BJ259</f>
        <v>1</v>
      </c>
      <c r="B259" s="13">
        <f>'1'!BK259</f>
        <v>61</v>
      </c>
      <c r="C259" s="13" t="str">
        <f>'1'!BL259</f>
        <v>flow cytometry</v>
      </c>
      <c r="D259" s="13" t="str">
        <f>'1'!BM259</f>
        <v>user</v>
      </c>
    </row>
    <row r="260" spans="1:4" x14ac:dyDescent="0.2">
      <c r="A260" s="13">
        <f>'1'!BJ260</f>
        <v>13</v>
      </c>
      <c r="B260" s="13">
        <f>'1'!BK260</f>
        <v>21</v>
      </c>
      <c r="C260" s="13" t="str">
        <f>'1'!BL260</f>
        <v>genomics</v>
      </c>
      <c r="D260" s="13" t="str">
        <f>'1'!BM260</f>
        <v>staff</v>
      </c>
    </row>
    <row r="261" spans="1:4" x14ac:dyDescent="0.2">
      <c r="A261" s="13">
        <f>'1'!BJ261</f>
        <v>1</v>
      </c>
      <c r="B261" s="13">
        <f>'1'!BK261</f>
        <v>1</v>
      </c>
      <c r="C261" s="13" t="str">
        <f>'1'!BL261</f>
        <v>microscopy</v>
      </c>
      <c r="D261" s="13" t="str">
        <f>'1'!BM261</f>
        <v>both</v>
      </c>
    </row>
    <row r="262" spans="1:4" x14ac:dyDescent="0.2">
      <c r="A262" s="13">
        <f>'1'!BJ262</f>
        <v>9</v>
      </c>
      <c r="B262" s="13">
        <f>'1'!BK262</f>
        <v>41</v>
      </c>
      <c r="C262" s="13" t="str">
        <f>'1'!BL262</f>
        <v>proteomics</v>
      </c>
      <c r="D262" s="13" t="str">
        <f>'1'!BM262</f>
        <v>staff</v>
      </c>
    </row>
    <row r="263" spans="1:4" x14ac:dyDescent="0.2">
      <c r="A263" s="13">
        <f>'1'!BJ263</f>
        <v>1</v>
      </c>
      <c r="B263" s="13">
        <f>'1'!BK263</f>
        <v>41</v>
      </c>
      <c r="C263" s="13" t="str">
        <f>'1'!BL263</f>
        <v>microscopy</v>
      </c>
      <c r="D263" s="13" t="str">
        <f>'1'!BM263</f>
        <v>both</v>
      </c>
    </row>
    <row r="264" spans="1:4" x14ac:dyDescent="0.2">
      <c r="A264" s="13">
        <f>'1'!BJ264</f>
        <v>1</v>
      </c>
      <c r="B264" s="13">
        <f>'1'!BK264</f>
        <v>41</v>
      </c>
      <c r="C264" s="13" t="str">
        <f>'1'!BL264</f>
        <v>flow cytometry</v>
      </c>
      <c r="D264" s="13" t="str">
        <f>'1'!BM264</f>
        <v>both</v>
      </c>
    </row>
    <row r="265" spans="1:4" x14ac:dyDescent="0.2">
      <c r="A265" s="13">
        <f>'1'!BJ265</f>
        <v>1</v>
      </c>
      <c r="B265" s="13">
        <f>'1'!BK265</f>
        <v>1</v>
      </c>
      <c r="C265" s="13" t="str">
        <f>'1'!BL265</f>
        <v>microscopy</v>
      </c>
      <c r="D265" s="13" t="str">
        <f>'1'!BM265</f>
        <v>staff</v>
      </c>
    </row>
    <row r="266" spans="1:4" x14ac:dyDescent="0.2">
      <c r="A266" s="13">
        <f>'1'!BJ266</f>
        <v>5</v>
      </c>
      <c r="B266" s="13">
        <f>'1'!BK266</f>
        <v>21</v>
      </c>
      <c r="C266" s="13" t="str">
        <f>'1'!BL266</f>
        <v>microscopy</v>
      </c>
      <c r="D266" s="13" t="str">
        <f>'1'!BM266</f>
        <v>both</v>
      </c>
    </row>
    <row r="267" spans="1:4" x14ac:dyDescent="0.2">
      <c r="A267" s="13">
        <f>'1'!BJ267</f>
        <v>1</v>
      </c>
      <c r="B267" s="13">
        <f>'1'!BK267</f>
        <v>101</v>
      </c>
      <c r="C267" s="13" t="str">
        <f>'1'!BL267</f>
        <v>flow cytometry</v>
      </c>
      <c r="D267" s="13" t="str">
        <f>'1'!BM267</f>
        <v>both</v>
      </c>
    </row>
    <row r="268" spans="1:4" x14ac:dyDescent="0.2">
      <c r="A268" s="13">
        <f>'1'!BJ268</f>
        <v>5</v>
      </c>
      <c r="B268" s="13">
        <f>'1'!BK268</f>
        <v>21</v>
      </c>
      <c r="C268" s="13" t="str">
        <f>'1'!BL268</f>
        <v>Other</v>
      </c>
      <c r="D268" s="13" t="str">
        <f>'1'!BM268</f>
        <v>both</v>
      </c>
    </row>
    <row r="269" spans="1:4" x14ac:dyDescent="0.2">
      <c r="A269" s="13">
        <f>'1'!BJ269</f>
        <v>9</v>
      </c>
      <c r="B269" s="13">
        <f>'1'!BK269</f>
        <v>41</v>
      </c>
      <c r="C269" s="13" t="str">
        <f>'1'!BL269</f>
        <v>genomics</v>
      </c>
      <c r="D269" s="13" t="str">
        <f>'1'!BM269</f>
        <v>staff</v>
      </c>
    </row>
    <row r="270" spans="1:4" x14ac:dyDescent="0.2">
      <c r="A270" s="13">
        <f>'1'!BJ270</f>
        <v>1</v>
      </c>
      <c r="B270" s="13">
        <f>'1'!BK270</f>
        <v>1</v>
      </c>
      <c r="C270" s="13" t="str">
        <f>'1'!BL270</f>
        <v>Other</v>
      </c>
      <c r="D270" s="13" t="str">
        <f>'1'!BM270</f>
        <v>staff</v>
      </c>
    </row>
    <row r="271" spans="1:4" x14ac:dyDescent="0.2">
      <c r="A271" s="13">
        <f>'1'!BJ271</f>
        <v>1</v>
      </c>
      <c r="B271" s="13">
        <f>'1'!BK271</f>
        <v>101</v>
      </c>
      <c r="C271" s="13" t="str">
        <f>'1'!BL271</f>
        <v>genomics</v>
      </c>
      <c r="D271" s="13" t="str">
        <f>'1'!BM271</f>
        <v>both</v>
      </c>
    </row>
    <row r="272" spans="1:4" x14ac:dyDescent="0.2">
      <c r="A272" s="13">
        <f>'1'!BJ272</f>
        <v>1</v>
      </c>
      <c r="B272" s="13">
        <f>'1'!BK272</f>
        <v>1</v>
      </c>
      <c r="C272" s="13" t="str">
        <f>'1'!BL272</f>
        <v>proteomics</v>
      </c>
      <c r="D272" s="13" t="str">
        <f>'1'!BM272</f>
        <v>both</v>
      </c>
    </row>
    <row r="273" spans="1:4" x14ac:dyDescent="0.2">
      <c r="A273" s="13">
        <f>'1'!BJ273</f>
        <v>1</v>
      </c>
      <c r="B273" s="13">
        <f>'1'!BK273</f>
        <v>1</v>
      </c>
      <c r="C273" s="13" t="str">
        <f>'1'!BL273</f>
        <v>genomics</v>
      </c>
      <c r="D273" s="13" t="str">
        <f>'1'!BM273</f>
        <v>staff</v>
      </c>
    </row>
    <row r="274" spans="1:4" x14ac:dyDescent="0.2">
      <c r="A274" s="13">
        <f>'1'!BJ274</f>
        <v>5</v>
      </c>
      <c r="B274" s="13">
        <f>'1'!BK274</f>
        <v>1</v>
      </c>
      <c r="C274" s="13" t="str">
        <f>'1'!BL274</f>
        <v>mouse</v>
      </c>
      <c r="D274" s="13" t="str">
        <f>'1'!BM274</f>
        <v>staff</v>
      </c>
    </row>
    <row r="275" spans="1:4" x14ac:dyDescent="0.2">
      <c r="A275" s="13">
        <f>'1'!BJ275</f>
        <v>17</v>
      </c>
      <c r="B275" s="13">
        <f>'1'!BK275</f>
        <v>1</v>
      </c>
      <c r="C275" s="13" t="str">
        <f>'1'!BL275</f>
        <v>mouse</v>
      </c>
      <c r="D275" s="13" t="str">
        <f>'1'!BM275</f>
        <v>staff</v>
      </c>
    </row>
    <row r="276" spans="1:4" x14ac:dyDescent="0.2">
      <c r="A276" s="13">
        <f>'1'!BJ276</f>
        <v>1</v>
      </c>
      <c r="B276" s="13">
        <f>'1'!BK276</f>
        <v>1</v>
      </c>
      <c r="C276" s="13" t="str">
        <f>'1'!BL276</f>
        <v>mouse</v>
      </c>
      <c r="D276" s="13" t="str">
        <f>'1'!BM276</f>
        <v>both</v>
      </c>
    </row>
    <row r="277" spans="1:4" x14ac:dyDescent="0.2">
      <c r="A277" s="13">
        <f>'1'!BJ277</f>
        <v>1</v>
      </c>
      <c r="B277" s="13">
        <f>'1'!BK277</f>
        <v>21</v>
      </c>
      <c r="C277" s="13" t="str">
        <f>'1'!BL277</f>
        <v>microscopy</v>
      </c>
      <c r="D277" s="13" t="str">
        <f>'1'!BM277</f>
        <v>both</v>
      </c>
    </row>
  </sheetData>
  <autoFilter ref="A1:D466" xr:uid="{53BB7B10-E24A-497D-B5CA-296C74079209}"/>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8BCA7-EF01-42B2-AB9B-81AC7EFA00E4}">
  <dimension ref="A1:CR635"/>
  <sheetViews>
    <sheetView topLeftCell="T1" zoomScale="70" zoomScaleNormal="70" workbookViewId="0">
      <pane ySplit="1" topLeftCell="A2" activePane="bottomLeft" state="frozen"/>
      <selection pane="bottomLeft" activeCell="U1" sqref="U1"/>
    </sheetView>
  </sheetViews>
  <sheetFormatPr defaultRowHeight="12.75" x14ac:dyDescent="0.2"/>
  <cols>
    <col min="1" max="1" width="7.5703125" customWidth="1"/>
    <col min="2" max="2" width="54.85546875" customWidth="1"/>
    <col min="3" max="3" width="10.7109375" customWidth="1"/>
    <col min="4" max="4" width="8.140625" customWidth="1"/>
    <col min="5" max="5" width="9" customWidth="1"/>
    <col min="6" max="6" width="8" bestFit="1" customWidth="1"/>
    <col min="7" max="7" width="10.5703125" customWidth="1"/>
    <col min="8" max="8" width="16.140625" customWidth="1"/>
    <col min="9" max="10" width="9.7109375" customWidth="1"/>
    <col min="11" max="11" width="10" customWidth="1"/>
    <col min="12" max="12" width="15.42578125" customWidth="1"/>
    <col min="13" max="14" width="20.7109375" customWidth="1"/>
    <col min="15" max="15" width="15" customWidth="1"/>
    <col min="16" max="16" width="21.140625" customWidth="1"/>
    <col min="17" max="17" width="38.7109375" customWidth="1"/>
    <col min="18" max="18" width="18.140625" customWidth="1"/>
    <col min="19" max="19" width="53.85546875" customWidth="1"/>
    <col min="20" max="20" width="32.5703125" customWidth="1"/>
    <col min="22" max="22" width="30.7109375" customWidth="1"/>
    <col min="23" max="26" width="14.140625" customWidth="1"/>
    <col min="27" max="33" width="6.85546875" customWidth="1"/>
    <col min="34" max="34" width="9.5703125" customWidth="1"/>
    <col min="35" max="35" width="12.28515625" customWidth="1"/>
    <col min="36" max="36" width="15" customWidth="1"/>
    <col min="37" max="38" width="13.28515625" customWidth="1"/>
    <col min="39" max="39" width="14.7109375" customWidth="1"/>
    <col min="40" max="40" width="13.28515625" customWidth="1"/>
    <col min="41" max="48" width="7.5703125" customWidth="1"/>
    <col min="49" max="49" width="13.28515625" customWidth="1"/>
    <col min="50" max="50" width="24.28515625" customWidth="1"/>
    <col min="51" max="51" width="17.28515625" customWidth="1"/>
    <col min="53" max="53" width="25.140625" customWidth="1"/>
    <col min="55" max="55" width="12.42578125" customWidth="1"/>
    <col min="56" max="57" width="12" customWidth="1"/>
    <col min="58" max="65" width="7.28515625" customWidth="1"/>
    <col min="67" max="67" width="17" customWidth="1"/>
    <col min="69" max="69" width="11.140625" customWidth="1"/>
    <col min="70" max="71" width="8.28515625" customWidth="1"/>
    <col min="72" max="74" width="10.140625" customWidth="1"/>
    <col min="75" max="82" width="8.140625" customWidth="1"/>
    <col min="84" max="84" width="25.140625" customWidth="1"/>
    <col min="85" max="85" width="5.28515625" customWidth="1"/>
    <col min="87" max="87" width="24.28515625" customWidth="1"/>
    <col min="88" max="88" width="6.140625" customWidth="1"/>
    <col min="90" max="90" width="25.140625" customWidth="1"/>
    <col min="91" max="91" width="10.7109375" customWidth="1"/>
    <col min="93" max="93" width="31" customWidth="1"/>
  </cols>
  <sheetData>
    <row r="1" spans="1:96" s="2" customFormat="1" ht="63.75" x14ac:dyDescent="0.2">
      <c r="B1" s="22" t="s">
        <v>624</v>
      </c>
      <c r="C1" s="37" t="s">
        <v>1927</v>
      </c>
      <c r="D1" s="37" t="s">
        <v>478</v>
      </c>
      <c r="E1" s="37" t="s">
        <v>978</v>
      </c>
      <c r="F1" s="37" t="s">
        <v>980</v>
      </c>
      <c r="G1" s="37" t="s">
        <v>982</v>
      </c>
      <c r="H1" s="37" t="s">
        <v>1925</v>
      </c>
      <c r="I1" s="37" t="s">
        <v>1926</v>
      </c>
      <c r="J1" s="37" t="s">
        <v>979</v>
      </c>
      <c r="K1" s="37" t="s">
        <v>702</v>
      </c>
      <c r="L1" s="2" t="s">
        <v>625</v>
      </c>
      <c r="M1" s="22" t="s">
        <v>3604</v>
      </c>
      <c r="N1" s="8" t="s">
        <v>3624</v>
      </c>
      <c r="O1" s="37" t="s">
        <v>3605</v>
      </c>
      <c r="P1" s="22" t="s">
        <v>3606</v>
      </c>
      <c r="Q1" s="22" t="s">
        <v>627</v>
      </c>
      <c r="R1" s="2" t="s">
        <v>985</v>
      </c>
      <c r="S1" s="22" t="s">
        <v>628</v>
      </c>
      <c r="T1" s="8" t="s">
        <v>628</v>
      </c>
      <c r="V1" s="8" t="s">
        <v>624</v>
      </c>
      <c r="W1" s="8" t="s">
        <v>3570</v>
      </c>
      <c r="X1" s="8" t="s">
        <v>4002</v>
      </c>
      <c r="Y1" s="8" t="s">
        <v>4014</v>
      </c>
      <c r="Z1" s="8" t="s">
        <v>4003</v>
      </c>
      <c r="AA1" s="8" t="s">
        <v>105</v>
      </c>
      <c r="AB1" s="8" t="s">
        <v>324</v>
      </c>
      <c r="AC1" s="8" t="s">
        <v>309</v>
      </c>
      <c r="AD1" s="8" t="s">
        <v>443</v>
      </c>
      <c r="AE1" s="8" t="s">
        <v>107</v>
      </c>
      <c r="AF1" s="8" t="s">
        <v>3959</v>
      </c>
      <c r="AG1" s="8" t="s">
        <v>377</v>
      </c>
      <c r="AH1" s="8" t="s">
        <v>161</v>
      </c>
      <c r="AI1" s="8"/>
      <c r="AJ1" s="8" t="s">
        <v>625</v>
      </c>
      <c r="AK1" s="8" t="s">
        <v>3570</v>
      </c>
      <c r="AL1" s="8" t="s">
        <v>4002</v>
      </c>
      <c r="AM1" s="8" t="s">
        <v>4014</v>
      </c>
      <c r="AN1" s="8" t="s">
        <v>4003</v>
      </c>
      <c r="AO1" s="8" t="s">
        <v>105</v>
      </c>
      <c r="AP1" s="8" t="s">
        <v>324</v>
      </c>
      <c r="AQ1" s="8" t="s">
        <v>309</v>
      </c>
      <c r="AR1" s="8" t="s">
        <v>443</v>
      </c>
      <c r="AS1" s="8" t="s">
        <v>107</v>
      </c>
      <c r="AT1" s="8" t="s">
        <v>3959</v>
      </c>
      <c r="AU1" s="8" t="s">
        <v>377</v>
      </c>
      <c r="AV1" s="8" t="s">
        <v>161</v>
      </c>
      <c r="AW1" s="8"/>
      <c r="AX1" s="8" t="s">
        <v>3624</v>
      </c>
      <c r="AY1" s="8"/>
      <c r="AZ1" s="8"/>
      <c r="BA1" s="8" t="s">
        <v>4020</v>
      </c>
      <c r="BB1" s="8" t="s">
        <v>3570</v>
      </c>
      <c r="BC1" s="8" t="s">
        <v>4002</v>
      </c>
      <c r="BD1" s="8" t="s">
        <v>4014</v>
      </c>
      <c r="BE1" s="8" t="s">
        <v>4003</v>
      </c>
      <c r="BF1" s="8" t="s">
        <v>105</v>
      </c>
      <c r="BG1" s="8" t="s">
        <v>324</v>
      </c>
      <c r="BH1" s="8" t="s">
        <v>309</v>
      </c>
      <c r="BI1" s="8" t="s">
        <v>443</v>
      </c>
      <c r="BJ1" s="8" t="s">
        <v>107</v>
      </c>
      <c r="BK1" s="8" t="s">
        <v>3959</v>
      </c>
      <c r="BL1" s="8" t="s">
        <v>377</v>
      </c>
      <c r="BM1" s="8" t="s">
        <v>161</v>
      </c>
      <c r="BN1" s="8"/>
      <c r="BO1" s="8" t="s">
        <v>626</v>
      </c>
      <c r="BP1" s="8"/>
      <c r="BQ1" s="8"/>
      <c r="BR1" s="8" t="s">
        <v>2854</v>
      </c>
      <c r="BS1" s="8"/>
      <c r="BT1" s="8" t="s">
        <v>4002</v>
      </c>
      <c r="BU1" s="8" t="s">
        <v>4014</v>
      </c>
      <c r="BV1" s="8" t="s">
        <v>4003</v>
      </c>
      <c r="BW1" s="8" t="s">
        <v>105</v>
      </c>
      <c r="BX1" s="8" t="s">
        <v>324</v>
      </c>
      <c r="BY1" s="8" t="s">
        <v>309</v>
      </c>
      <c r="BZ1" s="8" t="s">
        <v>443</v>
      </c>
      <c r="CA1" s="8" t="s">
        <v>107</v>
      </c>
      <c r="CB1" s="8" t="s">
        <v>3959</v>
      </c>
      <c r="CC1" s="8" t="s">
        <v>377</v>
      </c>
      <c r="CD1" s="8" t="s">
        <v>161</v>
      </c>
      <c r="CE1" s="8"/>
      <c r="CF1" s="8" t="s">
        <v>636</v>
      </c>
      <c r="CG1" s="8"/>
      <c r="CH1" s="8"/>
      <c r="CI1" s="8" t="s">
        <v>637</v>
      </c>
      <c r="CJ1" s="8"/>
      <c r="CK1" s="8"/>
      <c r="CL1" s="8" t="s">
        <v>3998</v>
      </c>
      <c r="CM1" s="8"/>
      <c r="CN1" s="8"/>
      <c r="CO1" s="8" t="s">
        <v>628</v>
      </c>
      <c r="CP1" s="8"/>
      <c r="CQ1" s="8"/>
      <c r="CR1" s="8"/>
    </row>
    <row r="2" spans="1:96" s="1" customFormat="1" ht="25.5" x14ac:dyDescent="0.2">
      <c r="A2" s="1">
        <v>1</v>
      </c>
      <c r="B2" s="1" t="s">
        <v>88</v>
      </c>
      <c r="C2" s="39" t="s">
        <v>84</v>
      </c>
      <c r="D2" s="39" t="s">
        <v>84</v>
      </c>
      <c r="E2" s="39" t="s">
        <v>84</v>
      </c>
      <c r="F2" s="39" t="s">
        <v>84</v>
      </c>
      <c r="G2" s="39"/>
      <c r="H2" s="39" t="s">
        <v>82</v>
      </c>
      <c r="I2" s="39"/>
      <c r="J2" s="39"/>
      <c r="K2" s="39"/>
      <c r="L2" s="1" t="s">
        <v>82</v>
      </c>
      <c r="N2" s="21"/>
      <c r="O2" s="1" t="s">
        <v>82</v>
      </c>
      <c r="R2" s="1" t="s">
        <v>82</v>
      </c>
      <c r="S2" s="7" t="s">
        <v>89</v>
      </c>
      <c r="T2" s="21" t="s">
        <v>3724</v>
      </c>
      <c r="V2" s="1" t="s">
        <v>478</v>
      </c>
      <c r="W2" s="1">
        <f>COUNTIF($D$2:$D$496,"Yes")</f>
        <v>266</v>
      </c>
      <c r="X2" s="1">
        <f>COUNTIFS($D$2:$D$496,"Yes",'1'!$F$2:$F$496,"*staff*")</f>
        <v>71</v>
      </c>
      <c r="Y2" s="1">
        <f>COUNTIFS($D$2:$D$496,"Yes",'1'!$F$2:$F$496,"*both*")</f>
        <v>168</v>
      </c>
      <c r="Z2" s="1">
        <f>COUNTIFS($D$2:$D$496,"Yes",'1'!$F$2:$F$496,"*users work*")</f>
        <v>27</v>
      </c>
      <c r="AA2" s="1">
        <f>COUNTIFS($D$2:$D$496,"Yes",'1'!$B$2:$B$496,"*flow cytometry*")</f>
        <v>49</v>
      </c>
      <c r="AB2" s="1">
        <f>COUNTIFS($D$2:$D$496,"Yes",'1'!$B$2:$B$496,"*genomics*")</f>
        <v>33</v>
      </c>
      <c r="AC2" s="1">
        <f>COUNTIFS($D$2:$D$496,"Yes",'1'!$B$2:$B$496,"*histology*")</f>
        <v>11</v>
      </c>
      <c r="AD2" s="1">
        <f>COUNTIFS($D$2:$D$496,"Yes",'1'!$B$2:$B$496,"*metabolomics*")</f>
        <v>8</v>
      </c>
      <c r="AE2" s="1">
        <f>COUNTIFS($D$2:$D$496,"Yes",'1'!$B$2:$B$496,"*microscopy*")</f>
        <v>60</v>
      </c>
      <c r="AF2" s="1">
        <f>COUNTIFS($D$2:$D$496,"Yes",'1'!$B$2:$B$496,"*mouse*")</f>
        <v>15</v>
      </c>
      <c r="AG2" s="1">
        <f>COUNTIFS($D$2:$D$496,"Yes",'1'!$B$2:$B$496,"*protein expression*")</f>
        <v>8</v>
      </c>
      <c r="AH2" s="1">
        <f>COUNTIFS($D$2:$D$496,"Yes",'1'!$B$2:$B$496,"*proteomics*")</f>
        <v>32</v>
      </c>
      <c r="AJ2" t="s">
        <v>81</v>
      </c>
      <c r="AK2">
        <f>COUNTIF($L$2:$L$496,"Yes")</f>
        <v>103</v>
      </c>
      <c r="AL2">
        <f>COUNTIFS($L$2:$L$496,"Yes",'1'!$F$2:$F$496,"*staff*")</f>
        <v>26</v>
      </c>
      <c r="AM2">
        <f>COUNTIFS($L$2:$L$496,"Yes",'1'!$F$2:$F$496,"*both*")</f>
        <v>63</v>
      </c>
      <c r="AN2">
        <f>COUNTIFS($L$2:$L$496,"Yes",'1'!$F$2:$F$496,"*users work*")</f>
        <v>14</v>
      </c>
      <c r="AO2">
        <f>COUNTIFS($L$2:$L$496,"Yes",'1'!$B$2:$B$496,"*flow cytometry*")</f>
        <v>20</v>
      </c>
      <c r="AP2">
        <f>COUNTIFS($L$2:$L$496,"Yes",'1'!$B$2:$B$496,"*genomics*")</f>
        <v>19</v>
      </c>
      <c r="AQ2">
        <f>COUNTIFS($L$2:$L$496,"Yes",'1'!$B$2:$B$496,"*histology*")</f>
        <v>5</v>
      </c>
      <c r="AR2">
        <f>COUNTIFS($L$2:$L$496,"Yes",'1'!$B$2:$B$496,"*metabolomics*")</f>
        <v>2</v>
      </c>
      <c r="AS2">
        <f>COUNTIFS($L$2:$L$496,"Yes",'1'!$B$2:$B$496,"*microscopy*")</f>
        <v>21</v>
      </c>
      <c r="AT2">
        <f>COUNTIFS($L$2:$L$496,"Yes",'1'!$B$2:$B$496,"*mouse*")</f>
        <v>6</v>
      </c>
      <c r="AU2">
        <f>COUNTIFS($L$2:$L$496,"Yes",'1'!$B$2:$B$496,"*protein expression*")</f>
        <v>4</v>
      </c>
      <c r="AV2">
        <f>COUNTIFS($L$2:$L$496,"Yes",'1'!$B$2:$B$496,"*proteomics*")</f>
        <v>16</v>
      </c>
      <c r="AW2"/>
      <c r="AX2" t="s">
        <v>1113</v>
      </c>
      <c r="AY2">
        <f>COUNTIF(N$2:N$496,"*management*")</f>
        <v>20</v>
      </c>
      <c r="BA2" s="9" t="s">
        <v>81</v>
      </c>
      <c r="BB2" s="9">
        <f>COUNTIF(O$2:O$496,"Yes")</f>
        <v>80</v>
      </c>
      <c r="BC2">
        <f>COUNTIFS($O$2:$O$496,"Yes",'1'!$F$2:$F$496,"*staff*")</f>
        <v>30</v>
      </c>
      <c r="BD2">
        <f>COUNTIFS($O$2:$O$496,"Yes",'1'!$F$2:$F$496,"*both*")</f>
        <v>42</v>
      </c>
      <c r="BE2">
        <f>COUNTIFS($O$2:$O$496,"Yes",'1'!$F$2:$F$496,"*users work*")</f>
        <v>8</v>
      </c>
      <c r="BF2">
        <f>COUNTIFS($O$2:$O$496,"Yes",'1'!$B$2:$B$496,"*flow cytometry*")</f>
        <v>13</v>
      </c>
      <c r="BG2">
        <f>COUNTIFS($O$2:$O$496,"Yes",'1'!$B$2:$B$496,"*genomics*")</f>
        <v>16</v>
      </c>
      <c r="BH2">
        <f>COUNTIFS($O$2:$O$496,"Yes",'1'!$B$2:$B$496,"*histology*")</f>
        <v>4</v>
      </c>
      <c r="BI2">
        <f>COUNTIFS($O$2:$O$496,"Yes",'1'!$B$2:$B$496,"*metabolomics*")</f>
        <v>4</v>
      </c>
      <c r="BJ2">
        <f>COUNTIFS($O$2:$O$496,"Yes",'1'!$B$2:$B$496,"*microscopy*")</f>
        <v>13</v>
      </c>
      <c r="BK2">
        <f>COUNTIFS($O$2:$O$496,"Yes",'1'!$B$2:$B$496,"*mouse*")</f>
        <v>2</v>
      </c>
      <c r="BL2">
        <f>COUNTIFS($O$2:$O$496,"Yes",'1'!$B$2:$B$496,"*protein expression*")</f>
        <v>3</v>
      </c>
      <c r="BM2">
        <f>COUNTIFS($O$2:$O$496,"Yes",'1'!$B$2:$B$496,"*proteomics*")</f>
        <v>11</v>
      </c>
      <c r="BO2" s="1" t="s">
        <v>240</v>
      </c>
      <c r="BP2">
        <f>COUNTIF($P$2:$P$496,"*PPMS*")</f>
        <v>13</v>
      </c>
      <c r="BQ2" s="1" t="s">
        <v>240</v>
      </c>
      <c r="BR2" s="61">
        <f>BP2/SUM($BP$2:$BP$8)*100</f>
        <v>13.402061855670103</v>
      </c>
      <c r="BS2" s="61"/>
      <c r="BT2">
        <f>COUNTIFS($P$2:$P$496,"*PPMS*",'1'!$F$2:$F$496,"*staff*")</f>
        <v>1</v>
      </c>
      <c r="BU2">
        <f>COUNTIFS($P$2:$P$496,"*PPMS*",'1'!$F$2:$F$496,"*both*")</f>
        <v>8</v>
      </c>
      <c r="BV2">
        <f>COUNTIFS($P$2:$P$496,"*PPMS*",'1'!$F$2:$F$496,"*users work*")</f>
        <v>4</v>
      </c>
      <c r="BW2">
        <f>COUNTIFS($P$2:$P$496,"*PPMS*",'1'!$B$2:$B$496,"*flow cytometry*")</f>
        <v>3</v>
      </c>
      <c r="BX2">
        <f>COUNTIFS($P$2:$P$496,"*PPMS*",'1'!$B$2:$B$496,"*genomics*")</f>
        <v>0</v>
      </c>
      <c r="BY2">
        <f>COUNTIFS($P$2:$P$496,"*PPMS*",'1'!$B$2:$B$496,"*histology*")</f>
        <v>2</v>
      </c>
      <c r="BZ2">
        <f>COUNTIFS($P$2:$P$496,"*PPMS*",'1'!$B$2:$B$496,"*metabolomics*")</f>
        <v>1</v>
      </c>
      <c r="CA2">
        <f>COUNTIFS($P$2:$P$496,"*PPMS*",'1'!$B$2:$B$496,"*microscopy*")</f>
        <v>4</v>
      </c>
      <c r="CB2">
        <f>COUNTIFS($P$2:$P$496,"*PPMS*",'1'!$B$2:$B$496,"*mouse*")</f>
        <v>0</v>
      </c>
      <c r="CC2">
        <f>COUNTIFS($P$2:$P$496,"*PPMS*",'1'!$B$2:$B$496,"*protein expression*")</f>
        <v>1</v>
      </c>
      <c r="CD2">
        <f>COUNTIFS($P$2:$P$496,"*PPMS*",'1'!$B$2:$B$496,"*proteomics*")</f>
        <v>0</v>
      </c>
      <c r="CF2" s="1" t="s">
        <v>81</v>
      </c>
      <c r="CG2" s="1">
        <f>COUNTIFS(O$2:O$496,"Yes",L$2:L$496,"Yes")</f>
        <v>36</v>
      </c>
      <c r="CI2" s="1" t="s">
        <v>81</v>
      </c>
      <c r="CJ2" s="1">
        <f>COUNTIFS(O$2:O$496,"No",L$2:L$496,"Yes")</f>
        <v>67</v>
      </c>
      <c r="CL2" s="1" t="s">
        <v>81</v>
      </c>
      <c r="CM2">
        <f>COUNTIF(R$2:R$496,"Yes")</f>
        <v>100</v>
      </c>
      <c r="CO2" s="1" t="s">
        <v>3731</v>
      </c>
      <c r="CP2" s="1">
        <f>COUNTIF(T$2:T$496,"*user*")+COUNTIF(T$2:T$496,"*overload*")</f>
        <v>18</v>
      </c>
    </row>
    <row r="3" spans="1:96" s="1" customFormat="1" ht="25.5" x14ac:dyDescent="0.2">
      <c r="A3" s="1">
        <v>2</v>
      </c>
      <c r="B3" s="1" t="s">
        <v>110</v>
      </c>
      <c r="C3" s="39" t="s">
        <v>84</v>
      </c>
      <c r="D3" s="39"/>
      <c r="E3" s="39"/>
      <c r="F3" s="39"/>
      <c r="G3" s="39"/>
      <c r="H3" s="39" t="s">
        <v>82</v>
      </c>
      <c r="I3" s="39"/>
      <c r="J3" s="39"/>
      <c r="K3" s="39"/>
      <c r="L3" s="1" t="s">
        <v>82</v>
      </c>
      <c r="N3" s="21"/>
      <c r="O3" s="1" t="s">
        <v>82</v>
      </c>
      <c r="R3" s="1" t="s">
        <v>82</v>
      </c>
      <c r="S3" s="7"/>
      <c r="T3" s="21"/>
      <c r="V3" s="1" t="s">
        <v>977</v>
      </c>
      <c r="W3" s="1">
        <f>COUNTIF($C$2:$C$496,"Yes")</f>
        <v>255</v>
      </c>
      <c r="X3" s="1">
        <f>COUNTIFS($C$2:$C$496,"Yes",'1'!$F$2:$F$496,"*staff*")</f>
        <v>69</v>
      </c>
      <c r="Y3" s="1">
        <f>COUNTIFS($C$2:$C$496,"Yes",'1'!$F$2:$F$496,"*both*")</f>
        <v>163</v>
      </c>
      <c r="Z3" s="1">
        <f>COUNTIFS($C$2:$C$496,"Yes",'1'!$F$2:$F$496,"*users work*")</f>
        <v>23</v>
      </c>
      <c r="AA3" s="1">
        <f>COUNTIFS($C$2:$C$496,"Yes",'1'!$B$2:$B$496,"*flow cytometry*")</f>
        <v>44</v>
      </c>
      <c r="AB3" s="1">
        <f>COUNTIFS($C$2:$C$496,"Yes",'1'!$B$2:$B$496,"*genomics*")</f>
        <v>31</v>
      </c>
      <c r="AC3" s="1">
        <f>COUNTIFS($C$2:$C$496,"Yes",'1'!$B$2:$B$496,"*histology*")</f>
        <v>10</v>
      </c>
      <c r="AD3" s="1">
        <f>COUNTIFS($C$2:$C$496,"Yes",'1'!$B$2:$B$496,"*metabolomics*")</f>
        <v>8</v>
      </c>
      <c r="AE3" s="1">
        <f>COUNTIFS($C$2:$C$496,"Yes",'1'!$B$2:$B$496,"*microscopy*")</f>
        <v>60</v>
      </c>
      <c r="AF3" s="1">
        <f>COUNTIFS($C$2:$C$496,"Yes",'1'!$B$2:$B$496,"*mouse*")</f>
        <v>14</v>
      </c>
      <c r="AG3" s="1">
        <f>COUNTIFS($C$2:$C$496,"Yes",'1'!$B$2:$B$496,"*protein expression*")</f>
        <v>8</v>
      </c>
      <c r="AH3" s="1">
        <f>COUNTIFS($C$2:$C$496,"Yes",'1'!$B$2:$B$496,"*proteomics*")</f>
        <v>31</v>
      </c>
      <c r="AJ3" t="s">
        <v>246</v>
      </c>
      <c r="AK3">
        <f>COUNTIF($L$2:$L$496,"No")</f>
        <v>173</v>
      </c>
      <c r="AL3">
        <f>COUNTIFS($L$2:$L$496,"No",'1'!$F$2:$F$496,"*staff*")</f>
        <v>47</v>
      </c>
      <c r="AM3">
        <f>COUNTIFS($L$2:$L$496,"No",'1'!$F$2:$F$496,"*both*")</f>
        <v>112</v>
      </c>
      <c r="AN3">
        <f>COUNTIFS($L$2:$L$496,"No",'1'!$F$2:$F$496,"*users work*")</f>
        <v>14</v>
      </c>
      <c r="AO3">
        <f>COUNTIFS($L$2:$L$496,"No",'1'!$B$2:$B$496,"*flow cytometry*")</f>
        <v>30</v>
      </c>
      <c r="AP3">
        <f>COUNTIFS($L$2:$L$496,"No",'1'!$B$2:$B$496,"*genomics*")</f>
        <v>14</v>
      </c>
      <c r="AQ3">
        <f>COUNTIFS($L$2:$L$496,"No",'1'!$B$2:$B$496,"*histology*")</f>
        <v>6</v>
      </c>
      <c r="AR3">
        <f>COUNTIFS($L$2:$L$496,"No",'1'!$B$2:$B$496,"*metabolomics*")</f>
        <v>6</v>
      </c>
      <c r="AS3">
        <f>COUNTIFS($L$2:$L$496,"No",'1'!$B$2:$B$496,"*microscopy*")</f>
        <v>42</v>
      </c>
      <c r="AT3">
        <f>COUNTIFS($L$2:$L$496,"No",'1'!$B$2:$B$496,"*mouse*")</f>
        <v>10</v>
      </c>
      <c r="AU3">
        <f>COUNTIFS($L$2:$L$496,"No",'1'!$B$2:$B$496,"*protein expression*")</f>
        <v>4</v>
      </c>
      <c r="AV3">
        <f>COUNTIFS($L$2:$L$496,"No",'1'!$B$2:$B$496,"*proteomics*")</f>
        <v>19</v>
      </c>
      <c r="AW3"/>
      <c r="AX3" s="1" t="s">
        <v>3689</v>
      </c>
      <c r="AY3">
        <f>COUNTIF(N$2:N$496,"*chat*")+COUNTIF(N$2:N$496,"*social*")+COUNTIF(N$2:N$496,"*platform*")</f>
        <v>14</v>
      </c>
      <c r="BA3" s="9" t="s">
        <v>3961</v>
      </c>
      <c r="BB3" s="9">
        <f>COUNTIFS(O$2:O$496,"No",R$2:R$496,"Yes")</f>
        <v>93</v>
      </c>
      <c r="BC3">
        <f>COUNTIFS($O$2:$O$496,"No",R$2:R$496,"Yes",'1'!$F$2:$F$496,"*staff*")</f>
        <v>23</v>
      </c>
      <c r="BD3">
        <f>COUNTIFS($O$2:$O$496,"No",R$2:R$496,"Yes",'1'!$F$2:$F$496,"*both*")</f>
        <v>64</v>
      </c>
      <c r="BE3">
        <f>COUNTIFS($O$2:$O$496,"No",R$2:R$496,"Yes",'1'!$F$2:$F$496,"*users work*")</f>
        <v>6</v>
      </c>
      <c r="BF3">
        <f>COUNTIFS($O$2:$O$496,"No",R$2:R$496,"Yes",'1'!$B$2:$B$496,"*flow cytometry*")</f>
        <v>19</v>
      </c>
      <c r="BG3">
        <f>COUNTIFS($O$2:$O$496,"No",R$2:R$496,"Yes",'1'!$B$2:$B$496,"*genomics*")</f>
        <v>11</v>
      </c>
      <c r="BH3">
        <f>COUNTIFS($O$2:$O$496,"No",R$2:R$496,"Yes",'1'!$B$2:$B$496,"*histology*")</f>
        <v>3</v>
      </c>
      <c r="BI3">
        <f>COUNTIFS($O$2:$O$496,"No",R$2:R$496,"Yes",'1'!$B$2:$B$496,"*metabolomics*")</f>
        <v>0</v>
      </c>
      <c r="BJ3">
        <f>COUNTIFS($O$2:$O$496,"No",R$2:R$496,"Yes",'1'!$B$2:$B$496,"*microscopy*")</f>
        <v>20</v>
      </c>
      <c r="BK3">
        <f>COUNTIFS($O$2:$O$496,"No",R$2:R$496,"Yes",'1'!$B$2:$B$496,"*mouse*")</f>
        <v>6</v>
      </c>
      <c r="BL3">
        <f>COUNTIFS($O$2:$O$496,"No",R$2:R$496,"Yes",'1'!$B$2:$B$496,"*protein expression*")</f>
        <v>3</v>
      </c>
      <c r="BM3">
        <f>COUNTIFS($O$2:$O$496,"No",R$2:R$496,"Yes",'1'!$B$2:$B$496,"*proteomics*")</f>
        <v>19</v>
      </c>
      <c r="BO3" s="1" t="s">
        <v>462</v>
      </c>
      <c r="BP3">
        <f>COUNTIF($P$2:$P$496,"*iLab*")</f>
        <v>9</v>
      </c>
      <c r="BQ3" s="1" t="s">
        <v>462</v>
      </c>
      <c r="BR3" s="61">
        <f>BP3/SUM($BP$2:$BP$8)*100</f>
        <v>9.2783505154639183</v>
      </c>
      <c r="BS3" s="61"/>
      <c r="BT3">
        <f>COUNTIFS($P$2:$P$496,"*iLab*",'1'!$F$2:$F$496,"*staff*")</f>
        <v>4</v>
      </c>
      <c r="BU3">
        <f>COUNTIFS($P$2:$P$496,"*iLab*",'1'!$F$2:$F$496,"*both*")</f>
        <v>5</v>
      </c>
      <c r="BV3">
        <f>COUNTIFS($P$2:$P$496,"*iLab*",'1'!$F$2:$F$496,"*users work*")</f>
        <v>0</v>
      </c>
      <c r="BW3">
        <f>COUNTIFS($P$2:$P$496,"*iLab*",'1'!$B$2:$B$496,"*flow cytometry*")</f>
        <v>2</v>
      </c>
      <c r="BX3">
        <f>COUNTIFS($P$2:$P$496,"*iLab*",'1'!$B$2:$B$496,"*genomics*")</f>
        <v>2</v>
      </c>
      <c r="BY3">
        <f>COUNTIFS($P$2:$P$496,"*iLab*",'1'!$B$2:$B$496,"*histology*")</f>
        <v>0</v>
      </c>
      <c r="BZ3">
        <f>COUNTIFS($P$2:$P$496,"*iLab*",'1'!$B$2:$B$496,"*metabolomics*")</f>
        <v>1</v>
      </c>
      <c r="CA3">
        <f>COUNTIFS($P$2:$P$496,"*iLab*",'1'!$B$2:$B$496,"*microscopy*")</f>
        <v>0</v>
      </c>
      <c r="CB3" s="12">
        <f>COUNTIFS($P$2:$P$496,"*iLab*",'1'!$B$2:$B$496,"*mouse*")</f>
        <v>0</v>
      </c>
      <c r="CC3">
        <f>COUNTIFS($P$2:$P$496,"*iLab*",'1'!$B$2:$B$496,"*protein expression*")</f>
        <v>1</v>
      </c>
      <c r="CD3">
        <f>COUNTIFS($P$2:$P$496,"*iLab*",'1'!$B$2:$B$496,"*proteomics*")</f>
        <v>3</v>
      </c>
      <c r="CF3" s="1" t="s">
        <v>246</v>
      </c>
      <c r="CG3" s="1">
        <f>COUNTIFS(O$2:O$496,"Yes",L$2:L$496,"No")</f>
        <v>44</v>
      </c>
      <c r="CI3" s="1" t="s">
        <v>246</v>
      </c>
      <c r="CJ3" s="1">
        <f>COUNTIFS(O$2:O$496,"No",L$2:L$496,"No")</f>
        <v>129</v>
      </c>
      <c r="CL3" s="1" t="s">
        <v>246</v>
      </c>
      <c r="CM3">
        <f>COUNTIF(R$2:R$496,"No")</f>
        <v>109</v>
      </c>
      <c r="CO3" s="1" t="s">
        <v>3732</v>
      </c>
      <c r="CP3" s="1">
        <f>COUNTIF(T$2:T$496,"*heterogeneity*")+COUNTIF(T$2:T$496,"*complexity*")+COUNTIF(T$2:T$496,"*customisation*")</f>
        <v>19</v>
      </c>
    </row>
    <row r="4" spans="1:96" s="1" customFormat="1" x14ac:dyDescent="0.2">
      <c r="A4" s="1">
        <v>3</v>
      </c>
      <c r="B4" s="1" t="s">
        <v>122</v>
      </c>
      <c r="C4" s="39" t="s">
        <v>84</v>
      </c>
      <c r="D4" s="39" t="s">
        <v>84</v>
      </c>
      <c r="E4" s="39"/>
      <c r="F4" s="39"/>
      <c r="G4" s="39"/>
      <c r="H4" s="39" t="s">
        <v>82</v>
      </c>
      <c r="I4" s="39"/>
      <c r="J4" s="39"/>
      <c r="K4" s="39"/>
      <c r="L4" s="1" t="s">
        <v>82</v>
      </c>
      <c r="N4" s="21"/>
      <c r="O4" s="1" t="s">
        <v>82</v>
      </c>
      <c r="R4" s="1" t="s">
        <v>84</v>
      </c>
      <c r="S4" s="7" t="s">
        <v>123</v>
      </c>
      <c r="T4" s="21"/>
      <c r="V4" s="1" t="s">
        <v>978</v>
      </c>
      <c r="W4" s="1">
        <f>COUNTIF($E$2:$E$496,"Yes")</f>
        <v>176</v>
      </c>
      <c r="X4" s="1">
        <f>COUNTIFS($E$2:$E$496,"Yes",'1'!$F$2:$F$496,"*staff*")</f>
        <v>60</v>
      </c>
      <c r="Y4" s="1">
        <f>COUNTIFS($E$2:$E$496,"Yes",'1'!$F$2:$F$496,"*both*")</f>
        <v>108</v>
      </c>
      <c r="Z4" s="1">
        <f>COUNTIFS($E$2:$E$496,"Yes",'1'!$F$2:$F$496,"*users work*")</f>
        <v>8</v>
      </c>
      <c r="AA4" s="1">
        <f>COUNTIFS($E$2:$E$496,"Yes",'1'!$B$2:$B$496,"*flow cytometry*")</f>
        <v>29</v>
      </c>
      <c r="AB4" s="1">
        <f>COUNTIFS($E$2:$E$496,"Yes",'1'!$B$2:$B$496,"*genomics*")</f>
        <v>24</v>
      </c>
      <c r="AC4" s="1">
        <f>COUNTIFS($E$2:$E$496,"Yes",'1'!$B$2:$B$496,"*histology*")</f>
        <v>6</v>
      </c>
      <c r="AD4" s="1">
        <f>COUNTIFS($E$2:$E$496,"Yes",'1'!$B$2:$B$496,"*metabolomics*")</f>
        <v>4</v>
      </c>
      <c r="AE4" s="1">
        <f>COUNTIFS($E$2:$E$496,"Yes",'1'!$B$2:$B$496,"*microscopy*")</f>
        <v>36</v>
      </c>
      <c r="AF4" s="1">
        <f>COUNTIFS($E$2:$E$496,"Yes",'1'!$B$2:$B$496,"*mouse*")</f>
        <v>9</v>
      </c>
      <c r="AG4" s="1">
        <f>COUNTIFS($E$2:$E$496,"Yes",'1'!$B$2:$B$496,"*protein expression*")</f>
        <v>7</v>
      </c>
      <c r="AH4" s="1">
        <f>COUNTIFS($E$2:$E$496,"Yes",'1'!$B$2:$B$496,"*proteomics*")</f>
        <v>26</v>
      </c>
      <c r="AJ4"/>
      <c r="AK4">
        <f>SUM(AK2:AK3)</f>
        <v>276</v>
      </c>
      <c r="AL4"/>
      <c r="AM4"/>
      <c r="AN4"/>
      <c r="AO4"/>
      <c r="AP4"/>
      <c r="AQ4"/>
      <c r="AR4"/>
      <c r="AS4"/>
      <c r="AT4"/>
      <c r="AU4"/>
      <c r="AV4"/>
      <c r="AW4"/>
      <c r="AX4" t="s">
        <v>3688</v>
      </c>
      <c r="AY4">
        <f>COUNTIF(N$2:N$496,"*read*")+COUNTIF(N$2:N$496,"*cooperation*")</f>
        <v>13</v>
      </c>
      <c r="BA4" s="11" t="s">
        <v>4231</v>
      </c>
      <c r="BB4" s="9">
        <f>COUNTIFS(O$2:O$496,"No",R$2:R$496,"No")</f>
        <v>102</v>
      </c>
      <c r="BC4">
        <f>COUNTIFS($O$2:$O$496,"No",R$2:R$496,"No",'1'!$F$2:$F$496,"*staff*")</f>
        <v>20</v>
      </c>
      <c r="BD4">
        <f>COUNTIFS($O$2:$O$496,"No",R$2:R$496,"No",'1'!$F$2:$F$496,"*both*")</f>
        <v>68</v>
      </c>
      <c r="BE4">
        <f>COUNTIFS($O$2:$O$496,"No",R$2:R$496,"No",'1'!$F$2:$F$496,"*users work*")</f>
        <v>14</v>
      </c>
      <c r="BF4">
        <f>COUNTIFS($O$2:$O$496,"No",R$2:R$496,"No",'1'!$B$2:$B$496,"*flow cytometry*")</f>
        <v>18</v>
      </c>
      <c r="BG4">
        <f>COUNTIFS($O$2:$O$496,"No",R$2:R$496,"No",'1'!$B$2:$B$496,"*genomics*")</f>
        <v>6</v>
      </c>
      <c r="BH4">
        <f>COUNTIFS($O$2:$O$496,"No",R$2:R$496,"No",'1'!$B$2:$B$496,"*histology*")</f>
        <v>4</v>
      </c>
      <c r="BI4">
        <f>COUNTIFS($O$2:$O$496,"No",R$2:R$496,"No",'1'!$B$2:$B$496,"*metabolomics*")</f>
        <v>4</v>
      </c>
      <c r="BJ4">
        <f>COUNTIFS($O$2:$O$496,"No",R$2:R$496,"No",'1'!$B$2:$B$496,"*microscopy*")</f>
        <v>30</v>
      </c>
      <c r="BK4">
        <f>COUNTIFS($O$2:$O$496,"No",R$2:R$496,"No",'1'!$B$2:$B$496,"*mouse*")</f>
        <v>8</v>
      </c>
      <c r="BL4">
        <f>COUNTIFS($O$2:$O$496,"No",R$2:R$496,"No",'1'!$B$2:$B$496,"*protein expression*")</f>
        <v>2</v>
      </c>
      <c r="BM4">
        <f>COUNTIFS($O$2:$O$496,"No",R$2:R$496,"No",'1'!$B$2:$B$496,"*proteomics*")</f>
        <v>5</v>
      </c>
      <c r="BO4" s="1" t="s">
        <v>1933</v>
      </c>
      <c r="BP4">
        <f>COUNTIF($P$2:$P$496,"*IRIS*")</f>
        <v>8</v>
      </c>
      <c r="BQ4" s="1" t="s">
        <v>1933</v>
      </c>
      <c r="BR4" s="61">
        <f>BP4/SUM($BP$2:$BP$8)*100</f>
        <v>8.2474226804123703</v>
      </c>
      <c r="BS4" s="61"/>
      <c r="BT4">
        <f>COUNTIFS($P$2:$P$496,"*IRIS*",'1'!$F$2:$F$496,"*staff*")</f>
        <v>5</v>
      </c>
      <c r="BU4">
        <f>COUNTIFS($P$2:$P$496,"*IRIS*",'1'!$F$2:$F$496,"*both*")</f>
        <v>3</v>
      </c>
      <c r="BV4">
        <f>COUNTIFS($P$2:$P$496,"*IRIS*",'1'!$F$2:$F$496,"*users work*")</f>
        <v>0</v>
      </c>
      <c r="BW4">
        <f>COUNTIFS($P$2:$P$496,"*IRIS*",'1'!$B$2:$B$496,"*flow cytometry*")</f>
        <v>3</v>
      </c>
      <c r="BX4">
        <f>COUNTIFS($P$2:$P$496,"*IRIS*",'1'!$B$2:$B$496,"*genomics*")</f>
        <v>0</v>
      </c>
      <c r="BY4">
        <f>COUNTIFS($P$2:$P$496,"*IRIS*",'1'!$B$2:$B$496,"*histology*")</f>
        <v>1</v>
      </c>
      <c r="BZ4">
        <f>COUNTIFS($P$2:$P$496,"*IRIS*",'1'!$B$2:$B$496,"*metabolomics*")</f>
        <v>1</v>
      </c>
      <c r="CA4">
        <f>COUNTIFS($P$2:$P$496,"*IRIS*",'1'!$B$2:$B$496,"*microscopy*")</f>
        <v>2</v>
      </c>
      <c r="CB4">
        <f>COUNTIFS($P$2:$P$496,"*IRIS*",'1'!$B$2:$B$496,"*mouse*")</f>
        <v>0</v>
      </c>
      <c r="CC4">
        <f>COUNTIFS($P$2:$P$496,"*IRIS*",'1'!$B$2:$B$496,"*protein expression*")</f>
        <v>1</v>
      </c>
      <c r="CD4">
        <f>COUNTIFS($P$2:$P$496,"*IRIS*",'1'!$B$2:$B$496,"*proteomics*")</f>
        <v>0</v>
      </c>
      <c r="CM4" s="1">
        <f>SUM(CM2:CM3)</f>
        <v>209</v>
      </c>
      <c r="CO4" s="1" t="s">
        <v>4023</v>
      </c>
      <c r="CP4" s="1">
        <f>COUNTIF(T$2:T$496,"*implementation*")+COUNTIF(T$2:T$496,"*maintenance*")</f>
        <v>12</v>
      </c>
    </row>
    <row r="5" spans="1:96" s="1" customFormat="1" x14ac:dyDescent="0.2">
      <c r="A5" s="1">
        <v>4</v>
      </c>
      <c r="B5" s="1" t="s">
        <v>139</v>
      </c>
      <c r="C5" s="39" t="s">
        <v>84</v>
      </c>
      <c r="D5" s="39" t="s">
        <v>84</v>
      </c>
      <c r="E5" s="39" t="s">
        <v>84</v>
      </c>
      <c r="F5" s="39" t="s">
        <v>84</v>
      </c>
      <c r="G5" s="39" t="s">
        <v>84</v>
      </c>
      <c r="H5" s="39" t="s">
        <v>82</v>
      </c>
      <c r="I5" s="39"/>
      <c r="J5" s="39"/>
      <c r="K5" s="39"/>
      <c r="L5" s="1" t="s">
        <v>82</v>
      </c>
      <c r="N5" s="21"/>
      <c r="O5" s="1" t="s">
        <v>82</v>
      </c>
      <c r="R5" s="1" t="s">
        <v>82</v>
      </c>
      <c r="S5" s="7"/>
      <c r="T5" s="21"/>
      <c r="V5" s="1" t="s">
        <v>981</v>
      </c>
      <c r="W5" s="1">
        <f>COUNTIF($I$2:$I$496,"Yes")</f>
        <v>122</v>
      </c>
      <c r="X5" s="1">
        <f>COUNTIFS($I$2:$I$496,"Yes",'1'!$F$2:$F$496,"*staff*")</f>
        <v>29</v>
      </c>
      <c r="Y5" s="1">
        <f>COUNTIFS($I$2:$I$496,"Yes",'1'!$F$2:$F$496,"*both*")</f>
        <v>85</v>
      </c>
      <c r="Z5" s="1">
        <f>COUNTIFS($I$2:$I$496,"Yes",'1'!$F$2:$F$496,"*users work*")</f>
        <v>8</v>
      </c>
      <c r="AA5" s="1">
        <f>COUNTIFS($I$2:$I$496,"Yes",'1'!$B$2:$B$496,"*flow cytometry*")</f>
        <v>27</v>
      </c>
      <c r="AB5" s="1">
        <f>COUNTIFS($I$2:$I$496,"Yes",'1'!$B$2:$B$496,"*genomics*")</f>
        <v>17</v>
      </c>
      <c r="AC5" s="1">
        <f>COUNTIFS($I$2:$I$496,"Yes",'1'!$B$2:$B$496,"*histology*")</f>
        <v>5</v>
      </c>
      <c r="AD5" s="1">
        <f>COUNTIFS($I$2:$I$496,"Yes",'1'!$B$2:$B$496,"*metabolomics*")</f>
        <v>4</v>
      </c>
      <c r="AE5" s="1">
        <f>COUNTIFS($I$2:$I$496,"Yes",'1'!$B$2:$B$496,"*microscopy*")</f>
        <v>31</v>
      </c>
      <c r="AF5" s="1">
        <f>COUNTIFS($I$2:$I$496,"Yes",'1'!$B$2:$B$496,"*mouse*")</f>
        <v>3</v>
      </c>
      <c r="AG5" s="1">
        <f>COUNTIFS($I$2:$I$496,"Yes",'1'!$B$2:$B$496,"*protein expression*")</f>
        <v>6</v>
      </c>
      <c r="AH5" s="1">
        <f>COUNTIFS($I$2:$I$496,"Yes",'1'!$B$2:$B$496,"*proteomics*")</f>
        <v>10</v>
      </c>
      <c r="AJ5"/>
      <c r="AK5"/>
      <c r="AL5"/>
      <c r="AM5"/>
      <c r="AN5"/>
      <c r="AO5"/>
      <c r="AP5"/>
      <c r="AQ5"/>
      <c r="AR5"/>
      <c r="AS5"/>
      <c r="AT5"/>
      <c r="AU5"/>
      <c r="AV5"/>
      <c r="AW5"/>
      <c r="AX5" s="1" t="s">
        <v>3680</v>
      </c>
      <c r="AY5">
        <f>COUNTIF(N$2:N$496,"*seminar*")</f>
        <v>7</v>
      </c>
      <c r="BA5" s="11"/>
      <c r="BB5" s="11">
        <f>SUM(BB2:BB4)</f>
        <v>275</v>
      </c>
      <c r="BC5" s="11"/>
      <c r="BD5" s="11"/>
      <c r="BE5" s="11"/>
      <c r="BO5" s="1" t="s">
        <v>1934</v>
      </c>
      <c r="BP5">
        <f>COUNTIF($P$2:$P$496,"*Slack*")</f>
        <v>6</v>
      </c>
      <c r="BQ5" s="1" t="s">
        <v>1934</v>
      </c>
      <c r="BR5" s="61">
        <f t="shared" ref="BR5:BR9" si="0">BP5/SUM($BP$2:$BP$8)*100</f>
        <v>6.1855670103092786</v>
      </c>
      <c r="BS5" s="61"/>
      <c r="BT5">
        <f>COUNTIFS($P$2:$P$496,"*Slack*",'1'!$F$2:$F$496,"*staff*")</f>
        <v>2</v>
      </c>
      <c r="BU5">
        <f>COUNTIFS($P$2:$P$496,"*Slack*",'1'!$F$2:$F$496,"*both*")</f>
        <v>4</v>
      </c>
      <c r="BV5">
        <f>COUNTIFS($P$2:$P$496,"*Slack*",'1'!$F$2:$F$496,"*users work*")</f>
        <v>0</v>
      </c>
      <c r="BW5">
        <f>COUNTIFS($P$2:$P$496,"*Slack*",'1'!$B$2:$B$496,"*flow cytometry*")</f>
        <v>1</v>
      </c>
      <c r="BX5">
        <f>COUNTIFS($P$2:$P$496,"*Slack*",'1'!$B$2:$B$496,"*genomics*")</f>
        <v>1</v>
      </c>
      <c r="BY5">
        <f>COUNTIFS($P$2:$P$496,"*Slack*",'1'!$B$2:$B$496,"*histology*")</f>
        <v>0</v>
      </c>
      <c r="BZ5">
        <f>COUNTIFS($P$2:$P$496,"*Slack*",'1'!$B$2:$B$496,"*metabolomics*")</f>
        <v>0</v>
      </c>
      <c r="CA5">
        <f>COUNTIFS($P$2:$P$496,"*Slack*",'1'!$B$2:$B$496,"*microscopy*")</f>
        <v>2</v>
      </c>
      <c r="CB5">
        <f>COUNTIFS($P$2:$P$496,"*Slack*",'1'!$B$2:$B$496,"*mouse*")</f>
        <v>0</v>
      </c>
      <c r="CC5">
        <f>COUNTIFS($P$2:$P$496,"*Slack*",'1'!$B$2:$B$496,"*protein expression*")</f>
        <v>0</v>
      </c>
      <c r="CD5">
        <f>COUNTIFS($P$2:$P$496,"*Slack*",'1'!$B$2:$B$496,"*proteomics*")</f>
        <v>0</v>
      </c>
      <c r="CO5" s="1" t="s">
        <v>3728</v>
      </c>
      <c r="CP5" s="1">
        <f>COUNTIF(T$2:T$496,"*cost*")+COUNTIF(T$2:T$496,"*time*")</f>
        <v>11</v>
      </c>
    </row>
    <row r="6" spans="1:96" s="1" customFormat="1" x14ac:dyDescent="0.2">
      <c r="A6" s="1">
        <v>5</v>
      </c>
      <c r="B6" s="1" t="s">
        <v>152</v>
      </c>
      <c r="C6" s="39" t="s">
        <v>84</v>
      </c>
      <c r="D6" s="39" t="s">
        <v>84</v>
      </c>
      <c r="E6" s="39"/>
      <c r="F6" s="39"/>
      <c r="G6" s="39"/>
      <c r="H6" s="39" t="s">
        <v>82</v>
      </c>
      <c r="I6" s="39"/>
      <c r="J6" s="39"/>
      <c r="K6" s="39"/>
      <c r="L6" s="1" t="s">
        <v>82</v>
      </c>
      <c r="N6" s="21"/>
      <c r="O6" s="1" t="s">
        <v>82</v>
      </c>
      <c r="R6" s="1" t="s">
        <v>82</v>
      </c>
      <c r="S6" s="7"/>
      <c r="T6" s="21"/>
      <c r="V6" s="1" t="s">
        <v>980</v>
      </c>
      <c r="W6" s="1">
        <f>COUNTIF($F$2:$F$496,"Yes")</f>
        <v>110</v>
      </c>
      <c r="X6" s="1">
        <f>COUNTIFS($F$2:$F$496,"Yes",'1'!$F$2:$F$496,"*staff*")</f>
        <v>22</v>
      </c>
      <c r="Y6" s="1">
        <f>COUNTIFS($F$2:$F$496,"Yes",'1'!$F$2:$F$496,"*both*")</f>
        <v>75</v>
      </c>
      <c r="Z6" s="1">
        <f>COUNTIFS($F$2:$F$496,"Yes",'1'!$F$2:$F$496,"*users work*")</f>
        <v>13</v>
      </c>
      <c r="AA6" s="1">
        <f>COUNTIFS($F$2:$F$496,"Yes",'1'!$B$2:$B$496,"*flow cytometry*")</f>
        <v>18</v>
      </c>
      <c r="AB6" s="1">
        <f>COUNTIFS($F$2:$F$496,"Yes",'1'!$B$2:$B$496,"*genomics*")</f>
        <v>18</v>
      </c>
      <c r="AC6" s="1">
        <f>COUNTIFS($F$2:$F$496,"Yes",'1'!$B$2:$B$496,"*histology*")</f>
        <v>5</v>
      </c>
      <c r="AD6" s="1">
        <f>COUNTIFS($F$2:$F$496,"Yes",'1'!$B$2:$B$496,"*metabolomics*")</f>
        <v>3</v>
      </c>
      <c r="AE6" s="1">
        <f>COUNTIFS($F$2:$F$496,"Yes",'1'!$B$2:$B$496,"*microscopy*")</f>
        <v>36</v>
      </c>
      <c r="AF6" s="1">
        <f>COUNTIFS($F$2:$F$496,"Yes",'1'!$B$2:$B$496,"*mouse*")</f>
        <v>3</v>
      </c>
      <c r="AG6" s="1">
        <f>COUNTIFS($F$2:$F$496,"Yes",'1'!$B$2:$B$496,"*protein expression*")</f>
        <v>5</v>
      </c>
      <c r="AH6" s="1">
        <f>COUNTIFS($F$2:$F$496,"Yes",'1'!$B$2:$B$496,"*proteomics*")</f>
        <v>10</v>
      </c>
      <c r="AJ6"/>
      <c r="AK6"/>
      <c r="AL6"/>
      <c r="AM6"/>
      <c r="AN6"/>
      <c r="AO6"/>
      <c r="AP6"/>
      <c r="AQ6"/>
      <c r="AR6"/>
      <c r="AS6"/>
      <c r="AT6"/>
      <c r="AU6"/>
      <c r="AV6"/>
      <c r="AW6"/>
      <c r="AX6" s="1" t="s">
        <v>3682</v>
      </c>
      <c r="AY6">
        <f>COUNTIF(N$2:N$496,"*visibility*")+COUNTIF(N$2:N$496,"*advertis*")</f>
        <v>7</v>
      </c>
      <c r="BO6" s="1" t="s">
        <v>812</v>
      </c>
      <c r="BP6">
        <f>COUNTIF($P$2:$P$496,"*Agendo*")</f>
        <v>4</v>
      </c>
      <c r="BQ6" s="1" t="s">
        <v>812</v>
      </c>
      <c r="BR6" s="61">
        <f t="shared" si="0"/>
        <v>4.1237113402061851</v>
      </c>
      <c r="BS6" s="61"/>
      <c r="BT6">
        <f>COUNTIFS($P$2:$P$496,"*Agendo*",'1'!$F$2:$F$496,"*staff*")</f>
        <v>2</v>
      </c>
      <c r="BU6">
        <f>COUNTIFS($P$2:$P$496,"*Agendo*",'1'!$F$2:$F$496,"*both*")</f>
        <v>2</v>
      </c>
      <c r="BV6">
        <f>COUNTIFS($P$2:$P$496,"*Agendo*",'1'!$F$2:$F$496,"*users work*")</f>
        <v>0</v>
      </c>
      <c r="BW6">
        <f>COUNTIFS($P$2:$P$496,"*Agendo*",'1'!$B$2:$B$496,"*flow cytometry*")</f>
        <v>2</v>
      </c>
      <c r="BX6">
        <f>COUNTIFS($P$2:$P$496,"*Agendo*",'1'!$B$2:$B$496,"*genomics*")</f>
        <v>1</v>
      </c>
      <c r="BY6">
        <f>COUNTIFS($P$2:$P$496,"*Agendo*",'1'!$B$2:$B$496,"*histology*")</f>
        <v>0</v>
      </c>
      <c r="BZ6">
        <f>COUNTIFS($P$2:$P$496,"*Agendo*",'1'!$B$2:$B$496,"*metabolomics*")</f>
        <v>0</v>
      </c>
      <c r="CA6">
        <f>COUNTIFS($P$2:$P$496,"*Agendo*",'1'!$B$2:$B$496,"*microscopy*")</f>
        <v>0</v>
      </c>
      <c r="CB6">
        <f>COUNTIFS($P$2:$P$496,"*Agendo*",'1'!$B$2:$B$496,"*mouse*")</f>
        <v>0</v>
      </c>
      <c r="CC6">
        <f>COUNTIFS($P$2:$P$496,"*Agendo*",'1'!$B$2:$B$496,"*protein expression*")</f>
        <v>0</v>
      </c>
      <c r="CD6">
        <f>COUNTIFS($P$2:$P$496,"*Agendo*",'1'!$B$2:$B$496,"*proteomics*")</f>
        <v>1</v>
      </c>
      <c r="CO6" s="1" t="s">
        <v>1072</v>
      </c>
      <c r="CP6" s="1">
        <f>COUNTIF(T$2:T$496,"*protection*")</f>
        <v>10</v>
      </c>
    </row>
    <row r="7" spans="1:96" s="1" customFormat="1" x14ac:dyDescent="0.2">
      <c r="A7" s="1">
        <v>6</v>
      </c>
      <c r="B7" s="1" t="s">
        <v>162</v>
      </c>
      <c r="C7" s="39"/>
      <c r="D7" s="39" t="s">
        <v>84</v>
      </c>
      <c r="E7" s="39" t="s">
        <v>84</v>
      </c>
      <c r="F7" s="39"/>
      <c r="G7" s="39"/>
      <c r="H7" s="39" t="s">
        <v>82</v>
      </c>
      <c r="I7" s="39"/>
      <c r="J7" s="39"/>
      <c r="K7" s="39"/>
      <c r="L7" s="1" t="s">
        <v>82</v>
      </c>
      <c r="N7" s="21"/>
      <c r="O7" s="1" t="s">
        <v>82</v>
      </c>
      <c r="R7" s="1" t="s">
        <v>84</v>
      </c>
      <c r="S7" s="7" t="s">
        <v>163</v>
      </c>
      <c r="T7" s="21" t="s">
        <v>3713</v>
      </c>
      <c r="V7" s="1" t="s">
        <v>979</v>
      </c>
      <c r="W7" s="1">
        <f>COUNTIF($J$2:$J$496,"Yes")</f>
        <v>83</v>
      </c>
      <c r="X7" s="1">
        <f>COUNTIFS($J$2:$J$496,"Yes",'1'!$F$2:$F$496,"*staff*")</f>
        <v>13</v>
      </c>
      <c r="Y7" s="1">
        <f>COUNTIFS($J$2:$J$496,"Yes",'1'!$F$2:$F$496,"*both*")</f>
        <v>62</v>
      </c>
      <c r="Z7" s="1">
        <f>COUNTIFS($J$2:$J$496,"Yes",'1'!$F$2:$F$496,"*users work*")</f>
        <v>8</v>
      </c>
      <c r="AA7" s="1">
        <f>COUNTIFS($J$2:$J$496,"Yes",'1'!$B$2:$B$496,"*flow cytometry*")</f>
        <v>10</v>
      </c>
      <c r="AB7" s="1">
        <f>COUNTIFS($J$2:$J$496,"Yes",'1'!$B$2:$B$496,"*genomics*")</f>
        <v>9</v>
      </c>
      <c r="AC7" s="1">
        <f>COUNTIFS($J$2:$J$496,"Yes",'1'!$B$2:$B$496,"*histology*")</f>
        <v>3</v>
      </c>
      <c r="AD7" s="1">
        <f>COUNTIFS($J$2:$J$496,"Yes",'1'!$B$2:$B$496,"*metabolomics*")</f>
        <v>1</v>
      </c>
      <c r="AE7" s="1">
        <f>COUNTIFS($J$2:$J$496,"Yes",'1'!$B$2:$B$496,"*microscopy*")</f>
        <v>24</v>
      </c>
      <c r="AF7" s="1">
        <f>COUNTIFS($J$2:$J$496,"Yes",'1'!$B$2:$B$496,"*mouse*")</f>
        <v>3</v>
      </c>
      <c r="AG7" s="1">
        <f>COUNTIFS($J$2:$J$496,"Yes",'1'!$B$2:$B$496,"*protein expression*")</f>
        <v>3</v>
      </c>
      <c r="AH7" s="1">
        <f>COUNTIFS($J$2:$J$496,"Yes",'1'!$B$2:$B$496,"*proteomics*")</f>
        <v>7</v>
      </c>
      <c r="AX7" s="1" t="s">
        <v>3679</v>
      </c>
      <c r="AY7">
        <f>COUNTIF(N$2:N$496,"*website*")</f>
        <v>5</v>
      </c>
      <c r="BO7" s="1" t="s">
        <v>3401</v>
      </c>
      <c r="BP7">
        <f>COUNTIF(P$2:P$496,"*LIMS*")+COUNTIF('10'!$K$2:$K$496,"*LIMS*")+COUNTIF(P$2:P$496,"*ELN*")+COUNTIF('10'!$K$2:$K$496,"*ELN*")+COUNTIF('7b'!$M$2:$M$496,"*ELN*")</f>
        <v>33</v>
      </c>
      <c r="BQ7" s="1" t="s">
        <v>3401</v>
      </c>
      <c r="BR7" s="61">
        <f t="shared" si="0"/>
        <v>34.020618556701031</v>
      </c>
      <c r="BS7" s="61"/>
      <c r="BT7">
        <f>COUNTIFS($P$2:$P$496,"*LIMS*",'1'!$F$2:$F$496,"*staff*")+COUNTIFS('10'!$K$2:$K$496,"*LIMS*",'1'!$F$2:$F$496,"*staff*")+COUNTIFS($P$2:$P$496,"*ELN*",'1'!$F$2:$F$496,"*staff*")+COUNTIFS('10'!$K$2:$K$496,"*ELN*",'1'!$F$2:$F$496,"*staff*")+COUNTIFS('7b'!$M$2:$M$496,"*ELN*",'1'!$F$2:$F$496,"*staff*")</f>
        <v>16</v>
      </c>
      <c r="BU7">
        <f>COUNTIFS($P$2:$P$496,"*LIMS*",'1'!$F$2:$F$496,"*both*")+COUNTIFS('10'!$K$2:$K$496,"*LIMS*",'1'!$F$2:$F$496,"*both*")+COUNTIFS($P$2:$P$496,"*ELN*",'1'!$F$2:$F$496,"*both*")+COUNTIFS('10'!$K$2:$K$496,"*ELN*",'1'!$F$2:$F$496,"*both*")+COUNTIFS('7b'!$M$2:$M$496,"*ELN*",'1'!$F$2:$F$496,"*both*")</f>
        <v>14</v>
      </c>
      <c r="BV7">
        <f>COUNTIFS($P$2:$P$496,"*LIMS*",'1'!$F$2:$F$496,"*users work*")+COUNTIFS('10'!$K$2:$K$496,"*LIMS*",'1'!$F$2:$F$496,"*users work*")+COUNTIFS($P$2:$P$496,"*ELN*",'1'!$F$2:$F$496,"*users work*")+COUNTIFS('10'!$K$2:$K$496,"*ELN*",'1'!$F$2:$F$496,"*users work*")+COUNTIFS('7b'!$M$2:$M$496,"*ELN*",'1'!$F$2:$F$496,"*users work*")</f>
        <v>3</v>
      </c>
      <c r="BW7">
        <f>COUNTIFS($P$2:$P$496,"*LIMS*",'1'!$B$2:$B$496,"*flow cytometry*")+COUNTIFS('10'!$K$2:$K$496,"*LIMS*",'1'!$B$2:$B$496,"*flow cytometry*")+COUNTIFS($P$2:$P$496,"*ELN*",'1'!$B$2:$B$496,"*flow cytometry*")+COUNTIFS('10'!$K$2:$K$496,"*ELN*",'1'!$B$2:$B$496,"*flow cytometry*")+COUNTIFS('7b'!$M$2:$M$496,"*ELN*",'1'!$B$2:$B$496,"*flow cytometry*")</f>
        <v>0</v>
      </c>
      <c r="BX7" s="12">
        <f>COUNTIFS($P$2:$P$496,"*LIMS*",'1'!$B$2:$B$496,"*genomics*")+COUNTIFS('10'!$K$2:$K$496,"*LIMS*",'1'!$B$2:$B$496,"*genomics*")+COUNTIFS($P$2:$P$496,"*ELN*",'1'!$B$2:$B$496,"*genomics*")+COUNTIFS('10'!$K$2:$K$496,"*ELN*",'1'!$B$2:$B$496,"*genomics*")+COUNTIFS('7b'!$M$2:$M$496,"*ELN*",'1'!$B$2:$B$496,"*genomics*")</f>
        <v>14</v>
      </c>
      <c r="BY7">
        <f>COUNTIFS($P$2:$P$496,"*LIMS*",'1'!$B$2:$B$496,"*histology*")+COUNTIFS('10'!$K$2:$K$496,"*LIMS*",'1'!$B$2:$B$496,"*histology*")+COUNTIFS($P$2:$P$496,"*ELN*",'1'!$B$2:$B$496,"*histology*")+COUNTIFS('10'!$K$2:$K$496,"*ELN*",'1'!$B$2:$B$496,"*histology*")+COUNTIFS('7b'!$M$2:$M$496,"*ELN*",'1'!$B$2:$B$496,"*histology*")</f>
        <v>2</v>
      </c>
      <c r="BZ7">
        <f>COUNTIFS($P$2:$P$496,"*LIMS*",'1'!$B$2:$B$496,"*metabolomics*")+COUNTIFS('10'!$K$2:$K$496,"*LIMS*",'1'!$B$2:$B$496,"*metabolomics*")+COUNTIFS($P$2:$P$496,"*ELN*",'1'!$B$2:$B$496,"*metabolomics*")+COUNTIFS('10'!$K$2:$K$496,"*ELN*",'1'!$B$2:$B$496,"*metabolomics*")+COUNTIFS('7b'!$M$2:$M$496,"*ELN*",'1'!$B$2:$B$496,"*metabolomics*")</f>
        <v>2</v>
      </c>
      <c r="CA7">
        <f>COUNTIFS($P$2:$P$496,"*LIMS*",'1'!$B$2:$B$496,"*microscopy*")+COUNTIFS('10'!$K$2:$K$496,"*LIMS*",'1'!$B$2:$B$496,"*microscopy*")+COUNTIFS($P$2:$P$496,"*ELN*",'1'!$B$2:$B$496,"*microscopy*")+COUNTIFS('10'!$K$2:$K$496,"*ELN*",'1'!$B$2:$B$496,"*microscopy*")+COUNTIFS('7b'!$M$2:$M$496,"*ELN*",'1'!$B$2:$B$496,"*microscopy*")</f>
        <v>2</v>
      </c>
      <c r="CB7">
        <f>COUNTIFS($P$2:$P$496,"*LIMS*",'1'!$B$2:$B$496,"*mouse*")+COUNTIFS('10'!$K$2:$K$496,"*LIMS*",'1'!$B$2:$B$496,"*mouse*")+COUNTIFS($P$2:$P$496,"*ELN*",'1'!$B$2:$B$496,"*mouse*")+COUNTIFS('10'!$K$2:$K$496,"*ELN*",'1'!$B$2:$B$496,"*mouse*")+COUNTIFS('7b'!$M$2:$M$496,"*ELN*",'1'!$B$2:$B$496,"*mouse*")</f>
        <v>0</v>
      </c>
      <c r="CC7">
        <f>COUNTIFS($P$2:$P$496,"*LIMS*",'1'!$B$2:$B$496,"*protein expression*")+COUNTIFS('10'!$K$2:$K$496,"*LIMS*",'1'!$B$2:$B$496,"*protein expression*")+COUNTIFS($P$2:$P$496,"*ELN*",'1'!$B$2:$B$496,"*protein expression*")+COUNTIFS('10'!$K$2:$K$496,"*ELN*",'1'!$B$2:$B$496,"*protein expression*")+COUNTIFS('7b'!$M$2:$M$496,"*ELN*",'1'!$B$2:$B$496,"*protein expression*")</f>
        <v>2</v>
      </c>
      <c r="CD7">
        <f>COUNTIFS($P$2:$P$496,"*LIMS*",'1'!$B$2:$B$496,"*proteomics*")+COUNTIFS('10'!$K$2:$K$496,"*LIMS*",'1'!$B$2:$B$496,"*proteomics*")+COUNTIFS($P$2:$P$496,"*ELN*",'1'!$B$2:$B$496,"*proteomics*")+COUNTIFS('10'!$K$2:$K$496,"*ELN*",'1'!$B$2:$B$496,"*proteomics*")+COUNTIFS('7b'!$M$2:$M$496,"*ELN*",'1'!$B$2:$B$496,"*proteomics*")</f>
        <v>2</v>
      </c>
      <c r="CO7" s="1" t="s">
        <v>3730</v>
      </c>
      <c r="CP7" s="1">
        <f>COUNTIF(T$2:T$496,"*discussion*")</f>
        <v>8</v>
      </c>
    </row>
    <row r="8" spans="1:96" s="1" customFormat="1" ht="25.5" x14ac:dyDescent="0.2">
      <c r="A8" s="1">
        <v>7</v>
      </c>
      <c r="B8" s="1" t="s">
        <v>179</v>
      </c>
      <c r="C8" s="39" t="s">
        <v>84</v>
      </c>
      <c r="D8" s="39" t="s">
        <v>84</v>
      </c>
      <c r="E8" s="39" t="s">
        <v>84</v>
      </c>
      <c r="F8" s="39" t="s">
        <v>84</v>
      </c>
      <c r="G8" s="39"/>
      <c r="H8" s="39" t="s">
        <v>82</v>
      </c>
      <c r="I8" s="39"/>
      <c r="J8" s="39"/>
      <c r="K8" s="39"/>
      <c r="L8" s="1" t="s">
        <v>82</v>
      </c>
      <c r="O8" s="1" t="s">
        <v>82</v>
      </c>
      <c r="R8" s="1" t="s">
        <v>84</v>
      </c>
      <c r="S8" s="7"/>
      <c r="T8" s="21"/>
      <c r="V8" s="1" t="s">
        <v>1113</v>
      </c>
      <c r="W8" s="1">
        <f>COUNTIF($H$2:$H$496,"Yes")</f>
        <v>70</v>
      </c>
      <c r="X8" s="1">
        <f>COUNTIFS($H$2:$H$496,"Yes",'1'!$F$2:$F$496,"*staff*")</f>
        <v>26</v>
      </c>
      <c r="Y8" s="1">
        <f>COUNTIFS($H$2:$H$496,"Yes",'1'!$F$2:$F$496,"*both*")</f>
        <v>37</v>
      </c>
      <c r="Z8" s="1">
        <f>COUNTIFS($H$2:$H$496,"Yes",'1'!$F$2:$F$496,"*users work*")</f>
        <v>7</v>
      </c>
      <c r="AA8" s="1">
        <f>COUNTIFS($H$2:$H$496,"Yes",'1'!$B$2:$B$496,"*flow cytometry*")</f>
        <v>13</v>
      </c>
      <c r="AB8" s="1">
        <f>COUNTIFS($H$2:$H$496,"Yes",'1'!$B$2:$B$496,"*genomics*")</f>
        <v>12</v>
      </c>
      <c r="AC8" s="1">
        <f>COUNTIFS($H$2:$H$496,"Yes",'1'!$B$2:$B$496,"*histology*")</f>
        <v>3</v>
      </c>
      <c r="AD8" s="1">
        <f>COUNTIFS($H$2:$H$496,"Yes",'1'!$B$2:$B$496,"*metabolomics*")</f>
        <v>3</v>
      </c>
      <c r="AE8" s="1">
        <f>COUNTIFS($H$2:$H$496,"Yes",'1'!$B$2:$B$496,"*microscopy*")</f>
        <v>12</v>
      </c>
      <c r="AF8" s="1">
        <f>COUNTIFS($H$2:$H$496,"Yes",'1'!$B$2:$B$496,"*mouse*")</f>
        <v>2</v>
      </c>
      <c r="AG8" s="1">
        <f>COUNTIFS($H$2:$H$496,"Yes",'1'!$B$2:$B$496,"*protein expression*")</f>
        <v>3</v>
      </c>
      <c r="AH8" s="1">
        <f>COUNTIFS($H$2:$H$496,"Yes",'1'!$B$2:$B$496,"*proteomics*")</f>
        <v>11</v>
      </c>
      <c r="AX8" t="s">
        <v>3676</v>
      </c>
      <c r="AY8">
        <f>COUNTIF(N$2:N$496,"*staff*")+COUNTIF(N$2:N$496,"*time*")</f>
        <v>4</v>
      </c>
      <c r="BO8" s="1" t="s">
        <v>702</v>
      </c>
      <c r="BP8">
        <f>COUNTIF($P$2:$P$496,"*other*")</f>
        <v>24</v>
      </c>
      <c r="BQ8" s="1" t="s">
        <v>702</v>
      </c>
      <c r="BR8" s="61">
        <f t="shared" si="0"/>
        <v>24.742268041237114</v>
      </c>
      <c r="BS8" s="61"/>
      <c r="BT8">
        <f>COUNTIFS($P$2:$P$496,"*other*",'1'!$F$2:$F$496,"*staff*")</f>
        <v>10</v>
      </c>
      <c r="BU8">
        <f>COUNTIFS($P$2:$P$496,"*other*",'1'!$F$2:$F$496,"*both*")</f>
        <v>12</v>
      </c>
      <c r="BV8">
        <f>COUNTIFS($P$2:$P$496,"*other*",'1'!$F$2:$F$496,"*users work*")</f>
        <v>2</v>
      </c>
      <c r="BW8">
        <f>COUNTIFS($P$2:$P$496,"*other*",'1'!$B$2:$B$496,"*flow cytometry*")</f>
        <v>2</v>
      </c>
      <c r="BX8">
        <f>COUNTIFS($P$2:$P$496,"*other*",'1'!$B$2:$B$496,"*genomics*")</f>
        <v>5</v>
      </c>
      <c r="BY8">
        <f>COUNTIFS($P$2:$P$496,"*other*",'1'!$B$2:$B$496,"*histology*")</f>
        <v>0</v>
      </c>
      <c r="BZ8">
        <f>COUNTIFS($P$2:$P$496,"*other*",'1'!$B$2:$B$496,"*metabolomics*")</f>
        <v>0</v>
      </c>
      <c r="CA8">
        <f>COUNTIFS($P$2:$P$496,"*other*",'1'!$B$2:$B$496,"*microscopy*")</f>
        <v>4</v>
      </c>
      <c r="CB8">
        <f>COUNTIFS($P$2:$P$496,"*other*",'1'!$B$2:$B$496,"*mouse*")</f>
        <v>2</v>
      </c>
      <c r="CC8">
        <f>COUNTIFS($P$2:$P$496,"*other*",'1'!$B$2:$B$496,"*protein expression*")</f>
        <v>0</v>
      </c>
      <c r="CD8">
        <f>COUNTIFS($P$2:$P$496,"*other*",'1'!$B$2:$B$496,"*proteomics*")</f>
        <v>5</v>
      </c>
    </row>
    <row r="9" spans="1:96" s="1" customFormat="1" x14ac:dyDescent="0.2">
      <c r="A9" s="1">
        <v>8</v>
      </c>
      <c r="B9" s="1" t="s">
        <v>196</v>
      </c>
      <c r="C9" s="39"/>
      <c r="D9" s="39"/>
      <c r="E9" s="39"/>
      <c r="F9" s="39"/>
      <c r="G9" s="39"/>
      <c r="H9" s="39" t="s">
        <v>84</v>
      </c>
      <c r="I9" s="39"/>
      <c r="J9" s="39"/>
      <c r="K9" s="39"/>
      <c r="L9" s="1" t="s">
        <v>82</v>
      </c>
      <c r="N9" s="21"/>
      <c r="O9" s="39" t="s">
        <v>84</v>
      </c>
      <c r="P9" s="1" t="s">
        <v>3933</v>
      </c>
      <c r="Q9" s="19" t="s">
        <v>197</v>
      </c>
      <c r="R9" s="1" t="s">
        <v>80</v>
      </c>
      <c r="S9" s="7"/>
      <c r="T9" s="21"/>
      <c r="V9" s="1" t="s">
        <v>982</v>
      </c>
      <c r="W9" s="1">
        <f>COUNTIF($G$2:$G$496,"Yes")</f>
        <v>32</v>
      </c>
      <c r="X9" s="1">
        <f>COUNTIFS($G$2:$G$496,"Yes",'1'!$F$2:$F$496,"*staff*")</f>
        <v>7</v>
      </c>
      <c r="Y9" s="1">
        <f>COUNTIFS($G$2:$G$496,"Yes",'1'!$F$2:$F$496,"*both*")</f>
        <v>22</v>
      </c>
      <c r="Z9" s="1">
        <f>COUNTIFS($G$2:$G$496,"Yes",'1'!$F$2:$F$496,"*users work*")</f>
        <v>3</v>
      </c>
      <c r="AA9" s="1">
        <f>COUNTIFS($G$2:$G$496,"Yes",'1'!$B$2:$B$496,"*flow cytometry*")</f>
        <v>7</v>
      </c>
      <c r="AB9" s="1">
        <f>COUNTIFS($G$2:$G$496,"Yes",'1'!$B$2:$B$496,"*genomics*")</f>
        <v>5</v>
      </c>
      <c r="AC9" s="1">
        <f>COUNTIFS($G$2:$G$496,"Yes",'1'!$B$2:$B$496,"*histology*")</f>
        <v>2</v>
      </c>
      <c r="AD9" s="1">
        <f>COUNTIFS($G$2:$G$496,"Yes",'1'!$B$2:$B$496,"*metabolomics*")</f>
        <v>1</v>
      </c>
      <c r="AE9" s="1">
        <f>COUNTIFS($G$2:$G$496,"Yes",'1'!$B$2:$B$496,"*microscopy*")</f>
        <v>8</v>
      </c>
      <c r="AF9" s="1">
        <f>COUNTIFS($G$2:$G$496,"Yes",'1'!$B$2:$B$496,"*mouse*")</f>
        <v>0</v>
      </c>
      <c r="AG9" s="1">
        <f>COUNTIFS($G$2:$G$496,"Yes",'1'!$B$2:$B$496,"*protein expression*")</f>
        <v>1</v>
      </c>
      <c r="AH9" s="1">
        <f>COUNTIFS($G$2:$G$496,"Yes",'1'!$B$2:$B$496,"*proteomics*")</f>
        <v>2</v>
      </c>
      <c r="AX9" t="s">
        <v>3677</v>
      </c>
      <c r="AY9">
        <f>COUNTIF(N$2:N$496,"*feedback*")</f>
        <v>4</v>
      </c>
      <c r="BO9" s="1" t="s">
        <v>4021</v>
      </c>
      <c r="BP9">
        <f>COUNTIFS($P$2:$P$496,"*PPMS*",P$2:P$496,"*LIMS*")+COUNTIFS($P$2:$P$496,"*PPMS*",'10'!$K$2:$K$496,"*LIMS*")+COUNTIFS($P$2:$P$496,"*PPMS*",P$2:P$496,"*ELN*")+COUNTIFS($P$2:$P$496,"*PPMS*",'10'!$K$2:$K$496,"*ELN*")+COUNTIFS($P$2:$P$496,"*PPMS*",'10'!$K$2:$K$496,"*ELN*")+COUNTIFS($P$2:$P$496,"*iLab*",P$2:P$496,"*LIMS*")+COUNTIFS($P$2:$P$496,"*iLab*",'10'!$K$2:$K$496,"*LIMS*")+COUNTIFS($P$2:$P$496,"*iLab*",P$2:P$496,"*ELN*")+COUNTIFS($P$2:$P$496,"*iLab*",'10'!$K$2:$K$496,"*ELN*")+COUNTIFS($P$2:$P$496,"*iLab*",'7b'!$M$2:$M$496,"*ELN*")+COUNTIFS($P$2:$P$496,"*IRIS*",P$2:P$496,"*LIMS*")+COUNTIFS($P$2:$P$496,"*IRIS*",'10'!$K$2:$K$496,"*LIMS*")+COUNTIFS($P$2:$P$496,"*IRIS*",P$2:P$496,"*ELN*")+COUNTIFS($P$2:$P$496,"*IRIS*",'10'!$K$2:$K$496,"*ELN*")+COUNTIFS($P$2:$P$496,"*IRIS*",'7b'!$M$2:$M$496,"*ELN*")+COUNTIFS($P$2:$P$496,"*Agendo*",P$2:P$496,"*LIMS*")+COUNTIFS($P$2:$P$496,"*Agendo*",'10'!$K$2:$K$496,"*LIMS*")+COUNTIFS($P$2:$P$496,"*Agendo*",P$2:P$496,"*ELN*")+COUNTIFS($P$2:$P$496,"*Agendo*",'10'!$K$2:$K$496,"*ELN*")+COUNTIFS($P$2:$P$496,"*Agendo*",'7b'!$M$2:$M$496,"*ELN*")</f>
        <v>4</v>
      </c>
      <c r="BQ9"/>
      <c r="BR9" s="61">
        <f t="shared" si="0"/>
        <v>4.1237113402061851</v>
      </c>
    </row>
    <row r="10" spans="1:96" s="1" customFormat="1" ht="25.5" x14ac:dyDescent="0.2">
      <c r="A10" s="1">
        <v>9</v>
      </c>
      <c r="B10" s="1" t="s">
        <v>204</v>
      </c>
      <c r="C10" s="39"/>
      <c r="D10" s="39" t="s">
        <v>84</v>
      </c>
      <c r="E10" s="39"/>
      <c r="F10" s="39"/>
      <c r="G10" s="39"/>
      <c r="H10" s="39" t="s">
        <v>84</v>
      </c>
      <c r="I10" s="39"/>
      <c r="J10" s="39"/>
      <c r="K10" s="39"/>
      <c r="L10" s="1" t="s">
        <v>82</v>
      </c>
      <c r="N10" s="21"/>
      <c r="O10" s="1" t="s">
        <v>84</v>
      </c>
      <c r="P10" s="1" t="s">
        <v>205</v>
      </c>
      <c r="Q10" s="1" t="s">
        <v>2999</v>
      </c>
      <c r="R10" s="1" t="s">
        <v>80</v>
      </c>
      <c r="S10" s="7"/>
      <c r="T10" s="21"/>
      <c r="V10" s="1" t="s">
        <v>702</v>
      </c>
      <c r="W10" s="1">
        <f>COUNTIF($K$2:$K$496,"**")</f>
        <v>10</v>
      </c>
      <c r="X10" s="1">
        <f>COUNTIFS($K$2:$K$496,"**",'1'!$F$2:$F$496,"*staff*")</f>
        <v>0</v>
      </c>
      <c r="Y10" s="1">
        <f>COUNTIFS($K$2:$K$496,"**",'1'!$F$2:$F$496,"*both*")</f>
        <v>6</v>
      </c>
      <c r="Z10" s="1">
        <f>COUNTIFS($K$2:$K$496,"**",'1'!$F$2:$F$496,"*users work*")</f>
        <v>4</v>
      </c>
      <c r="AA10" s="1">
        <f>COUNTIFS($K$2:$K$496,"**",'1'!$B$2:$B$496,"*flow cytometry*")</f>
        <v>3</v>
      </c>
      <c r="AB10" s="1">
        <f>COUNTIFS($K$2:$K$496,"**",'1'!$B$2:$B$496,"*genomics*")</f>
        <v>0</v>
      </c>
      <c r="AC10" s="1">
        <f>COUNTIFS($K$2:$K$496,"**",'1'!$B$2:$B$496,"*histology*")</f>
        <v>2</v>
      </c>
      <c r="AD10" s="1">
        <f>COUNTIFS($K$2:$K$496,"**",'1'!$B$2:$B$496,"*metabolomics*")</f>
        <v>0</v>
      </c>
      <c r="AE10" s="1">
        <f>COUNTIFS($K$2:$K$496,"**",'1'!$B$2:$B$496,"*microscopy*")</f>
        <v>3</v>
      </c>
      <c r="AF10" s="1">
        <f>COUNTIFS($K$2:$K$496,"**",'1'!$B$2:$B$496,"*mouse*")</f>
        <v>0</v>
      </c>
      <c r="AG10" s="1">
        <f>COUNTIFS($K$2:$K$496,"**",'1'!$B$2:$B$496,"*protein expression*")</f>
        <v>0</v>
      </c>
      <c r="AH10" s="1">
        <f>COUNTIFS($K$2:$K$496,"**",'1'!$B$2:$B$496,"*proteomics*")</f>
        <v>0</v>
      </c>
      <c r="AX10" s="1" t="s">
        <v>3443</v>
      </c>
      <c r="AY10">
        <f>COUNTIF(N$2:N$496,"*automation*")</f>
        <v>4</v>
      </c>
      <c r="BP10"/>
      <c r="BQ10"/>
      <c r="BR10" s="61">
        <f>BR2+BR3+BR4+BR6</f>
        <v>35.051546391752581</v>
      </c>
    </row>
    <row r="11" spans="1:96" s="1" customFormat="1" x14ac:dyDescent="0.2">
      <c r="A11" s="1">
        <v>10</v>
      </c>
      <c r="B11" s="1" t="s">
        <v>223</v>
      </c>
      <c r="C11" s="39"/>
      <c r="D11" s="39"/>
      <c r="E11" s="39"/>
      <c r="F11" s="39" t="s">
        <v>84</v>
      </c>
      <c r="G11" s="39"/>
      <c r="H11" s="39" t="s">
        <v>82</v>
      </c>
      <c r="I11" s="39" t="s">
        <v>84</v>
      </c>
      <c r="J11" s="39"/>
      <c r="K11" s="39" t="s">
        <v>1928</v>
      </c>
      <c r="L11" s="1" t="s">
        <v>82</v>
      </c>
      <c r="N11" s="21"/>
      <c r="O11" s="1" t="s">
        <v>82</v>
      </c>
      <c r="R11" s="1" t="s">
        <v>84</v>
      </c>
      <c r="S11" s="7" t="s">
        <v>224</v>
      </c>
      <c r="T11" s="21" t="s">
        <v>3714</v>
      </c>
      <c r="AX11" s="1" t="s">
        <v>3681</v>
      </c>
      <c r="AY11">
        <f>COUNTIF(N$2:N$496,"*early*")</f>
        <v>3</v>
      </c>
      <c r="BP11"/>
      <c r="BQ11"/>
    </row>
    <row r="12" spans="1:96" s="1" customFormat="1" ht="38.25" x14ac:dyDescent="0.2">
      <c r="A12" s="1">
        <v>11</v>
      </c>
      <c r="B12" s="1" t="s">
        <v>239</v>
      </c>
      <c r="C12" s="39"/>
      <c r="D12" s="39" t="s">
        <v>84</v>
      </c>
      <c r="E12" s="39"/>
      <c r="F12" s="39"/>
      <c r="G12" s="39"/>
      <c r="H12" s="39" t="s">
        <v>84</v>
      </c>
      <c r="I12" s="39"/>
      <c r="J12" s="39" t="s">
        <v>84</v>
      </c>
      <c r="K12" s="39" t="s">
        <v>1928</v>
      </c>
      <c r="L12" s="1" t="s">
        <v>82</v>
      </c>
      <c r="N12" s="21"/>
      <c r="O12" s="1" t="s">
        <v>84</v>
      </c>
      <c r="P12" s="1" t="s">
        <v>240</v>
      </c>
      <c r="Q12" s="1" t="s">
        <v>241</v>
      </c>
      <c r="R12" s="1" t="s">
        <v>80</v>
      </c>
      <c r="S12" s="7"/>
      <c r="T12" s="21"/>
      <c r="AX12" s="1" t="s">
        <v>3683</v>
      </c>
      <c r="AY12">
        <f>COUNTIF(N$2:N$496,"*PI*")</f>
        <v>1</v>
      </c>
      <c r="BP12"/>
      <c r="BQ12"/>
    </row>
    <row r="13" spans="1:96" s="1" customFormat="1" ht="153" x14ac:dyDescent="0.2">
      <c r="A13" s="1">
        <v>12</v>
      </c>
      <c r="B13" s="1" t="s">
        <v>4204</v>
      </c>
      <c r="C13" s="39" t="s">
        <v>84</v>
      </c>
      <c r="D13" s="39" t="s">
        <v>84</v>
      </c>
      <c r="E13" s="39" t="s">
        <v>84</v>
      </c>
      <c r="F13" s="39"/>
      <c r="G13" s="39"/>
      <c r="H13" s="39" t="s">
        <v>82</v>
      </c>
      <c r="I13" s="39"/>
      <c r="J13" s="39"/>
      <c r="K13" s="39"/>
      <c r="L13" s="1" t="s">
        <v>84</v>
      </c>
      <c r="M13" s="1" t="s">
        <v>983</v>
      </c>
      <c r="N13" s="21"/>
      <c r="O13" s="1" t="s">
        <v>82</v>
      </c>
      <c r="R13" s="1" t="s">
        <v>84</v>
      </c>
      <c r="S13" s="7" t="s">
        <v>257</v>
      </c>
      <c r="T13" s="21"/>
      <c r="AX13" s="1" t="s">
        <v>3684</v>
      </c>
      <c r="AY13">
        <f>COUNTIF(N$2:N$496,"*door*")</f>
        <v>1</v>
      </c>
      <c r="BP13"/>
      <c r="BQ13"/>
    </row>
    <row r="14" spans="1:96" s="1" customFormat="1" ht="38.25" x14ac:dyDescent="0.2">
      <c r="A14" s="1">
        <v>13</v>
      </c>
      <c r="B14" s="1" t="s">
        <v>273</v>
      </c>
      <c r="C14" s="39"/>
      <c r="D14" s="39" t="s">
        <v>84</v>
      </c>
      <c r="E14" s="39"/>
      <c r="F14" s="39" t="s">
        <v>84</v>
      </c>
      <c r="G14" s="39" t="s">
        <v>84</v>
      </c>
      <c r="H14" s="39" t="s">
        <v>82</v>
      </c>
      <c r="I14" s="39"/>
      <c r="J14" s="39"/>
      <c r="K14" s="39"/>
      <c r="L14" s="1" t="s">
        <v>84</v>
      </c>
      <c r="M14" s="7" t="s">
        <v>274</v>
      </c>
      <c r="N14" s="21" t="s">
        <v>3625</v>
      </c>
      <c r="O14" s="1" t="s">
        <v>82</v>
      </c>
      <c r="R14" s="1" t="s">
        <v>84</v>
      </c>
      <c r="S14" s="7" t="s">
        <v>275</v>
      </c>
      <c r="T14" s="21" t="s">
        <v>709</v>
      </c>
      <c r="AX14" t="s">
        <v>4022</v>
      </c>
      <c r="AY14">
        <f>COUNTIF(N$2:N$496,"*follow*")</f>
        <v>1</v>
      </c>
      <c r="BP14"/>
      <c r="BQ14"/>
    </row>
    <row r="15" spans="1:96" s="1" customFormat="1" ht="38.25" x14ac:dyDescent="0.2">
      <c r="A15" s="1">
        <v>14</v>
      </c>
      <c r="B15" s="1" t="s">
        <v>292</v>
      </c>
      <c r="C15" s="39" t="s">
        <v>84</v>
      </c>
      <c r="D15" s="39" t="s">
        <v>84</v>
      </c>
      <c r="E15" s="39" t="s">
        <v>84</v>
      </c>
      <c r="F15" s="39"/>
      <c r="G15" s="39"/>
      <c r="H15" s="39" t="s">
        <v>82</v>
      </c>
      <c r="I15" s="39" t="s">
        <v>84</v>
      </c>
      <c r="J15" s="39"/>
      <c r="K15" s="39"/>
      <c r="L15" s="1" t="s">
        <v>82</v>
      </c>
      <c r="M15" s="7"/>
      <c r="N15" s="21"/>
      <c r="O15" s="39" t="s">
        <v>84</v>
      </c>
      <c r="P15" s="39" t="s">
        <v>1350</v>
      </c>
      <c r="R15" s="1" t="s">
        <v>82</v>
      </c>
      <c r="S15" s="7" t="s">
        <v>293</v>
      </c>
      <c r="T15" s="21" t="s">
        <v>3724</v>
      </c>
      <c r="BP15"/>
      <c r="BQ15"/>
    </row>
    <row r="16" spans="1:96" s="1" customFormat="1" ht="25.5" x14ac:dyDescent="0.2">
      <c r="A16" s="1">
        <v>15</v>
      </c>
      <c r="B16" s="1" t="s">
        <v>310</v>
      </c>
      <c r="C16" s="39" t="s">
        <v>84</v>
      </c>
      <c r="D16" s="39" t="s">
        <v>84</v>
      </c>
      <c r="E16" s="39"/>
      <c r="F16" s="39" t="s">
        <v>84</v>
      </c>
      <c r="G16" s="39" t="s">
        <v>84</v>
      </c>
      <c r="H16" s="39" t="s">
        <v>82</v>
      </c>
      <c r="I16" s="39"/>
      <c r="J16" s="39"/>
      <c r="K16" s="39" t="s">
        <v>1932</v>
      </c>
      <c r="L16" s="1" t="s">
        <v>84</v>
      </c>
      <c r="M16" s="7" t="s">
        <v>311</v>
      </c>
      <c r="N16" s="21"/>
      <c r="O16" s="1" t="s">
        <v>82</v>
      </c>
      <c r="R16" s="1" t="s">
        <v>84</v>
      </c>
      <c r="S16" s="7" t="s">
        <v>312</v>
      </c>
      <c r="T16" s="21" t="s">
        <v>1052</v>
      </c>
      <c r="BP16"/>
      <c r="BQ16"/>
    </row>
    <row r="17" spans="1:69" s="1" customFormat="1" ht="25.5" x14ac:dyDescent="0.2">
      <c r="A17" s="1">
        <v>16</v>
      </c>
      <c r="B17" s="1" t="s">
        <v>325</v>
      </c>
      <c r="C17" s="39"/>
      <c r="D17" s="39" t="s">
        <v>84</v>
      </c>
      <c r="E17" s="39"/>
      <c r="F17" s="39"/>
      <c r="G17" s="39"/>
      <c r="H17" s="39" t="s">
        <v>82</v>
      </c>
      <c r="I17" s="39"/>
      <c r="J17" s="39"/>
      <c r="K17" s="39"/>
      <c r="L17" s="1" t="s">
        <v>84</v>
      </c>
      <c r="M17" s="7"/>
      <c r="N17" s="21"/>
      <c r="O17" s="1" t="s">
        <v>82</v>
      </c>
      <c r="R17" s="1" t="s">
        <v>84</v>
      </c>
      <c r="S17" s="7" t="s">
        <v>4205</v>
      </c>
      <c r="T17" s="21"/>
      <c r="BP17"/>
      <c r="BQ17"/>
    </row>
    <row r="18" spans="1:69" s="1" customFormat="1" ht="25.5" x14ac:dyDescent="0.2">
      <c r="A18" s="1">
        <v>17</v>
      </c>
      <c r="B18" s="1" t="s">
        <v>338</v>
      </c>
      <c r="C18" s="39" t="s">
        <v>84</v>
      </c>
      <c r="D18" s="39" t="s">
        <v>84</v>
      </c>
      <c r="E18" s="39"/>
      <c r="F18" s="39"/>
      <c r="G18" s="39"/>
      <c r="H18" s="39" t="s">
        <v>82</v>
      </c>
      <c r="I18" s="39"/>
      <c r="J18" s="39" t="s">
        <v>84</v>
      </c>
      <c r="K18" s="39" t="s">
        <v>1929</v>
      </c>
      <c r="L18" s="1" t="s">
        <v>82</v>
      </c>
      <c r="M18" s="7"/>
      <c r="N18" s="21"/>
      <c r="O18" s="1" t="s">
        <v>82</v>
      </c>
      <c r="R18" s="1" t="s">
        <v>82</v>
      </c>
      <c r="S18" s="7"/>
      <c r="T18" s="21"/>
      <c r="BP18"/>
      <c r="BQ18"/>
    </row>
    <row r="19" spans="1:69" s="1" customFormat="1" ht="25.5" x14ac:dyDescent="0.2">
      <c r="A19" s="1">
        <v>18</v>
      </c>
      <c r="B19" s="1" t="s">
        <v>350</v>
      </c>
      <c r="C19" s="39" t="s">
        <v>84</v>
      </c>
      <c r="D19" s="39" t="s">
        <v>84</v>
      </c>
      <c r="E19" s="39" t="s">
        <v>84</v>
      </c>
      <c r="F19" s="39"/>
      <c r="G19" s="39"/>
      <c r="H19" s="39" t="s">
        <v>84</v>
      </c>
      <c r="I19" s="39"/>
      <c r="J19" s="39"/>
      <c r="K19" s="39"/>
      <c r="L19" s="1" t="s">
        <v>84</v>
      </c>
      <c r="M19" s="7" t="s">
        <v>351</v>
      </c>
      <c r="N19" s="21" t="s">
        <v>3626</v>
      </c>
      <c r="O19" s="43" t="s">
        <v>84</v>
      </c>
      <c r="P19" s="21" t="s">
        <v>462</v>
      </c>
      <c r="R19" s="1" t="s">
        <v>84</v>
      </c>
      <c r="S19" s="7"/>
      <c r="T19" s="21"/>
      <c r="BP19"/>
      <c r="BQ19"/>
    </row>
    <row r="20" spans="1:69" s="1" customFormat="1" x14ac:dyDescent="0.2">
      <c r="A20" s="1">
        <v>19</v>
      </c>
      <c r="B20" s="34" t="s">
        <v>364</v>
      </c>
      <c r="C20" s="46" t="s">
        <v>84</v>
      </c>
      <c r="D20" s="46"/>
      <c r="E20" s="46"/>
      <c r="F20" s="46"/>
      <c r="G20" s="46"/>
      <c r="H20" s="46" t="s">
        <v>82</v>
      </c>
      <c r="I20" s="46"/>
      <c r="J20" s="46"/>
      <c r="K20" s="46"/>
      <c r="L20" s="34" t="s">
        <v>84</v>
      </c>
      <c r="M20" s="52"/>
      <c r="N20" s="45"/>
      <c r="O20" s="34" t="s">
        <v>82</v>
      </c>
      <c r="P20" s="34"/>
      <c r="Q20" s="34"/>
      <c r="R20" s="34" t="s">
        <v>84</v>
      </c>
      <c r="S20" s="52"/>
      <c r="T20" s="45"/>
      <c r="BP20"/>
      <c r="BQ20"/>
    </row>
    <row r="21" spans="1:69" s="1" customFormat="1" ht="25.5" x14ac:dyDescent="0.2">
      <c r="A21" s="1">
        <v>20</v>
      </c>
      <c r="B21" s="34" t="s">
        <v>368</v>
      </c>
      <c r="C21" s="46"/>
      <c r="D21" s="46" t="s">
        <v>84</v>
      </c>
      <c r="E21" s="46"/>
      <c r="F21" s="46" t="s">
        <v>84</v>
      </c>
      <c r="G21" s="46"/>
      <c r="H21" s="46" t="s">
        <v>82</v>
      </c>
      <c r="I21" s="46"/>
      <c r="J21" s="46"/>
      <c r="K21" s="46"/>
      <c r="L21" s="34" t="s">
        <v>82</v>
      </c>
      <c r="M21" s="52"/>
      <c r="N21" s="45"/>
      <c r="O21" s="34" t="s">
        <v>82</v>
      </c>
      <c r="P21" s="34"/>
      <c r="Q21" s="34"/>
      <c r="R21" s="34" t="s">
        <v>82</v>
      </c>
      <c r="S21" s="52" t="s">
        <v>369</v>
      </c>
      <c r="T21" s="45"/>
      <c r="BP21"/>
      <c r="BQ21"/>
    </row>
    <row r="22" spans="1:69" s="1" customFormat="1" x14ac:dyDescent="0.2">
      <c r="A22" s="1">
        <v>21</v>
      </c>
      <c r="B22" s="1" t="s">
        <v>372</v>
      </c>
      <c r="C22" s="39" t="s">
        <v>84</v>
      </c>
      <c r="D22" s="39" t="s">
        <v>84</v>
      </c>
      <c r="E22" s="39" t="s">
        <v>84</v>
      </c>
      <c r="F22" s="39"/>
      <c r="G22" s="39"/>
      <c r="H22" s="39" t="s">
        <v>82</v>
      </c>
      <c r="I22" s="39"/>
      <c r="J22" s="39"/>
      <c r="K22" s="39"/>
      <c r="L22" s="1" t="s">
        <v>82</v>
      </c>
      <c r="M22" s="7"/>
      <c r="N22" s="21"/>
      <c r="O22" s="1" t="s">
        <v>82</v>
      </c>
      <c r="R22" s="1" t="s">
        <v>84</v>
      </c>
      <c r="S22" s="7"/>
      <c r="T22" s="21"/>
    </row>
    <row r="23" spans="1:69" s="1" customFormat="1" ht="25.5" x14ac:dyDescent="0.2">
      <c r="A23" s="1">
        <v>22</v>
      </c>
      <c r="B23" s="1" t="s">
        <v>378</v>
      </c>
      <c r="C23" s="39" t="s">
        <v>84</v>
      </c>
      <c r="D23" s="39" t="s">
        <v>84</v>
      </c>
      <c r="E23" s="39" t="s">
        <v>84</v>
      </c>
      <c r="F23" s="39"/>
      <c r="G23" s="39"/>
      <c r="H23" s="39" t="s">
        <v>82</v>
      </c>
      <c r="I23" s="39"/>
      <c r="J23" s="39"/>
      <c r="K23" s="39"/>
      <c r="L23" s="1" t="s">
        <v>84</v>
      </c>
      <c r="M23" s="7" t="s">
        <v>379</v>
      </c>
      <c r="N23" s="21" t="s">
        <v>3627</v>
      </c>
      <c r="O23" s="1" t="s">
        <v>82</v>
      </c>
      <c r="R23" s="1" t="s">
        <v>84</v>
      </c>
      <c r="S23" s="7"/>
      <c r="T23" s="21"/>
      <c r="BP23"/>
      <c r="BQ23"/>
    </row>
    <row r="24" spans="1:69" s="1" customFormat="1" ht="25.5" x14ac:dyDescent="0.2">
      <c r="A24" s="1">
        <v>23</v>
      </c>
      <c r="B24" s="1" t="s">
        <v>385</v>
      </c>
      <c r="C24" s="39"/>
      <c r="D24" s="39" t="s">
        <v>84</v>
      </c>
      <c r="E24" s="39"/>
      <c r="F24" s="39"/>
      <c r="G24" s="39" t="s">
        <v>84</v>
      </c>
      <c r="H24" s="39" t="s">
        <v>82</v>
      </c>
      <c r="I24" s="39"/>
      <c r="J24" s="39"/>
      <c r="K24" s="39"/>
      <c r="L24" s="1" t="s">
        <v>84</v>
      </c>
      <c r="M24" s="7" t="s">
        <v>386</v>
      </c>
      <c r="N24" s="21" t="s">
        <v>3629</v>
      </c>
      <c r="O24" s="1" t="s">
        <v>82</v>
      </c>
      <c r="R24" s="1" t="s">
        <v>84</v>
      </c>
      <c r="S24" s="7" t="s">
        <v>387</v>
      </c>
      <c r="T24" s="21"/>
      <c r="BP24"/>
      <c r="BQ24"/>
    </row>
    <row r="25" spans="1:69" s="1" customFormat="1" x14ac:dyDescent="0.2">
      <c r="A25" s="1">
        <v>24</v>
      </c>
      <c r="B25" s="1" t="s">
        <v>403</v>
      </c>
      <c r="C25" s="39" t="s">
        <v>84</v>
      </c>
      <c r="D25" s="39" t="s">
        <v>84</v>
      </c>
      <c r="E25" s="39"/>
      <c r="F25" s="39"/>
      <c r="G25" s="39"/>
      <c r="H25" s="39" t="s">
        <v>84</v>
      </c>
      <c r="I25" s="39"/>
      <c r="J25" s="39"/>
      <c r="K25" s="39"/>
      <c r="L25" s="1" t="s">
        <v>82</v>
      </c>
      <c r="M25" s="7"/>
      <c r="N25" s="21"/>
      <c r="O25" s="44" t="s">
        <v>84</v>
      </c>
      <c r="P25" s="21" t="s">
        <v>3934</v>
      </c>
      <c r="R25" s="1" t="s">
        <v>82</v>
      </c>
      <c r="S25" s="7"/>
      <c r="T25" s="21"/>
      <c r="BP25"/>
      <c r="BQ25"/>
    </row>
    <row r="26" spans="1:69" s="1" customFormat="1" ht="25.5" x14ac:dyDescent="0.2">
      <c r="A26" s="1">
        <v>25</v>
      </c>
      <c r="B26" s="1" t="s">
        <v>417</v>
      </c>
      <c r="C26" s="39" t="s">
        <v>84</v>
      </c>
      <c r="D26" s="39" t="s">
        <v>84</v>
      </c>
      <c r="E26" s="39"/>
      <c r="F26" s="39"/>
      <c r="G26" s="39"/>
      <c r="H26" s="39" t="s">
        <v>84</v>
      </c>
      <c r="I26" s="39"/>
      <c r="J26" s="39"/>
      <c r="K26" s="39"/>
      <c r="L26" s="1" t="s">
        <v>84</v>
      </c>
      <c r="M26" s="7" t="s">
        <v>418</v>
      </c>
      <c r="N26" s="21" t="s">
        <v>418</v>
      </c>
      <c r="O26" s="1" t="s">
        <v>84</v>
      </c>
      <c r="P26" s="1" t="s">
        <v>3935</v>
      </c>
      <c r="R26" s="1" t="s">
        <v>80</v>
      </c>
      <c r="S26" s="7"/>
      <c r="T26" s="21"/>
      <c r="BP26"/>
      <c r="BQ26"/>
    </row>
    <row r="27" spans="1:69" s="1" customFormat="1" ht="63.75" x14ac:dyDescent="0.2">
      <c r="A27" s="1">
        <v>26</v>
      </c>
      <c r="B27" s="1" t="s">
        <v>428</v>
      </c>
      <c r="C27" s="39" t="s">
        <v>84</v>
      </c>
      <c r="D27" s="39"/>
      <c r="E27" s="39"/>
      <c r="F27" s="39"/>
      <c r="G27" s="39"/>
      <c r="H27" s="39" t="s">
        <v>84</v>
      </c>
      <c r="I27" s="39"/>
      <c r="J27" s="39"/>
      <c r="K27" s="39"/>
      <c r="L27" s="1" t="s">
        <v>84</v>
      </c>
      <c r="M27" s="7" t="s">
        <v>429</v>
      </c>
      <c r="N27" s="21" t="s">
        <v>1498</v>
      </c>
      <c r="O27" s="1" t="s">
        <v>84</v>
      </c>
      <c r="P27" s="1" t="s">
        <v>430</v>
      </c>
      <c r="Q27" s="1" t="s">
        <v>1074</v>
      </c>
      <c r="R27" s="1" t="s">
        <v>80</v>
      </c>
      <c r="S27" s="7"/>
      <c r="T27" s="21"/>
      <c r="BP27"/>
      <c r="BQ27"/>
    </row>
    <row r="28" spans="1:69" s="1" customFormat="1" ht="127.5" x14ac:dyDescent="0.2">
      <c r="A28" s="1">
        <v>27</v>
      </c>
      <c r="B28" s="1" t="s">
        <v>445</v>
      </c>
      <c r="C28" s="39" t="s">
        <v>84</v>
      </c>
      <c r="D28" s="39" t="s">
        <v>84</v>
      </c>
      <c r="E28" s="39"/>
      <c r="F28" s="39" t="s">
        <v>84</v>
      </c>
      <c r="G28" s="39"/>
      <c r="H28" s="39" t="s">
        <v>82</v>
      </c>
      <c r="I28" s="39"/>
      <c r="J28" s="39"/>
      <c r="K28" s="39"/>
      <c r="L28" s="1" t="s">
        <v>84</v>
      </c>
      <c r="M28" s="7" t="s">
        <v>446</v>
      </c>
      <c r="N28" s="21" t="s">
        <v>3646</v>
      </c>
      <c r="O28" s="1" t="s">
        <v>82</v>
      </c>
      <c r="R28" s="1" t="s">
        <v>82</v>
      </c>
      <c r="S28" s="7" t="s">
        <v>447</v>
      </c>
      <c r="T28" s="21" t="s">
        <v>709</v>
      </c>
    </row>
    <row r="29" spans="1:69" s="1" customFormat="1" x14ac:dyDescent="0.2">
      <c r="A29" s="1">
        <v>28</v>
      </c>
      <c r="B29" s="1" t="s">
        <v>461</v>
      </c>
      <c r="C29" s="39" t="s">
        <v>84</v>
      </c>
      <c r="D29" s="39" t="s">
        <v>84</v>
      </c>
      <c r="E29" s="39"/>
      <c r="F29" s="39"/>
      <c r="G29" s="39"/>
      <c r="H29" s="39" t="s">
        <v>84</v>
      </c>
      <c r="I29" s="39"/>
      <c r="J29" s="39"/>
      <c r="K29" s="39"/>
      <c r="L29" s="1" t="s">
        <v>82</v>
      </c>
      <c r="M29" s="7"/>
      <c r="N29" s="21"/>
      <c r="O29" s="1" t="s">
        <v>84</v>
      </c>
      <c r="P29" s="1" t="s">
        <v>462</v>
      </c>
      <c r="Q29" s="7" t="s">
        <v>984</v>
      </c>
      <c r="R29" s="1" t="s">
        <v>80</v>
      </c>
      <c r="S29" s="7"/>
      <c r="T29" s="21"/>
    </row>
    <row r="30" spans="1:69" s="1" customFormat="1" ht="51" x14ac:dyDescent="0.2">
      <c r="A30" s="1">
        <v>29</v>
      </c>
      <c r="B30" s="1" t="s">
        <v>476</v>
      </c>
      <c r="C30" s="39" t="s">
        <v>84</v>
      </c>
      <c r="D30" s="39" t="s">
        <v>84</v>
      </c>
      <c r="E30" s="39"/>
      <c r="F30" s="39"/>
      <c r="G30" s="39"/>
      <c r="H30" s="39" t="s">
        <v>82</v>
      </c>
      <c r="I30" s="39"/>
      <c r="J30" s="39"/>
      <c r="K30" s="39"/>
      <c r="L30" s="1" t="s">
        <v>84</v>
      </c>
      <c r="M30" s="7" t="s">
        <v>477</v>
      </c>
      <c r="N30" s="21" t="s">
        <v>3647</v>
      </c>
      <c r="O30" s="21" t="s">
        <v>84</v>
      </c>
      <c r="P30" s="21" t="s">
        <v>1350</v>
      </c>
      <c r="R30" s="1" t="s">
        <v>80</v>
      </c>
      <c r="S30" s="7"/>
      <c r="T30" s="21"/>
    </row>
    <row r="31" spans="1:69" s="1" customFormat="1" x14ac:dyDescent="0.2">
      <c r="A31" s="1">
        <v>30</v>
      </c>
      <c r="B31" s="1" t="s">
        <v>494</v>
      </c>
      <c r="C31" s="39" t="s">
        <v>84</v>
      </c>
      <c r="D31" s="39" t="s">
        <v>84</v>
      </c>
      <c r="E31" s="39"/>
      <c r="F31" s="39"/>
      <c r="G31" s="39"/>
      <c r="H31" s="39" t="s">
        <v>82</v>
      </c>
      <c r="I31" s="39"/>
      <c r="J31" s="39"/>
      <c r="K31" s="39"/>
      <c r="L31" s="1" t="s">
        <v>82</v>
      </c>
      <c r="M31" s="7"/>
      <c r="N31" s="21"/>
      <c r="O31" s="1" t="s">
        <v>82</v>
      </c>
      <c r="R31" s="1" t="s">
        <v>82</v>
      </c>
      <c r="S31" s="7" t="s">
        <v>495</v>
      </c>
      <c r="T31" s="21" t="s">
        <v>3715</v>
      </c>
    </row>
    <row r="32" spans="1:69" s="1" customFormat="1" x14ac:dyDescent="0.2">
      <c r="A32" s="1">
        <v>31</v>
      </c>
      <c r="B32" s="1" t="s">
        <v>507</v>
      </c>
      <c r="C32" s="39"/>
      <c r="D32" s="39" t="s">
        <v>84</v>
      </c>
      <c r="E32" s="39"/>
      <c r="F32" s="39"/>
      <c r="G32" s="39"/>
      <c r="H32" s="39" t="s">
        <v>82</v>
      </c>
      <c r="I32" s="39"/>
      <c r="J32" s="39"/>
      <c r="K32" s="39"/>
      <c r="L32" s="1" t="s">
        <v>82</v>
      </c>
      <c r="M32" s="7"/>
      <c r="N32" s="21"/>
      <c r="O32" s="1" t="s">
        <v>82</v>
      </c>
      <c r="R32" s="1" t="s">
        <v>84</v>
      </c>
      <c r="S32" s="7" t="s">
        <v>82</v>
      </c>
      <c r="T32" s="21"/>
    </row>
    <row r="33" spans="1:35" s="1" customFormat="1" x14ac:dyDescent="0.2">
      <c r="A33" s="1">
        <v>32</v>
      </c>
      <c r="B33" s="1" t="s">
        <v>517</v>
      </c>
      <c r="C33" s="39" t="s">
        <v>84</v>
      </c>
      <c r="D33" s="39" t="s">
        <v>84</v>
      </c>
      <c r="E33" s="39"/>
      <c r="F33" s="39"/>
      <c r="G33" s="39"/>
      <c r="H33" s="39" t="s">
        <v>84</v>
      </c>
      <c r="I33" s="39"/>
      <c r="J33" s="39"/>
      <c r="K33" s="39"/>
      <c r="L33" s="1" t="s">
        <v>84</v>
      </c>
      <c r="M33" s="7"/>
      <c r="N33" s="21"/>
      <c r="O33" s="1" t="s">
        <v>84</v>
      </c>
      <c r="P33" s="1" t="s">
        <v>462</v>
      </c>
      <c r="R33" s="1" t="s">
        <v>80</v>
      </c>
      <c r="S33" s="7"/>
      <c r="T33" s="21"/>
    </row>
    <row r="34" spans="1:35" s="1" customFormat="1" ht="25.5" x14ac:dyDescent="0.2">
      <c r="A34" s="1">
        <v>33</v>
      </c>
      <c r="B34" s="1" t="s">
        <v>523</v>
      </c>
      <c r="C34" s="39"/>
      <c r="D34" s="39" t="s">
        <v>84</v>
      </c>
      <c r="E34" s="39" t="s">
        <v>84</v>
      </c>
      <c r="F34" s="39" t="s">
        <v>84</v>
      </c>
      <c r="G34" s="39"/>
      <c r="H34" s="39" t="s">
        <v>82</v>
      </c>
      <c r="I34" s="39"/>
      <c r="J34" s="39"/>
      <c r="K34" s="39"/>
      <c r="L34" s="1" t="s">
        <v>82</v>
      </c>
      <c r="M34" s="7"/>
      <c r="N34" s="21"/>
      <c r="O34" s="1" t="s">
        <v>82</v>
      </c>
      <c r="R34" s="1" t="s">
        <v>82</v>
      </c>
      <c r="S34" s="7" t="s">
        <v>524</v>
      </c>
      <c r="T34" s="21" t="s">
        <v>3718</v>
      </c>
    </row>
    <row r="35" spans="1:35" s="1" customFormat="1" ht="25.5" x14ac:dyDescent="0.2">
      <c r="A35" s="1">
        <v>34</v>
      </c>
      <c r="B35" s="1" t="s">
        <v>542</v>
      </c>
      <c r="C35" s="39" t="s">
        <v>84</v>
      </c>
      <c r="D35" s="39" t="s">
        <v>84</v>
      </c>
      <c r="E35" s="39"/>
      <c r="F35" s="39"/>
      <c r="G35" s="39"/>
      <c r="H35" s="39" t="s">
        <v>82</v>
      </c>
      <c r="I35" s="39"/>
      <c r="J35" s="39"/>
      <c r="K35" s="39"/>
      <c r="L35" s="1" t="s">
        <v>84</v>
      </c>
      <c r="M35" s="7" t="s">
        <v>543</v>
      </c>
      <c r="N35" s="21" t="s">
        <v>3648</v>
      </c>
      <c r="O35" s="1" t="s">
        <v>82</v>
      </c>
      <c r="R35" s="1" t="s">
        <v>84</v>
      </c>
      <c r="S35" s="7" t="s">
        <v>544</v>
      </c>
      <c r="T35" s="21" t="s">
        <v>3713</v>
      </c>
    </row>
    <row r="36" spans="1:35" s="1" customFormat="1" x14ac:dyDescent="0.2">
      <c r="A36" s="1">
        <v>35</v>
      </c>
      <c r="B36" s="1" t="s">
        <v>560</v>
      </c>
      <c r="C36" s="39" t="s">
        <v>84</v>
      </c>
      <c r="D36" s="39"/>
      <c r="E36" s="39"/>
      <c r="F36" s="39"/>
      <c r="G36" s="39"/>
      <c r="H36" s="39" t="s">
        <v>84</v>
      </c>
      <c r="I36" s="39"/>
      <c r="J36" s="39"/>
      <c r="K36" s="39"/>
      <c r="L36" s="1" t="s">
        <v>82</v>
      </c>
      <c r="M36" s="7"/>
      <c r="N36" s="21"/>
      <c r="O36" s="1" t="s">
        <v>84</v>
      </c>
      <c r="P36" s="1" t="s">
        <v>3891</v>
      </c>
      <c r="R36" s="1" t="s">
        <v>80</v>
      </c>
      <c r="S36" s="7"/>
      <c r="T36" s="21"/>
    </row>
    <row r="37" spans="1:35" s="1" customFormat="1" ht="89.25" x14ac:dyDescent="0.2">
      <c r="A37" s="1">
        <v>36</v>
      </c>
      <c r="B37" s="1" t="s">
        <v>4221</v>
      </c>
      <c r="C37" s="39" t="s">
        <v>84</v>
      </c>
      <c r="D37" s="39" t="s">
        <v>84</v>
      </c>
      <c r="E37" s="39" t="s">
        <v>84</v>
      </c>
      <c r="F37" s="39"/>
      <c r="G37" s="39"/>
      <c r="H37" s="39" t="s">
        <v>84</v>
      </c>
      <c r="I37" s="39"/>
      <c r="J37" s="39"/>
      <c r="K37" s="39"/>
      <c r="L37" s="1" t="s">
        <v>82</v>
      </c>
      <c r="M37" s="7"/>
      <c r="N37" s="21"/>
      <c r="O37" s="43" t="s">
        <v>84</v>
      </c>
      <c r="P37" s="21" t="s">
        <v>1933</v>
      </c>
      <c r="R37" s="1" t="s">
        <v>82</v>
      </c>
      <c r="S37" s="7" t="s">
        <v>582</v>
      </c>
      <c r="T37" s="21" t="s">
        <v>3718</v>
      </c>
    </row>
    <row r="38" spans="1:35" s="1" customFormat="1" ht="204" x14ac:dyDescent="0.2">
      <c r="A38" s="1">
        <v>37</v>
      </c>
      <c r="B38" s="1" t="s">
        <v>593</v>
      </c>
      <c r="C38" s="39"/>
      <c r="D38" s="39" t="s">
        <v>84</v>
      </c>
      <c r="E38" s="39" t="s">
        <v>84</v>
      </c>
      <c r="F38" s="39"/>
      <c r="G38" s="39" t="s">
        <v>84</v>
      </c>
      <c r="H38" s="39" t="s">
        <v>84</v>
      </c>
      <c r="I38" s="39"/>
      <c r="J38" s="39"/>
      <c r="K38" s="39"/>
      <c r="L38" s="1" t="s">
        <v>84</v>
      </c>
      <c r="M38" s="7" t="s">
        <v>594</v>
      </c>
      <c r="N38" s="21" t="s">
        <v>3626</v>
      </c>
      <c r="O38" s="1" t="s">
        <v>84</v>
      </c>
      <c r="P38" s="1" t="s">
        <v>3936</v>
      </c>
      <c r="Q38" s="7" t="s">
        <v>2493</v>
      </c>
      <c r="R38" s="1" t="s">
        <v>80</v>
      </c>
      <c r="S38" s="7"/>
      <c r="T38" s="21"/>
    </row>
    <row r="39" spans="1:35" s="1" customFormat="1" ht="280.5" x14ac:dyDescent="0.2">
      <c r="A39" s="1">
        <v>38</v>
      </c>
      <c r="B39" s="11" t="s">
        <v>714</v>
      </c>
      <c r="C39" s="39" t="s">
        <v>84</v>
      </c>
      <c r="D39" s="39" t="s">
        <v>84</v>
      </c>
      <c r="E39" s="39"/>
      <c r="F39" s="39" t="s">
        <v>84</v>
      </c>
      <c r="G39" s="39"/>
      <c r="H39" s="39" t="s">
        <v>82</v>
      </c>
      <c r="I39" s="39"/>
      <c r="J39" s="39" t="s">
        <v>84</v>
      </c>
      <c r="K39" s="39"/>
      <c r="L39" s="11" t="s">
        <v>84</v>
      </c>
      <c r="M39" s="7" t="s">
        <v>715</v>
      </c>
      <c r="N39" s="21" t="s">
        <v>3649</v>
      </c>
      <c r="O39" s="39" t="s">
        <v>84</v>
      </c>
      <c r="P39" s="39" t="s">
        <v>1350</v>
      </c>
      <c r="Q39" s="11"/>
      <c r="R39" s="11" t="s">
        <v>84</v>
      </c>
      <c r="S39" s="7" t="s">
        <v>716</v>
      </c>
      <c r="T39" s="21" t="s">
        <v>3729</v>
      </c>
      <c r="V39" s="11"/>
      <c r="W39" s="11"/>
      <c r="X39" s="11"/>
      <c r="Y39" s="11"/>
      <c r="Z39" s="11"/>
      <c r="AA39" s="11"/>
      <c r="AB39" s="11"/>
      <c r="AC39" s="11"/>
      <c r="AD39" s="11"/>
      <c r="AE39" s="11"/>
      <c r="AF39" s="11"/>
      <c r="AG39" s="11"/>
      <c r="AH39" s="11"/>
      <c r="AI39" s="11"/>
    </row>
    <row r="40" spans="1:35" ht="51" x14ac:dyDescent="0.2">
      <c r="A40" s="1">
        <v>39</v>
      </c>
      <c r="B40" s="11" t="s">
        <v>731</v>
      </c>
      <c r="C40" s="39" t="s">
        <v>84</v>
      </c>
      <c r="D40" s="39" t="s">
        <v>84</v>
      </c>
      <c r="E40" s="39"/>
      <c r="F40" s="39"/>
      <c r="G40" s="39"/>
      <c r="H40" s="39" t="s">
        <v>82</v>
      </c>
      <c r="I40" s="39"/>
      <c r="J40" s="39"/>
      <c r="K40" s="39"/>
      <c r="L40" s="11" t="s">
        <v>84</v>
      </c>
      <c r="M40" s="7" t="s">
        <v>3690</v>
      </c>
      <c r="N40" s="21" t="s">
        <v>3650</v>
      </c>
      <c r="O40" s="11" t="s">
        <v>82</v>
      </c>
      <c r="P40" s="11"/>
      <c r="Q40" s="11"/>
      <c r="R40" s="11" t="s">
        <v>84</v>
      </c>
      <c r="S40" s="7" t="s">
        <v>733</v>
      </c>
      <c r="T40" s="21"/>
      <c r="V40" s="11"/>
      <c r="W40" s="11"/>
      <c r="X40" s="11"/>
      <c r="Y40" s="11"/>
      <c r="Z40" s="11"/>
      <c r="AA40" s="11"/>
      <c r="AB40" s="11"/>
      <c r="AC40" s="11"/>
      <c r="AD40" s="11"/>
      <c r="AE40" s="11"/>
      <c r="AF40" s="11"/>
      <c r="AG40" s="11"/>
      <c r="AH40" s="11"/>
      <c r="AI40" s="11"/>
    </row>
    <row r="41" spans="1:35" ht="63.75" x14ac:dyDescent="0.2">
      <c r="A41" s="1">
        <v>40</v>
      </c>
      <c r="B41" s="11" t="s">
        <v>750</v>
      </c>
      <c r="C41" s="39" t="s">
        <v>84</v>
      </c>
      <c r="D41" s="39" t="s">
        <v>84</v>
      </c>
      <c r="E41" s="39" t="s">
        <v>84</v>
      </c>
      <c r="F41" s="39"/>
      <c r="G41" s="39"/>
      <c r="H41" s="39" t="s">
        <v>82</v>
      </c>
      <c r="I41" s="39"/>
      <c r="J41" s="39"/>
      <c r="K41" s="39"/>
      <c r="L41" s="11" t="s">
        <v>84</v>
      </c>
      <c r="M41" s="7" t="s">
        <v>751</v>
      </c>
      <c r="N41" s="21"/>
      <c r="O41" s="11" t="s">
        <v>82</v>
      </c>
      <c r="P41" s="11"/>
      <c r="Q41" s="11"/>
      <c r="R41" s="11" t="s">
        <v>84</v>
      </c>
      <c r="S41" s="7" t="s">
        <v>752</v>
      </c>
      <c r="T41" s="21"/>
      <c r="V41" s="11"/>
      <c r="W41" s="11"/>
      <c r="X41" s="11"/>
      <c r="Y41" s="11"/>
      <c r="Z41" s="11"/>
      <c r="AA41" s="11"/>
      <c r="AB41" s="11"/>
      <c r="AC41" s="11"/>
      <c r="AD41" s="11"/>
      <c r="AE41" s="11"/>
      <c r="AF41" s="11"/>
      <c r="AG41" s="11"/>
      <c r="AH41" s="11"/>
      <c r="AI41" s="11"/>
    </row>
    <row r="42" spans="1:35" x14ac:dyDescent="0.2">
      <c r="A42" s="1">
        <v>41</v>
      </c>
      <c r="B42" s="11" t="s">
        <v>770</v>
      </c>
      <c r="C42" s="39" t="s">
        <v>84</v>
      </c>
      <c r="D42" s="39" t="s">
        <v>84</v>
      </c>
      <c r="E42" s="39"/>
      <c r="F42" s="39"/>
      <c r="G42" s="39"/>
      <c r="H42" s="39" t="s">
        <v>82</v>
      </c>
      <c r="I42" s="39"/>
      <c r="J42" s="39"/>
      <c r="K42" s="39"/>
      <c r="L42" s="11" t="s">
        <v>82</v>
      </c>
      <c r="M42" s="7"/>
      <c r="N42" s="21"/>
      <c r="O42" s="11" t="s">
        <v>82</v>
      </c>
      <c r="P42" s="11"/>
      <c r="Q42" s="11"/>
      <c r="R42" s="11" t="s">
        <v>82</v>
      </c>
      <c r="S42" s="7"/>
      <c r="T42" s="21"/>
      <c r="V42" s="11"/>
      <c r="W42" s="11"/>
      <c r="X42" s="11"/>
      <c r="Y42" s="11"/>
      <c r="Z42" s="11"/>
      <c r="AA42" s="11"/>
      <c r="AB42" s="11"/>
      <c r="AC42" s="11"/>
      <c r="AD42" s="11"/>
      <c r="AE42" s="11"/>
      <c r="AF42" s="11"/>
      <c r="AG42" s="11"/>
      <c r="AH42" s="11"/>
      <c r="AI42" s="11"/>
    </row>
    <row r="43" spans="1:35" ht="38.25" x14ac:dyDescent="0.2">
      <c r="A43" s="1">
        <v>42</v>
      </c>
      <c r="B43" s="11" t="s">
        <v>782</v>
      </c>
      <c r="C43" s="39" t="s">
        <v>84</v>
      </c>
      <c r="D43" s="39" t="s">
        <v>84</v>
      </c>
      <c r="E43" s="39" t="s">
        <v>84</v>
      </c>
      <c r="F43" s="39"/>
      <c r="G43" s="39"/>
      <c r="H43" s="39" t="s">
        <v>82</v>
      </c>
      <c r="I43" s="39"/>
      <c r="J43" s="39"/>
      <c r="K43" s="39"/>
      <c r="L43" s="11" t="s">
        <v>82</v>
      </c>
      <c r="M43" s="7"/>
      <c r="N43" s="21"/>
      <c r="O43" s="11" t="s">
        <v>82</v>
      </c>
      <c r="P43" s="11"/>
      <c r="Q43" s="11"/>
      <c r="R43" s="11" t="s">
        <v>82</v>
      </c>
      <c r="S43" s="7"/>
      <c r="T43" s="21"/>
      <c r="V43" s="11"/>
      <c r="W43" s="11"/>
      <c r="X43" s="11"/>
      <c r="Y43" s="11"/>
      <c r="Z43" s="11"/>
      <c r="AA43" s="11"/>
      <c r="AB43" s="11"/>
      <c r="AC43" s="11"/>
      <c r="AD43" s="11"/>
      <c r="AE43" s="11"/>
      <c r="AF43" s="11"/>
      <c r="AG43" s="11"/>
      <c r="AH43" s="11"/>
      <c r="AI43" s="11"/>
    </row>
    <row r="44" spans="1:35" ht="25.5" x14ac:dyDescent="0.2">
      <c r="A44" s="1">
        <v>43</v>
      </c>
      <c r="B44" s="11" t="s">
        <v>496</v>
      </c>
      <c r="C44" s="39"/>
      <c r="D44" s="39" t="s">
        <v>84</v>
      </c>
      <c r="E44" s="39"/>
      <c r="F44" s="39"/>
      <c r="G44" s="39"/>
      <c r="H44" s="39" t="s">
        <v>82</v>
      </c>
      <c r="I44" s="39"/>
      <c r="J44" s="39"/>
      <c r="K44" s="39"/>
      <c r="L44" s="11" t="s">
        <v>82</v>
      </c>
      <c r="M44" s="7"/>
      <c r="N44" s="21"/>
      <c r="O44" s="11" t="s">
        <v>82</v>
      </c>
      <c r="P44" s="11"/>
      <c r="Q44" s="11"/>
      <c r="R44" s="11" t="s">
        <v>82</v>
      </c>
      <c r="S44" s="7" t="s">
        <v>788</v>
      </c>
      <c r="T44" s="21"/>
      <c r="V44" s="11"/>
      <c r="W44" s="11"/>
      <c r="X44" s="11"/>
      <c r="Y44" s="11"/>
      <c r="Z44" s="11"/>
      <c r="AA44" s="11"/>
      <c r="AB44" s="11"/>
      <c r="AC44" s="11"/>
      <c r="AD44" s="11"/>
      <c r="AE44" s="11"/>
      <c r="AF44" s="11"/>
      <c r="AG44" s="11"/>
      <c r="AH44" s="11"/>
      <c r="AI44" s="11"/>
    </row>
    <row r="45" spans="1:35" ht="25.5" x14ac:dyDescent="0.2">
      <c r="A45" s="1">
        <v>44</v>
      </c>
      <c r="B45" s="33" t="s">
        <v>805</v>
      </c>
      <c r="C45" s="46" t="s">
        <v>84</v>
      </c>
      <c r="D45" s="46" t="s">
        <v>84</v>
      </c>
      <c r="E45" s="46" t="s">
        <v>84</v>
      </c>
      <c r="F45" s="46"/>
      <c r="G45" s="46" t="s">
        <v>84</v>
      </c>
      <c r="H45" s="46" t="s">
        <v>82</v>
      </c>
      <c r="I45" s="46"/>
      <c r="J45" s="46"/>
      <c r="K45" s="46"/>
      <c r="L45" s="33" t="s">
        <v>82</v>
      </c>
      <c r="M45" s="52"/>
      <c r="N45" s="45"/>
      <c r="O45" s="33" t="s">
        <v>82</v>
      </c>
      <c r="P45" s="33"/>
      <c r="Q45" s="33"/>
      <c r="R45" s="33" t="s">
        <v>84</v>
      </c>
      <c r="S45" s="52"/>
      <c r="T45" s="45"/>
      <c r="V45" s="11"/>
      <c r="W45" s="11"/>
      <c r="X45" s="11"/>
      <c r="Y45" s="11"/>
      <c r="Z45" s="11"/>
      <c r="AA45" s="11"/>
      <c r="AB45" s="11"/>
      <c r="AC45" s="11"/>
      <c r="AD45" s="11"/>
      <c r="AE45" s="11"/>
      <c r="AF45" s="11"/>
      <c r="AG45" s="11"/>
      <c r="AH45" s="11"/>
      <c r="AI45" s="11"/>
    </row>
    <row r="46" spans="1:35" x14ac:dyDescent="0.2">
      <c r="A46" s="1">
        <v>45</v>
      </c>
      <c r="B46" s="11" t="s">
        <v>811</v>
      </c>
      <c r="C46" s="39"/>
      <c r="D46" s="39" t="s">
        <v>84</v>
      </c>
      <c r="E46" s="39"/>
      <c r="F46" s="39"/>
      <c r="G46" s="39"/>
      <c r="H46" s="39" t="s">
        <v>84</v>
      </c>
      <c r="I46" s="39"/>
      <c r="J46" s="39"/>
      <c r="K46" s="39"/>
      <c r="L46" s="11" t="s">
        <v>82</v>
      </c>
      <c r="M46" s="7"/>
      <c r="N46" s="21"/>
      <c r="O46" s="11" t="s">
        <v>84</v>
      </c>
      <c r="P46" s="11" t="s">
        <v>812</v>
      </c>
      <c r="Q46" s="19" t="s">
        <v>813</v>
      </c>
      <c r="R46" s="11" t="s">
        <v>80</v>
      </c>
      <c r="S46" s="7"/>
      <c r="T46" s="21"/>
      <c r="V46" s="11"/>
      <c r="W46" s="11"/>
      <c r="X46" s="11"/>
      <c r="Y46" s="11"/>
      <c r="Z46" s="11"/>
      <c r="AA46" s="11"/>
      <c r="AB46" s="11"/>
      <c r="AC46" s="11"/>
      <c r="AD46" s="11"/>
      <c r="AE46" s="11"/>
      <c r="AF46" s="11"/>
      <c r="AG46" s="11"/>
      <c r="AH46" s="11"/>
      <c r="AI46" s="11"/>
    </row>
    <row r="47" spans="1:35" ht="76.5" x14ac:dyDescent="0.2">
      <c r="A47" s="1">
        <v>46</v>
      </c>
      <c r="B47" s="11" t="s">
        <v>821</v>
      </c>
      <c r="C47" s="39" t="s">
        <v>84</v>
      </c>
      <c r="D47" s="39" t="s">
        <v>84</v>
      </c>
      <c r="E47" s="39"/>
      <c r="F47" s="39"/>
      <c r="G47" s="39"/>
      <c r="H47" s="39" t="s">
        <v>84</v>
      </c>
      <c r="I47" s="39" t="s">
        <v>84</v>
      </c>
      <c r="J47" s="39"/>
      <c r="K47" s="39"/>
      <c r="L47" s="11" t="s">
        <v>84</v>
      </c>
      <c r="M47" s="7" t="s">
        <v>822</v>
      </c>
      <c r="N47" s="21" t="s">
        <v>3630</v>
      </c>
      <c r="O47" s="11" t="s">
        <v>84</v>
      </c>
      <c r="P47" s="11" t="s">
        <v>823</v>
      </c>
      <c r="Q47" s="11" t="s">
        <v>3694</v>
      </c>
      <c r="R47" s="11" t="s">
        <v>80</v>
      </c>
      <c r="S47" s="7"/>
      <c r="T47" s="21"/>
      <c r="V47" s="11"/>
      <c r="W47" s="11"/>
      <c r="X47" s="11"/>
      <c r="Y47" s="11"/>
      <c r="Z47" s="11"/>
      <c r="AA47" s="11"/>
      <c r="AB47" s="11"/>
      <c r="AC47" s="11"/>
      <c r="AD47" s="11"/>
      <c r="AE47" s="11"/>
      <c r="AF47" s="11"/>
      <c r="AG47" s="11"/>
      <c r="AH47" s="11"/>
      <c r="AI47" s="11"/>
    </row>
    <row r="48" spans="1:35" ht="102" x14ac:dyDescent="0.2">
      <c r="A48" s="1">
        <v>47</v>
      </c>
      <c r="B48" s="11" t="s">
        <v>839</v>
      </c>
      <c r="C48" s="39" t="s">
        <v>84</v>
      </c>
      <c r="D48" s="39" t="s">
        <v>84</v>
      </c>
      <c r="E48" s="39"/>
      <c r="F48" s="39" t="s">
        <v>84</v>
      </c>
      <c r="G48" s="39"/>
      <c r="H48" s="39" t="s">
        <v>84</v>
      </c>
      <c r="I48" s="39"/>
      <c r="J48" s="39"/>
      <c r="K48" s="39" t="s">
        <v>1930</v>
      </c>
      <c r="L48" s="11" t="s">
        <v>82</v>
      </c>
      <c r="M48" s="7"/>
      <c r="N48" s="21"/>
      <c r="O48" s="11" t="s">
        <v>84</v>
      </c>
      <c r="P48" s="11" t="s">
        <v>3696</v>
      </c>
      <c r="Q48" s="11" t="s">
        <v>4222</v>
      </c>
      <c r="R48" s="11" t="s">
        <v>80</v>
      </c>
      <c r="S48" s="7"/>
      <c r="T48" s="21"/>
      <c r="V48" s="11"/>
      <c r="W48" s="11"/>
      <c r="X48" s="11"/>
      <c r="Y48" s="11"/>
      <c r="Z48" s="11"/>
      <c r="AA48" s="11"/>
      <c r="AB48" s="11"/>
      <c r="AC48" s="11"/>
      <c r="AD48" s="11"/>
      <c r="AE48" s="11"/>
      <c r="AF48" s="11"/>
      <c r="AG48" s="11"/>
      <c r="AH48" s="11"/>
      <c r="AI48" s="11"/>
    </row>
    <row r="49" spans="1:35" ht="25.5" x14ac:dyDescent="0.2">
      <c r="A49" s="1">
        <v>48</v>
      </c>
      <c r="B49" s="11" t="s">
        <v>856</v>
      </c>
      <c r="C49" s="39" t="s">
        <v>84</v>
      </c>
      <c r="D49" s="39" t="s">
        <v>84</v>
      </c>
      <c r="E49" s="39"/>
      <c r="F49" s="39"/>
      <c r="G49" s="39"/>
      <c r="H49" s="39" t="s">
        <v>82</v>
      </c>
      <c r="I49" s="39"/>
      <c r="J49" s="39"/>
      <c r="K49" s="39"/>
      <c r="L49" s="11" t="s">
        <v>82</v>
      </c>
      <c r="M49" s="7"/>
      <c r="N49" s="21"/>
      <c r="O49" s="11" t="s">
        <v>82</v>
      </c>
      <c r="P49" s="11"/>
      <c r="Q49" s="11"/>
      <c r="R49" s="11" t="s">
        <v>82</v>
      </c>
      <c r="S49" s="7"/>
      <c r="T49" s="21"/>
      <c r="V49" s="11"/>
      <c r="W49" s="11"/>
      <c r="X49" s="11"/>
      <c r="Y49" s="11"/>
      <c r="Z49" s="11"/>
      <c r="AA49" s="11"/>
      <c r="AB49" s="11"/>
      <c r="AC49" s="11"/>
      <c r="AD49" s="11"/>
      <c r="AE49" s="11"/>
      <c r="AF49" s="11"/>
      <c r="AG49" s="11"/>
      <c r="AH49" s="11"/>
      <c r="AI49" s="11"/>
    </row>
    <row r="50" spans="1:35" x14ac:dyDescent="0.2">
      <c r="A50" s="1">
        <v>49</v>
      </c>
      <c r="B50" s="11" t="s">
        <v>867</v>
      </c>
      <c r="C50" s="39" t="s">
        <v>84</v>
      </c>
      <c r="D50" s="39" t="s">
        <v>84</v>
      </c>
      <c r="E50" s="39" t="s">
        <v>84</v>
      </c>
      <c r="F50" s="39"/>
      <c r="G50" s="39"/>
      <c r="H50" s="39" t="s">
        <v>82</v>
      </c>
      <c r="I50" s="39"/>
      <c r="J50" s="39"/>
      <c r="K50" s="39"/>
      <c r="L50" s="11" t="s">
        <v>82</v>
      </c>
      <c r="M50" s="7"/>
      <c r="N50" s="21"/>
      <c r="O50" s="11" t="s">
        <v>82</v>
      </c>
      <c r="P50" s="11"/>
      <c r="Q50" s="11"/>
      <c r="R50" s="11" t="s">
        <v>82</v>
      </c>
      <c r="S50" s="7"/>
      <c r="T50" s="21"/>
      <c r="V50" s="11"/>
      <c r="W50" s="11"/>
      <c r="X50" s="11"/>
      <c r="Y50" s="11"/>
      <c r="Z50" s="11"/>
      <c r="AA50" s="11"/>
      <c r="AB50" s="11"/>
      <c r="AC50" s="11"/>
      <c r="AD50" s="11"/>
      <c r="AE50" s="11"/>
      <c r="AF50" s="11"/>
      <c r="AG50" s="11"/>
      <c r="AH50" s="11"/>
      <c r="AI50" s="11"/>
    </row>
    <row r="51" spans="1:35" s="1" customFormat="1" ht="38.25" x14ac:dyDescent="0.2">
      <c r="A51" s="1">
        <v>50</v>
      </c>
      <c r="B51" s="11" t="s">
        <v>880</v>
      </c>
      <c r="C51" s="39"/>
      <c r="D51" s="39" t="s">
        <v>84</v>
      </c>
      <c r="E51" s="39"/>
      <c r="F51" s="39" t="s">
        <v>84</v>
      </c>
      <c r="G51" s="39"/>
      <c r="H51" s="39" t="s">
        <v>82</v>
      </c>
      <c r="I51" s="39"/>
      <c r="J51" s="39"/>
      <c r="K51" s="39"/>
      <c r="L51" s="11" t="s">
        <v>82</v>
      </c>
      <c r="M51" s="7"/>
      <c r="N51" s="21"/>
      <c r="O51" s="11" t="s">
        <v>82</v>
      </c>
      <c r="P51" s="11"/>
      <c r="Q51" s="11"/>
      <c r="R51" s="11" t="s">
        <v>82</v>
      </c>
      <c r="S51" s="7" t="s">
        <v>881</v>
      </c>
      <c r="T51" s="21" t="s">
        <v>709</v>
      </c>
      <c r="V51" s="11"/>
      <c r="W51" s="11"/>
      <c r="X51" s="11"/>
      <c r="Y51" s="11"/>
      <c r="Z51" s="11"/>
      <c r="AA51" s="11"/>
      <c r="AB51" s="11"/>
      <c r="AC51" s="11"/>
      <c r="AD51" s="11"/>
      <c r="AE51" s="11"/>
      <c r="AF51" s="11"/>
      <c r="AG51" s="11"/>
      <c r="AH51" s="11"/>
      <c r="AI51" s="11"/>
    </row>
    <row r="52" spans="1:35" s="1" customFormat="1" x14ac:dyDescent="0.2">
      <c r="A52" s="1">
        <v>51</v>
      </c>
      <c r="B52" s="11" t="s">
        <v>892</v>
      </c>
      <c r="C52" s="39" t="s">
        <v>84</v>
      </c>
      <c r="D52" s="39" t="s">
        <v>84</v>
      </c>
      <c r="E52" s="39"/>
      <c r="F52" s="39"/>
      <c r="G52" s="39"/>
      <c r="H52" s="39" t="s">
        <v>82</v>
      </c>
      <c r="I52" s="39"/>
      <c r="J52" s="39"/>
      <c r="K52" s="39"/>
      <c r="L52" s="11" t="s">
        <v>82</v>
      </c>
      <c r="M52" s="7"/>
      <c r="N52" s="21"/>
      <c r="O52" s="11" t="s">
        <v>82</v>
      </c>
      <c r="P52" s="11"/>
      <c r="Q52" s="11"/>
      <c r="R52" s="11" t="s">
        <v>82</v>
      </c>
      <c r="S52" s="7"/>
      <c r="T52" s="21"/>
      <c r="V52" s="11"/>
      <c r="W52" s="11"/>
      <c r="X52" s="11"/>
      <c r="Y52" s="11"/>
      <c r="Z52" s="11"/>
      <c r="AA52" s="11"/>
      <c r="AB52" s="11"/>
      <c r="AC52" s="11"/>
      <c r="AD52" s="11"/>
      <c r="AE52" s="11"/>
      <c r="AF52" s="11"/>
      <c r="AG52" s="11"/>
      <c r="AH52" s="11"/>
      <c r="AI52" s="11"/>
    </row>
    <row r="53" spans="1:35" s="1" customFormat="1" x14ac:dyDescent="0.2">
      <c r="A53" s="1">
        <v>52</v>
      </c>
      <c r="B53" s="11" t="s">
        <v>901</v>
      </c>
      <c r="C53" s="39"/>
      <c r="D53" s="39" t="s">
        <v>84</v>
      </c>
      <c r="E53" s="39"/>
      <c r="F53" s="39"/>
      <c r="G53" s="39"/>
      <c r="H53" s="39" t="s">
        <v>82</v>
      </c>
      <c r="I53" s="39"/>
      <c r="J53" s="39" t="s">
        <v>84</v>
      </c>
      <c r="K53" s="39"/>
      <c r="L53" s="11" t="s">
        <v>82</v>
      </c>
      <c r="M53" s="7"/>
      <c r="N53" s="21"/>
      <c r="O53" s="11" t="s">
        <v>82</v>
      </c>
      <c r="P53" s="11"/>
      <c r="Q53" s="11"/>
      <c r="R53" s="11" t="s">
        <v>82</v>
      </c>
      <c r="S53" s="7"/>
      <c r="T53" s="21"/>
      <c r="V53" s="11"/>
      <c r="W53" s="11"/>
      <c r="X53" s="11"/>
      <c r="Y53" s="11"/>
      <c r="Z53" s="11"/>
      <c r="AA53" s="11"/>
      <c r="AB53" s="11"/>
      <c r="AC53" s="11"/>
      <c r="AD53" s="11"/>
      <c r="AE53" s="11"/>
      <c r="AF53" s="11"/>
      <c r="AG53" s="11"/>
      <c r="AH53" s="11"/>
      <c r="AI53" s="11"/>
    </row>
    <row r="54" spans="1:35" s="1" customFormat="1" ht="102" x14ac:dyDescent="0.2">
      <c r="A54" s="1">
        <v>53</v>
      </c>
      <c r="B54" s="11" t="s">
        <v>904</v>
      </c>
      <c r="C54" s="39" t="s">
        <v>84</v>
      </c>
      <c r="D54" s="39" t="s">
        <v>84</v>
      </c>
      <c r="E54" s="39" t="s">
        <v>84</v>
      </c>
      <c r="F54" s="39"/>
      <c r="G54" s="39"/>
      <c r="H54" s="39" t="s">
        <v>84</v>
      </c>
      <c r="I54" s="39"/>
      <c r="J54" s="39"/>
      <c r="K54" s="39"/>
      <c r="L54" s="11" t="s">
        <v>84</v>
      </c>
      <c r="M54" s="7" t="s">
        <v>905</v>
      </c>
      <c r="N54" s="21" t="s">
        <v>3632</v>
      </c>
      <c r="O54" s="11" t="s">
        <v>84</v>
      </c>
      <c r="P54" s="11" t="s">
        <v>3937</v>
      </c>
      <c r="Q54" s="7" t="s">
        <v>3697</v>
      </c>
      <c r="R54" s="11" t="s">
        <v>80</v>
      </c>
      <c r="S54" s="7"/>
      <c r="T54" s="21"/>
      <c r="V54" s="11"/>
      <c r="W54" s="11"/>
      <c r="X54" s="11"/>
      <c r="Y54" s="11"/>
      <c r="Z54" s="11"/>
      <c r="AA54" s="11"/>
      <c r="AB54" s="11"/>
      <c r="AC54" s="11"/>
      <c r="AD54" s="11"/>
      <c r="AE54" s="11"/>
      <c r="AF54" s="11"/>
      <c r="AG54" s="11"/>
      <c r="AH54" s="11"/>
      <c r="AI54" s="11"/>
    </row>
    <row r="55" spans="1:35" s="1" customFormat="1" x14ac:dyDescent="0.2">
      <c r="A55" s="1">
        <v>54</v>
      </c>
      <c r="B55" s="11" t="s">
        <v>921</v>
      </c>
      <c r="C55" s="39"/>
      <c r="D55" s="39" t="s">
        <v>84</v>
      </c>
      <c r="E55" s="39"/>
      <c r="F55" s="39" t="s">
        <v>84</v>
      </c>
      <c r="G55" s="39"/>
      <c r="H55" s="39" t="s">
        <v>82</v>
      </c>
      <c r="I55" s="39"/>
      <c r="J55" s="39"/>
      <c r="K55" s="39"/>
      <c r="L55" s="11" t="s">
        <v>84</v>
      </c>
      <c r="M55" s="7"/>
      <c r="N55" s="21"/>
      <c r="O55" s="39" t="s">
        <v>84</v>
      </c>
      <c r="P55" s="39" t="s">
        <v>1114</v>
      </c>
      <c r="Q55" s="11"/>
      <c r="R55" s="11" t="s">
        <v>84</v>
      </c>
      <c r="S55" s="7"/>
      <c r="T55" s="21"/>
      <c r="V55" s="11"/>
      <c r="W55" s="11"/>
      <c r="X55" s="11"/>
      <c r="Y55" s="11"/>
      <c r="Z55" s="11"/>
      <c r="AA55" s="11"/>
      <c r="AB55" s="11"/>
      <c r="AC55" s="11"/>
      <c r="AD55" s="11"/>
      <c r="AE55" s="11"/>
      <c r="AF55" s="11"/>
      <c r="AG55" s="11"/>
      <c r="AH55" s="11"/>
      <c r="AI55" s="11"/>
    </row>
    <row r="56" spans="1:35" s="1" customFormat="1" ht="114.75" x14ac:dyDescent="0.2">
      <c r="A56" s="1">
        <v>55</v>
      </c>
      <c r="B56" s="11" t="s">
        <v>927</v>
      </c>
      <c r="C56" s="39" t="s">
        <v>84</v>
      </c>
      <c r="D56" s="39" t="s">
        <v>84</v>
      </c>
      <c r="E56" s="39"/>
      <c r="F56" s="39"/>
      <c r="G56" s="39" t="s">
        <v>84</v>
      </c>
      <c r="H56" s="39" t="s">
        <v>84</v>
      </c>
      <c r="I56" s="39" t="s">
        <v>84</v>
      </c>
      <c r="J56" s="39" t="s">
        <v>84</v>
      </c>
      <c r="K56" s="39" t="s">
        <v>1931</v>
      </c>
      <c r="L56" s="11" t="s">
        <v>84</v>
      </c>
      <c r="M56" s="7" t="s">
        <v>928</v>
      </c>
      <c r="N56" s="21"/>
      <c r="O56" s="11" t="s">
        <v>84</v>
      </c>
      <c r="P56" s="11" t="s">
        <v>2491</v>
      </c>
      <c r="Q56" s="11" t="s">
        <v>2492</v>
      </c>
      <c r="R56" s="11" t="s">
        <v>80</v>
      </c>
      <c r="S56" s="7"/>
      <c r="T56" s="21"/>
      <c r="V56" s="11"/>
      <c r="W56" s="11"/>
      <c r="X56" s="11"/>
      <c r="Y56" s="11"/>
      <c r="Z56" s="11"/>
      <c r="AA56" s="11"/>
      <c r="AB56" s="11"/>
      <c r="AC56" s="11"/>
      <c r="AD56" s="11"/>
      <c r="AE56" s="11"/>
      <c r="AF56" s="11"/>
      <c r="AG56" s="11"/>
      <c r="AH56" s="11"/>
      <c r="AI56" s="11"/>
    </row>
    <row r="57" spans="1:35" s="1" customFormat="1" ht="63.75" x14ac:dyDescent="0.2">
      <c r="A57" s="1">
        <v>56</v>
      </c>
      <c r="B57" s="11" t="s">
        <v>947</v>
      </c>
      <c r="C57" s="39" t="s">
        <v>84</v>
      </c>
      <c r="D57" s="39" t="s">
        <v>84</v>
      </c>
      <c r="E57" s="39"/>
      <c r="F57" s="39"/>
      <c r="G57" s="39"/>
      <c r="H57" s="39" t="s">
        <v>84</v>
      </c>
      <c r="I57" s="39" t="s">
        <v>84</v>
      </c>
      <c r="J57" s="39"/>
      <c r="K57" s="39"/>
      <c r="L57" s="11" t="s">
        <v>84</v>
      </c>
      <c r="M57" s="7" t="s">
        <v>948</v>
      </c>
      <c r="N57" s="21" t="s">
        <v>3631</v>
      </c>
      <c r="O57" s="11" t="s">
        <v>84</v>
      </c>
      <c r="P57" s="11" t="s">
        <v>3938</v>
      </c>
      <c r="Q57" s="7" t="s">
        <v>2851</v>
      </c>
      <c r="R57" s="11" t="s">
        <v>80</v>
      </c>
      <c r="S57" s="7"/>
      <c r="T57" s="21"/>
      <c r="V57" s="11"/>
      <c r="W57" s="11"/>
      <c r="X57" s="11"/>
      <c r="Y57" s="11"/>
      <c r="Z57" s="11"/>
      <c r="AA57" s="11"/>
      <c r="AB57" s="11"/>
      <c r="AC57" s="11"/>
      <c r="AD57" s="11"/>
      <c r="AE57" s="11"/>
      <c r="AF57" s="11"/>
      <c r="AG57" s="11"/>
      <c r="AH57" s="11"/>
      <c r="AI57" s="11"/>
    </row>
    <row r="58" spans="1:35" s="1" customFormat="1" x14ac:dyDescent="0.2">
      <c r="A58" s="1">
        <v>57</v>
      </c>
      <c r="B58" s="11" t="s">
        <v>962</v>
      </c>
      <c r="C58" s="39" t="s">
        <v>84</v>
      </c>
      <c r="D58" s="39" t="s">
        <v>84</v>
      </c>
      <c r="E58" s="39" t="s">
        <v>84</v>
      </c>
      <c r="F58" s="39"/>
      <c r="G58" s="39"/>
      <c r="H58" s="39" t="s">
        <v>82</v>
      </c>
      <c r="I58" s="39"/>
      <c r="J58" s="39"/>
      <c r="K58" s="39"/>
      <c r="L58" s="11" t="s">
        <v>82</v>
      </c>
      <c r="M58" s="7"/>
      <c r="N58" s="21"/>
      <c r="O58" s="11" t="s">
        <v>82</v>
      </c>
      <c r="P58" s="11"/>
      <c r="Q58" s="11"/>
      <c r="R58" s="11" t="s">
        <v>82</v>
      </c>
      <c r="S58" s="7"/>
      <c r="T58" s="21"/>
      <c r="V58" s="11"/>
      <c r="W58" s="11"/>
      <c r="X58" s="11"/>
      <c r="Y58" s="11"/>
      <c r="Z58" s="11"/>
      <c r="AA58" s="11"/>
      <c r="AB58" s="11"/>
      <c r="AC58" s="11"/>
      <c r="AD58" s="11"/>
      <c r="AE58" s="11"/>
      <c r="AF58" s="11"/>
      <c r="AG58" s="11"/>
      <c r="AH58" s="11"/>
      <c r="AI58" s="11"/>
    </row>
    <row r="59" spans="1:35" s="1" customFormat="1" ht="140.25" x14ac:dyDescent="0.2">
      <c r="A59" s="1">
        <v>58</v>
      </c>
      <c r="B59" s="11" t="s">
        <v>1075</v>
      </c>
      <c r="C59" s="39"/>
      <c r="D59" s="39" t="s">
        <v>84</v>
      </c>
      <c r="E59" s="39" t="s">
        <v>84</v>
      </c>
      <c r="F59" s="39" t="s">
        <v>84</v>
      </c>
      <c r="G59" s="39"/>
      <c r="H59" s="39" t="s">
        <v>82</v>
      </c>
      <c r="I59" s="39"/>
      <c r="J59" s="39"/>
      <c r="K59" s="39"/>
      <c r="L59" s="11" t="s">
        <v>84</v>
      </c>
      <c r="M59" s="7" t="s">
        <v>1076</v>
      </c>
      <c r="N59" s="21" t="s">
        <v>3633</v>
      </c>
      <c r="O59" s="11" t="s">
        <v>82</v>
      </c>
      <c r="P59" s="11"/>
      <c r="Q59" s="11"/>
      <c r="R59" s="11" t="s">
        <v>84</v>
      </c>
      <c r="S59" s="7" t="s">
        <v>1077</v>
      </c>
      <c r="T59" s="21" t="s">
        <v>3718</v>
      </c>
    </row>
    <row r="60" spans="1:35" s="1" customFormat="1" x14ac:dyDescent="0.2">
      <c r="A60" s="1">
        <v>59</v>
      </c>
      <c r="B60" s="11" t="s">
        <v>1092</v>
      </c>
      <c r="C60" s="39" t="s">
        <v>84</v>
      </c>
      <c r="D60" s="39" t="s">
        <v>84</v>
      </c>
      <c r="E60" s="39" t="s">
        <v>84</v>
      </c>
      <c r="F60" s="39" t="s">
        <v>84</v>
      </c>
      <c r="G60" s="39"/>
      <c r="H60" s="39" t="s">
        <v>82</v>
      </c>
      <c r="I60" s="39" t="s">
        <v>84</v>
      </c>
      <c r="J60" s="39"/>
      <c r="K60" s="39"/>
      <c r="L60" s="11" t="s">
        <v>84</v>
      </c>
      <c r="M60" s="7" t="s">
        <v>1093</v>
      </c>
      <c r="N60" s="21" t="s">
        <v>1093</v>
      </c>
      <c r="O60" s="11" t="s">
        <v>82</v>
      </c>
      <c r="P60" s="11"/>
      <c r="Q60" s="11"/>
      <c r="R60" s="11" t="s">
        <v>84</v>
      </c>
      <c r="S60" s="7" t="s">
        <v>1094</v>
      </c>
      <c r="T60" s="21" t="s">
        <v>1072</v>
      </c>
    </row>
    <row r="61" spans="1:35" s="1" customFormat="1" ht="38.25" x14ac:dyDescent="0.2">
      <c r="A61" s="1">
        <v>60</v>
      </c>
      <c r="B61" s="11" t="s">
        <v>1103</v>
      </c>
      <c r="C61" s="39"/>
      <c r="D61" s="39" t="s">
        <v>84</v>
      </c>
      <c r="E61" s="39" t="s">
        <v>84</v>
      </c>
      <c r="F61" s="39" t="s">
        <v>84</v>
      </c>
      <c r="G61" s="39"/>
      <c r="H61" s="39" t="s">
        <v>82</v>
      </c>
      <c r="I61" s="39"/>
      <c r="J61" s="39"/>
      <c r="K61" s="39"/>
      <c r="L61" s="11" t="s">
        <v>84</v>
      </c>
      <c r="M61" s="7" t="s">
        <v>1104</v>
      </c>
      <c r="N61" s="21"/>
      <c r="O61" s="11" t="s">
        <v>82</v>
      </c>
      <c r="P61" s="11"/>
      <c r="Q61" s="11"/>
      <c r="R61" s="11" t="s">
        <v>84</v>
      </c>
      <c r="S61" s="7"/>
      <c r="T61" s="21"/>
    </row>
    <row r="62" spans="1:35" ht="140.25" x14ac:dyDescent="0.2">
      <c r="A62" s="1">
        <v>61</v>
      </c>
      <c r="B62" s="24"/>
      <c r="C62" s="11" t="s">
        <v>84</v>
      </c>
      <c r="D62" s="11" t="s">
        <v>84</v>
      </c>
      <c r="E62" s="11" t="s">
        <v>84</v>
      </c>
      <c r="F62" s="11" t="s">
        <v>82</v>
      </c>
      <c r="G62" s="11" t="s">
        <v>82</v>
      </c>
      <c r="H62" s="28" t="s">
        <v>82</v>
      </c>
      <c r="I62" s="11" t="s">
        <v>84</v>
      </c>
      <c r="J62" s="11" t="s">
        <v>82</v>
      </c>
      <c r="K62" s="11"/>
      <c r="L62" s="11" t="s">
        <v>84</v>
      </c>
      <c r="M62" s="7" t="s">
        <v>4206</v>
      </c>
      <c r="N62" s="21" t="s">
        <v>3634</v>
      </c>
      <c r="O62" s="11" t="s">
        <v>82</v>
      </c>
      <c r="P62" s="11"/>
      <c r="Q62" s="11"/>
      <c r="R62" s="11" t="s">
        <v>84</v>
      </c>
      <c r="S62" s="7" t="s">
        <v>1298</v>
      </c>
      <c r="T62" s="21"/>
    </row>
    <row r="63" spans="1:35" x14ac:dyDescent="0.2">
      <c r="A63" s="1">
        <v>62</v>
      </c>
      <c r="B63" s="24"/>
      <c r="C63" s="11" t="s">
        <v>84</v>
      </c>
      <c r="D63" s="11" t="s">
        <v>84</v>
      </c>
      <c r="E63" s="11" t="s">
        <v>84</v>
      </c>
      <c r="F63" s="11" t="s">
        <v>82</v>
      </c>
      <c r="G63" s="11" t="s">
        <v>82</v>
      </c>
      <c r="H63" s="28" t="s">
        <v>82</v>
      </c>
      <c r="I63" s="11" t="s">
        <v>82</v>
      </c>
      <c r="J63" s="11" t="s">
        <v>82</v>
      </c>
      <c r="K63" s="11"/>
      <c r="L63" s="11" t="s">
        <v>82</v>
      </c>
      <c r="M63" s="7"/>
      <c r="N63" s="21"/>
      <c r="O63" s="11" t="s">
        <v>82</v>
      </c>
      <c r="P63" s="11"/>
      <c r="Q63" s="11"/>
      <c r="R63" s="11" t="s">
        <v>84</v>
      </c>
      <c r="S63" s="7"/>
      <c r="T63" s="21"/>
    </row>
    <row r="64" spans="1:35" ht="76.5" x14ac:dyDescent="0.2">
      <c r="A64" s="1">
        <v>63</v>
      </c>
      <c r="B64" s="24"/>
      <c r="C64" s="11" t="s">
        <v>84</v>
      </c>
      <c r="D64" s="11" t="s">
        <v>84</v>
      </c>
      <c r="E64" s="11" t="s">
        <v>84</v>
      </c>
      <c r="F64" s="11" t="s">
        <v>84</v>
      </c>
      <c r="G64" s="11" t="s">
        <v>82</v>
      </c>
      <c r="H64" s="28" t="s">
        <v>82</v>
      </c>
      <c r="I64" s="11" t="s">
        <v>84</v>
      </c>
      <c r="J64" s="11" t="s">
        <v>82</v>
      </c>
      <c r="K64" s="11"/>
      <c r="L64" s="11" t="s">
        <v>84</v>
      </c>
      <c r="M64" s="7" t="s">
        <v>1321</v>
      </c>
      <c r="N64" s="21" t="s">
        <v>1321</v>
      </c>
      <c r="O64" s="11" t="s">
        <v>82</v>
      </c>
      <c r="P64" s="11"/>
      <c r="Q64" s="11"/>
      <c r="R64" s="11" t="s">
        <v>84</v>
      </c>
      <c r="S64" s="7" t="s">
        <v>1322</v>
      </c>
      <c r="T64" s="21" t="s">
        <v>3716</v>
      </c>
    </row>
    <row r="65" spans="1:20" ht="25.5" x14ac:dyDescent="0.2">
      <c r="A65" s="1">
        <v>64</v>
      </c>
      <c r="B65" s="33"/>
      <c r="C65" s="33" t="s">
        <v>84</v>
      </c>
      <c r="D65" s="33" t="s">
        <v>84</v>
      </c>
      <c r="E65" s="33" t="s">
        <v>84</v>
      </c>
      <c r="F65" s="33" t="s">
        <v>82</v>
      </c>
      <c r="G65" s="33" t="s">
        <v>82</v>
      </c>
      <c r="H65" s="33" t="s">
        <v>82</v>
      </c>
      <c r="I65" s="33" t="s">
        <v>84</v>
      </c>
      <c r="J65" s="33" t="s">
        <v>82</v>
      </c>
      <c r="K65" s="33"/>
      <c r="L65" s="33" t="s">
        <v>82</v>
      </c>
      <c r="M65" s="33"/>
      <c r="N65" s="45"/>
      <c r="O65" s="33" t="s">
        <v>82</v>
      </c>
      <c r="P65" s="33"/>
      <c r="Q65" s="33"/>
      <c r="R65" s="33" t="s">
        <v>82</v>
      </c>
      <c r="S65" s="52" t="s">
        <v>1337</v>
      </c>
      <c r="T65" s="45" t="s">
        <v>3717</v>
      </c>
    </row>
    <row r="66" spans="1:20" ht="51" x14ac:dyDescent="0.2">
      <c r="A66" s="1">
        <v>65</v>
      </c>
      <c r="B66" s="24"/>
      <c r="C66" s="11" t="s">
        <v>84</v>
      </c>
      <c r="D66" s="11" t="s">
        <v>84</v>
      </c>
      <c r="E66" s="11" t="s">
        <v>84</v>
      </c>
      <c r="F66" s="11" t="s">
        <v>82</v>
      </c>
      <c r="G66" s="11" t="s">
        <v>82</v>
      </c>
      <c r="H66" s="43" t="s">
        <v>84</v>
      </c>
      <c r="I66" s="11" t="s">
        <v>84</v>
      </c>
      <c r="J66" s="11" t="s">
        <v>82</v>
      </c>
      <c r="L66" s="11" t="s">
        <v>84</v>
      </c>
      <c r="M66" s="19" t="s">
        <v>1339</v>
      </c>
      <c r="N66" s="21" t="s">
        <v>3626</v>
      </c>
      <c r="O66" s="39" t="s">
        <v>84</v>
      </c>
      <c r="P66" s="11" t="s">
        <v>3894</v>
      </c>
      <c r="Q66" s="11"/>
      <c r="R66" s="11" t="s">
        <v>84</v>
      </c>
      <c r="S66" s="7" t="s">
        <v>1340</v>
      </c>
      <c r="T66" s="21" t="s">
        <v>1072</v>
      </c>
    </row>
    <row r="67" spans="1:20" x14ac:dyDescent="0.2">
      <c r="A67" s="1">
        <v>66</v>
      </c>
      <c r="B67" s="24"/>
      <c r="C67" s="11" t="s">
        <v>84</v>
      </c>
      <c r="D67" s="11" t="s">
        <v>84</v>
      </c>
      <c r="E67" s="11" t="s">
        <v>84</v>
      </c>
      <c r="F67" s="11" t="s">
        <v>82</v>
      </c>
      <c r="G67" s="11" t="s">
        <v>84</v>
      </c>
      <c r="H67" s="28" t="s">
        <v>82</v>
      </c>
      <c r="I67" s="11" t="s">
        <v>82</v>
      </c>
      <c r="J67" s="11" t="s">
        <v>84</v>
      </c>
      <c r="K67" s="11"/>
      <c r="L67" s="11" t="s">
        <v>82</v>
      </c>
      <c r="M67" s="11"/>
      <c r="N67" s="21"/>
      <c r="O67" s="11" t="s">
        <v>82</v>
      </c>
      <c r="P67" s="11"/>
      <c r="Q67" s="11"/>
      <c r="R67" s="11" t="s">
        <v>82</v>
      </c>
      <c r="S67" s="7"/>
      <c r="T67" s="21"/>
    </row>
    <row r="68" spans="1:20" ht="25.5" x14ac:dyDescent="0.2">
      <c r="A68" s="1">
        <v>67</v>
      </c>
      <c r="B68" s="24"/>
      <c r="C68" s="11" t="s">
        <v>84</v>
      </c>
      <c r="D68" s="11" t="s">
        <v>84</v>
      </c>
      <c r="E68" s="11" t="s">
        <v>84</v>
      </c>
      <c r="F68" s="11" t="s">
        <v>84</v>
      </c>
      <c r="G68" s="11" t="s">
        <v>82</v>
      </c>
      <c r="H68" s="28" t="s">
        <v>82</v>
      </c>
      <c r="I68" s="11" t="s">
        <v>84</v>
      </c>
      <c r="J68" s="11" t="s">
        <v>84</v>
      </c>
      <c r="K68" s="11"/>
      <c r="L68" s="11" t="s">
        <v>82</v>
      </c>
      <c r="M68" s="11"/>
      <c r="N68" s="21"/>
      <c r="O68" s="11" t="s">
        <v>82</v>
      </c>
      <c r="P68" s="11"/>
      <c r="Q68" s="11"/>
      <c r="R68" s="11" t="s">
        <v>82</v>
      </c>
      <c r="S68" s="7" t="s">
        <v>1359</v>
      </c>
      <c r="T68" s="21" t="s">
        <v>3718</v>
      </c>
    </row>
    <row r="69" spans="1:20" x14ac:dyDescent="0.2">
      <c r="A69" s="1">
        <v>68</v>
      </c>
      <c r="B69" s="24"/>
      <c r="C69" s="11" t="s">
        <v>84</v>
      </c>
      <c r="D69" s="11" t="s">
        <v>84</v>
      </c>
      <c r="E69" s="11" t="s">
        <v>84</v>
      </c>
      <c r="F69" s="11" t="s">
        <v>82</v>
      </c>
      <c r="G69" s="11" t="s">
        <v>82</v>
      </c>
      <c r="H69" s="28" t="s">
        <v>82</v>
      </c>
      <c r="I69" s="11" t="s">
        <v>82</v>
      </c>
      <c r="J69" s="11" t="s">
        <v>82</v>
      </c>
      <c r="K69" s="11"/>
      <c r="L69" s="11" t="s">
        <v>82</v>
      </c>
      <c r="M69" s="11"/>
      <c r="N69" s="21"/>
      <c r="O69" s="11" t="s">
        <v>82</v>
      </c>
      <c r="P69" s="11"/>
      <c r="Q69" s="11"/>
      <c r="R69" s="11" t="s">
        <v>82</v>
      </c>
      <c r="S69" s="7"/>
      <c r="T69" s="21"/>
    </row>
    <row r="70" spans="1:20" x14ac:dyDescent="0.2">
      <c r="A70" s="1">
        <v>69</v>
      </c>
      <c r="B70" s="24"/>
      <c r="C70" s="11" t="s">
        <v>84</v>
      </c>
      <c r="D70" s="11" t="s">
        <v>82</v>
      </c>
      <c r="E70" s="11" t="s">
        <v>82</v>
      </c>
      <c r="F70" s="11" t="s">
        <v>84</v>
      </c>
      <c r="G70" s="11" t="s">
        <v>82</v>
      </c>
      <c r="H70" s="28" t="s">
        <v>82</v>
      </c>
      <c r="I70" s="11" t="s">
        <v>82</v>
      </c>
      <c r="J70" s="11" t="s">
        <v>84</v>
      </c>
      <c r="K70" s="11"/>
      <c r="L70" s="11" t="s">
        <v>84</v>
      </c>
      <c r="M70" s="11"/>
      <c r="N70" s="21"/>
      <c r="O70" s="11" t="s">
        <v>82</v>
      </c>
      <c r="P70" s="11"/>
      <c r="Q70" s="11"/>
      <c r="R70" s="11" t="s">
        <v>84</v>
      </c>
      <c r="S70" s="7"/>
      <c r="T70" s="21"/>
    </row>
    <row r="71" spans="1:20" x14ac:dyDescent="0.2">
      <c r="A71" s="1">
        <v>70</v>
      </c>
      <c r="B71" s="24"/>
      <c r="C71" s="11" t="s">
        <v>84</v>
      </c>
      <c r="D71" s="11" t="s">
        <v>84</v>
      </c>
      <c r="E71" s="11" t="s">
        <v>84</v>
      </c>
      <c r="F71" s="11" t="s">
        <v>82</v>
      </c>
      <c r="G71" s="11" t="s">
        <v>82</v>
      </c>
      <c r="H71" s="28" t="s">
        <v>84</v>
      </c>
      <c r="I71" s="11" t="s">
        <v>84</v>
      </c>
      <c r="J71" s="11" t="s">
        <v>84</v>
      </c>
      <c r="K71" s="11"/>
      <c r="L71" s="11" t="s">
        <v>82</v>
      </c>
      <c r="M71" s="11"/>
      <c r="N71" s="21"/>
      <c r="O71" s="11" t="s">
        <v>84</v>
      </c>
      <c r="P71" s="11" t="s">
        <v>1933</v>
      </c>
      <c r="Q71" s="11"/>
      <c r="R71" s="11" t="s">
        <v>80</v>
      </c>
      <c r="S71" s="7"/>
      <c r="T71" s="21"/>
    </row>
    <row r="72" spans="1:20" x14ac:dyDescent="0.2">
      <c r="A72" s="1">
        <v>71</v>
      </c>
      <c r="B72" s="24"/>
      <c r="C72" s="11" t="s">
        <v>84</v>
      </c>
      <c r="D72" s="11" t="s">
        <v>84</v>
      </c>
      <c r="E72" s="11" t="s">
        <v>84</v>
      </c>
      <c r="F72" s="11" t="s">
        <v>82</v>
      </c>
      <c r="G72" s="11" t="s">
        <v>82</v>
      </c>
      <c r="H72" s="28" t="s">
        <v>82</v>
      </c>
      <c r="I72" s="11" t="s">
        <v>82</v>
      </c>
      <c r="J72" s="11" t="s">
        <v>82</v>
      </c>
      <c r="K72" s="11"/>
      <c r="L72" s="11" t="s">
        <v>82</v>
      </c>
      <c r="M72" s="11"/>
      <c r="N72" s="21"/>
      <c r="O72" s="11" t="s">
        <v>82</v>
      </c>
      <c r="P72" s="11"/>
      <c r="Q72" s="11"/>
      <c r="R72" s="11" t="s">
        <v>82</v>
      </c>
      <c r="S72" s="7"/>
      <c r="T72" s="21"/>
    </row>
    <row r="73" spans="1:20" ht="51" x14ac:dyDescent="0.2">
      <c r="A73" s="1">
        <v>72</v>
      </c>
      <c r="B73" s="24"/>
      <c r="C73" s="11" t="s">
        <v>84</v>
      </c>
      <c r="D73" s="11" t="s">
        <v>84</v>
      </c>
      <c r="E73" s="11" t="s">
        <v>84</v>
      </c>
      <c r="F73" s="11" t="s">
        <v>84</v>
      </c>
      <c r="G73" s="11" t="s">
        <v>82</v>
      </c>
      <c r="H73" s="28" t="s">
        <v>82</v>
      </c>
      <c r="I73" s="11" t="s">
        <v>84</v>
      </c>
      <c r="J73" s="11" t="s">
        <v>84</v>
      </c>
      <c r="K73" s="11"/>
      <c r="L73" s="11" t="s">
        <v>82</v>
      </c>
      <c r="M73" s="11"/>
      <c r="N73" s="21"/>
      <c r="O73" s="11" t="s">
        <v>82</v>
      </c>
      <c r="P73" s="11"/>
      <c r="Q73" s="11"/>
      <c r="R73" s="11" t="s">
        <v>84</v>
      </c>
      <c r="S73" s="7" t="s">
        <v>1391</v>
      </c>
      <c r="T73" s="21" t="s">
        <v>1072</v>
      </c>
    </row>
    <row r="74" spans="1:20" ht="51" x14ac:dyDescent="0.2">
      <c r="A74" s="1">
        <v>73</v>
      </c>
      <c r="B74" s="33"/>
      <c r="C74" s="33" t="s">
        <v>84</v>
      </c>
      <c r="D74" s="33" t="s">
        <v>84</v>
      </c>
      <c r="E74" s="33" t="s">
        <v>84</v>
      </c>
      <c r="F74" s="33" t="s">
        <v>82</v>
      </c>
      <c r="G74" s="33" t="s">
        <v>82</v>
      </c>
      <c r="H74" s="34" t="s">
        <v>84</v>
      </c>
      <c r="I74" s="33" t="s">
        <v>84</v>
      </c>
      <c r="J74" s="33" t="s">
        <v>84</v>
      </c>
      <c r="K74" s="33"/>
      <c r="L74" s="33" t="s">
        <v>82</v>
      </c>
      <c r="M74" s="33"/>
      <c r="N74" s="45"/>
      <c r="O74" s="46" t="s">
        <v>84</v>
      </c>
      <c r="P74" s="45" t="s">
        <v>1350</v>
      </c>
      <c r="Q74" s="33"/>
      <c r="R74" s="33" t="s">
        <v>84</v>
      </c>
      <c r="S74" s="52" t="s">
        <v>1397</v>
      </c>
      <c r="T74" s="45" t="s">
        <v>3724</v>
      </c>
    </row>
    <row r="75" spans="1:20" x14ac:dyDescent="0.2">
      <c r="A75" s="1">
        <v>74</v>
      </c>
      <c r="B75" s="24"/>
      <c r="C75" s="11" t="s">
        <v>84</v>
      </c>
      <c r="D75" s="11" t="s">
        <v>84</v>
      </c>
      <c r="E75" s="11" t="s">
        <v>84</v>
      </c>
      <c r="F75" s="11" t="s">
        <v>82</v>
      </c>
      <c r="G75" s="11" t="s">
        <v>82</v>
      </c>
      <c r="H75" s="28" t="s">
        <v>82</v>
      </c>
      <c r="I75" s="11" t="s">
        <v>82</v>
      </c>
      <c r="J75" s="11" t="s">
        <v>82</v>
      </c>
      <c r="K75" s="11"/>
      <c r="L75" s="11" t="s">
        <v>82</v>
      </c>
      <c r="M75" s="11"/>
      <c r="N75" s="21"/>
      <c r="O75" s="11" t="s">
        <v>82</v>
      </c>
      <c r="P75" s="11"/>
      <c r="Q75" s="11"/>
      <c r="R75" s="11" t="s">
        <v>82</v>
      </c>
      <c r="S75" s="7"/>
      <c r="T75" s="21"/>
    </row>
    <row r="76" spans="1:20" x14ac:dyDescent="0.2">
      <c r="A76" s="1">
        <v>75</v>
      </c>
      <c r="B76" s="33"/>
      <c r="C76" s="33" t="s">
        <v>84</v>
      </c>
      <c r="D76" s="33" t="s">
        <v>84</v>
      </c>
      <c r="E76" s="33" t="s">
        <v>84</v>
      </c>
      <c r="F76" s="33" t="s">
        <v>84</v>
      </c>
      <c r="G76" s="33" t="s">
        <v>82</v>
      </c>
      <c r="H76" s="33" t="s">
        <v>82</v>
      </c>
      <c r="I76" s="33" t="s">
        <v>82</v>
      </c>
      <c r="J76" s="33" t="s">
        <v>84</v>
      </c>
      <c r="K76" s="33"/>
      <c r="L76" s="33" t="s">
        <v>82</v>
      </c>
      <c r="M76" s="33"/>
      <c r="N76" s="45"/>
      <c r="O76" s="33" t="s">
        <v>82</v>
      </c>
      <c r="P76" s="33"/>
      <c r="Q76" s="33"/>
      <c r="R76" s="33" t="s">
        <v>84</v>
      </c>
      <c r="S76" s="52"/>
      <c r="T76" s="45"/>
    </row>
    <row r="77" spans="1:20" x14ac:dyDescent="0.2">
      <c r="A77" s="1">
        <v>76</v>
      </c>
      <c r="B77" s="24"/>
      <c r="C77" s="11" t="s">
        <v>84</v>
      </c>
      <c r="D77" s="11" t="s">
        <v>84</v>
      </c>
      <c r="E77" s="11" t="s">
        <v>84</v>
      </c>
      <c r="F77" s="11" t="s">
        <v>82</v>
      </c>
      <c r="G77" s="11" t="s">
        <v>82</v>
      </c>
      <c r="H77" s="28" t="s">
        <v>82</v>
      </c>
      <c r="I77" s="11" t="s">
        <v>82</v>
      </c>
      <c r="J77" s="11" t="s">
        <v>84</v>
      </c>
      <c r="K77" s="11"/>
      <c r="L77" s="11" t="s">
        <v>82</v>
      </c>
      <c r="M77" s="11"/>
      <c r="N77" s="21"/>
      <c r="O77" s="39" t="s">
        <v>84</v>
      </c>
      <c r="P77" s="39" t="s">
        <v>1350</v>
      </c>
      <c r="Q77" s="11"/>
      <c r="R77" s="11" t="s">
        <v>82</v>
      </c>
      <c r="S77" s="7" t="s">
        <v>1412</v>
      </c>
      <c r="T77" s="21" t="s">
        <v>3716</v>
      </c>
    </row>
    <row r="78" spans="1:20" ht="114.75" x14ac:dyDescent="0.2">
      <c r="A78" s="1">
        <v>77</v>
      </c>
      <c r="B78" s="24"/>
      <c r="C78" s="11" t="s">
        <v>84</v>
      </c>
      <c r="D78" s="11" t="s">
        <v>84</v>
      </c>
      <c r="E78" s="11" t="s">
        <v>84</v>
      </c>
      <c r="F78" s="11" t="s">
        <v>84</v>
      </c>
      <c r="G78" s="11" t="s">
        <v>82</v>
      </c>
      <c r="H78" s="28" t="s">
        <v>82</v>
      </c>
      <c r="I78" s="11" t="s">
        <v>82</v>
      </c>
      <c r="J78" s="11" t="s">
        <v>82</v>
      </c>
      <c r="K78" s="11"/>
      <c r="L78" s="11" t="s">
        <v>84</v>
      </c>
      <c r="M78" s="7" t="s">
        <v>1422</v>
      </c>
      <c r="N78" s="21" t="s">
        <v>3651</v>
      </c>
      <c r="O78" s="11" t="s">
        <v>82</v>
      </c>
      <c r="P78" s="11"/>
      <c r="Q78" s="11"/>
      <c r="R78" s="11" t="s">
        <v>84</v>
      </c>
      <c r="S78" s="7" t="s">
        <v>246</v>
      </c>
      <c r="T78" s="21"/>
    </row>
    <row r="79" spans="1:20" x14ac:dyDescent="0.2">
      <c r="A79" s="1">
        <v>78</v>
      </c>
      <c r="B79" s="24"/>
      <c r="C79" s="11" t="s">
        <v>84</v>
      </c>
      <c r="D79" s="11" t="s">
        <v>84</v>
      </c>
      <c r="E79" s="11" t="s">
        <v>84</v>
      </c>
      <c r="F79" s="11" t="s">
        <v>82</v>
      </c>
      <c r="G79" s="11" t="s">
        <v>82</v>
      </c>
      <c r="H79" s="28" t="s">
        <v>82</v>
      </c>
      <c r="I79" s="11" t="s">
        <v>82</v>
      </c>
      <c r="J79" s="11" t="s">
        <v>82</v>
      </c>
      <c r="K79" s="11"/>
      <c r="L79" s="11" t="s">
        <v>82</v>
      </c>
      <c r="M79" s="7"/>
      <c r="N79" s="21"/>
      <c r="O79" s="11" t="s">
        <v>82</v>
      </c>
      <c r="P79" s="11"/>
      <c r="Q79" s="11"/>
      <c r="R79" s="11" t="s">
        <v>82</v>
      </c>
      <c r="S79" s="7"/>
      <c r="T79" s="21"/>
    </row>
    <row r="80" spans="1:20" x14ac:dyDescent="0.2">
      <c r="A80" s="1">
        <v>79</v>
      </c>
      <c r="B80" s="24"/>
      <c r="C80" s="11" t="s">
        <v>84</v>
      </c>
      <c r="D80" s="11" t="s">
        <v>84</v>
      </c>
      <c r="E80" s="11" t="s">
        <v>84</v>
      </c>
      <c r="F80" s="11" t="s">
        <v>84</v>
      </c>
      <c r="G80" s="11" t="s">
        <v>82</v>
      </c>
      <c r="H80" s="28" t="s">
        <v>82</v>
      </c>
      <c r="I80" s="11" t="s">
        <v>84</v>
      </c>
      <c r="J80" s="11" t="s">
        <v>82</v>
      </c>
      <c r="K80" s="11"/>
      <c r="L80" s="11" t="s">
        <v>82</v>
      </c>
      <c r="M80" s="7"/>
      <c r="N80" s="21"/>
      <c r="O80" s="11" t="s">
        <v>82</v>
      </c>
      <c r="P80" s="11"/>
      <c r="Q80" s="11"/>
      <c r="R80" s="11" t="s">
        <v>84</v>
      </c>
      <c r="S80" s="7" t="s">
        <v>1430</v>
      </c>
      <c r="T80" s="21" t="s">
        <v>3717</v>
      </c>
    </row>
    <row r="81" spans="1:20" ht="76.5" x14ac:dyDescent="0.2">
      <c r="A81" s="1">
        <v>80</v>
      </c>
      <c r="B81" s="24"/>
      <c r="C81" s="11" t="s">
        <v>84</v>
      </c>
      <c r="D81" s="11" t="s">
        <v>84</v>
      </c>
      <c r="E81" s="11" t="s">
        <v>84</v>
      </c>
      <c r="F81" s="11" t="s">
        <v>84</v>
      </c>
      <c r="G81" s="11" t="s">
        <v>82</v>
      </c>
      <c r="H81" s="28" t="s">
        <v>82</v>
      </c>
      <c r="I81" s="11" t="s">
        <v>84</v>
      </c>
      <c r="J81" s="11" t="s">
        <v>82</v>
      </c>
      <c r="K81" s="11"/>
      <c r="L81" s="11" t="s">
        <v>84</v>
      </c>
      <c r="M81" s="7" t="s">
        <v>1444</v>
      </c>
      <c r="N81" s="21" t="s">
        <v>3652</v>
      </c>
      <c r="O81" s="11" t="s">
        <v>82</v>
      </c>
      <c r="P81" s="11"/>
      <c r="Q81" s="11"/>
      <c r="R81" s="11" t="s">
        <v>84</v>
      </c>
      <c r="S81" s="7" t="s">
        <v>1445</v>
      </c>
      <c r="T81" s="21" t="s">
        <v>3719</v>
      </c>
    </row>
    <row r="82" spans="1:20" ht="25.5" x14ac:dyDescent="0.2">
      <c r="A82" s="1">
        <v>81</v>
      </c>
      <c r="B82" s="24"/>
      <c r="C82" s="11" t="s">
        <v>84</v>
      </c>
      <c r="D82" s="11" t="s">
        <v>84</v>
      </c>
      <c r="E82" s="11" t="s">
        <v>84</v>
      </c>
      <c r="F82" s="11" t="s">
        <v>82</v>
      </c>
      <c r="G82" s="11" t="s">
        <v>82</v>
      </c>
      <c r="H82" s="28" t="s">
        <v>82</v>
      </c>
      <c r="I82" s="11" t="s">
        <v>82</v>
      </c>
      <c r="J82" s="11" t="s">
        <v>82</v>
      </c>
      <c r="K82" s="11"/>
      <c r="L82" s="11" t="s">
        <v>82</v>
      </c>
      <c r="M82" s="7"/>
      <c r="N82" s="21"/>
      <c r="O82" s="11" t="s">
        <v>82</v>
      </c>
      <c r="P82" s="11"/>
      <c r="Q82" s="11"/>
      <c r="R82" s="11" t="s">
        <v>82</v>
      </c>
      <c r="S82" s="7" t="s">
        <v>1455</v>
      </c>
      <c r="T82" s="21" t="s">
        <v>3716</v>
      </c>
    </row>
    <row r="83" spans="1:20" x14ac:dyDescent="0.2">
      <c r="A83" s="1">
        <v>82</v>
      </c>
      <c r="B83" s="24"/>
      <c r="C83" s="11" t="s">
        <v>84</v>
      </c>
      <c r="D83" s="11" t="s">
        <v>84</v>
      </c>
      <c r="E83" s="11" t="s">
        <v>84</v>
      </c>
      <c r="F83" s="11" t="s">
        <v>82</v>
      </c>
      <c r="G83" s="11" t="s">
        <v>82</v>
      </c>
      <c r="H83" s="28" t="s">
        <v>82</v>
      </c>
      <c r="I83" s="11" t="s">
        <v>84</v>
      </c>
      <c r="J83" s="11" t="s">
        <v>82</v>
      </c>
      <c r="K83" s="11"/>
      <c r="L83" s="11" t="s">
        <v>82</v>
      </c>
      <c r="M83" s="7"/>
      <c r="N83" s="21"/>
      <c r="O83" s="11" t="s">
        <v>82</v>
      </c>
      <c r="P83" s="11"/>
      <c r="Q83" s="11"/>
      <c r="R83" s="11" t="s">
        <v>82</v>
      </c>
      <c r="S83" s="7"/>
      <c r="T83" s="21"/>
    </row>
    <row r="84" spans="1:20" x14ac:dyDescent="0.2">
      <c r="A84" s="1">
        <v>83</v>
      </c>
      <c r="B84" s="24"/>
      <c r="C84" s="11" t="s">
        <v>84</v>
      </c>
      <c r="D84" s="11" t="s">
        <v>84</v>
      </c>
      <c r="E84" s="11" t="s">
        <v>84</v>
      </c>
      <c r="F84" s="11" t="s">
        <v>82</v>
      </c>
      <c r="G84" s="11" t="s">
        <v>84</v>
      </c>
      <c r="H84" s="28" t="s">
        <v>82</v>
      </c>
      <c r="I84" s="11" t="s">
        <v>82</v>
      </c>
      <c r="J84" s="11" t="s">
        <v>82</v>
      </c>
      <c r="K84" s="11"/>
      <c r="L84" s="11" t="s">
        <v>82</v>
      </c>
      <c r="M84" s="7"/>
      <c r="N84" s="21"/>
      <c r="O84" s="11" t="s">
        <v>82</v>
      </c>
      <c r="P84" s="11"/>
      <c r="Q84" s="11"/>
      <c r="R84" s="11" t="s">
        <v>82</v>
      </c>
      <c r="S84" s="7"/>
      <c r="T84" s="21"/>
    </row>
    <row r="85" spans="1:20" ht="76.5" x14ac:dyDescent="0.2">
      <c r="A85" s="1">
        <v>84</v>
      </c>
      <c r="B85" s="24"/>
      <c r="C85" s="11" t="s">
        <v>84</v>
      </c>
      <c r="D85" s="11" t="s">
        <v>84</v>
      </c>
      <c r="E85" s="11" t="s">
        <v>84</v>
      </c>
      <c r="F85" s="11" t="s">
        <v>84</v>
      </c>
      <c r="G85" s="11" t="s">
        <v>82</v>
      </c>
      <c r="H85" s="28" t="s">
        <v>84</v>
      </c>
      <c r="I85" s="11" t="s">
        <v>82</v>
      </c>
      <c r="J85" s="11" t="s">
        <v>82</v>
      </c>
      <c r="K85" s="11"/>
      <c r="L85" s="11" t="s">
        <v>82</v>
      </c>
      <c r="M85" s="7"/>
      <c r="N85" s="21"/>
      <c r="O85" s="11" t="s">
        <v>84</v>
      </c>
      <c r="P85" s="11" t="s">
        <v>1933</v>
      </c>
      <c r="Q85" s="11" t="s">
        <v>3000</v>
      </c>
      <c r="R85" s="11" t="s">
        <v>80</v>
      </c>
      <c r="S85" s="7"/>
      <c r="T85" s="21"/>
    </row>
    <row r="86" spans="1:20" ht="25.5" x14ac:dyDescent="0.2">
      <c r="A86" s="1">
        <v>85</v>
      </c>
      <c r="B86" s="24"/>
      <c r="C86" s="11" t="s">
        <v>84</v>
      </c>
      <c r="D86" s="11" t="s">
        <v>84</v>
      </c>
      <c r="E86" s="11" t="s">
        <v>84</v>
      </c>
      <c r="F86" s="11" t="s">
        <v>82</v>
      </c>
      <c r="G86" s="11" t="s">
        <v>82</v>
      </c>
      <c r="H86" s="28" t="s">
        <v>82</v>
      </c>
      <c r="I86" s="11" t="s">
        <v>82</v>
      </c>
      <c r="J86" s="11" t="s">
        <v>84</v>
      </c>
      <c r="K86" s="11"/>
      <c r="L86" s="11" t="s">
        <v>82</v>
      </c>
      <c r="M86" s="7"/>
      <c r="N86" s="21"/>
      <c r="O86" s="43" t="s">
        <v>82</v>
      </c>
      <c r="P86" s="28"/>
      <c r="Q86" s="11" t="s">
        <v>1502</v>
      </c>
      <c r="R86" s="11" t="s">
        <v>80</v>
      </c>
      <c r="S86" s="7"/>
      <c r="T86" s="21"/>
    </row>
    <row r="87" spans="1:20" x14ac:dyDescent="0.2">
      <c r="A87" s="1">
        <v>86</v>
      </c>
      <c r="B87" s="33"/>
      <c r="C87" s="33" t="s">
        <v>84</v>
      </c>
      <c r="D87" s="33" t="s">
        <v>84</v>
      </c>
      <c r="E87" s="33" t="s">
        <v>82</v>
      </c>
      <c r="F87" s="33" t="s">
        <v>84</v>
      </c>
      <c r="G87" s="33" t="s">
        <v>82</v>
      </c>
      <c r="H87" s="33" t="s">
        <v>82</v>
      </c>
      <c r="I87" s="33" t="s">
        <v>84</v>
      </c>
      <c r="J87" s="33" t="s">
        <v>84</v>
      </c>
      <c r="K87" s="33"/>
      <c r="L87" s="33" t="s">
        <v>84</v>
      </c>
      <c r="M87" s="52"/>
      <c r="N87" s="45"/>
      <c r="O87" s="33" t="s">
        <v>82</v>
      </c>
      <c r="P87" s="33"/>
      <c r="Q87" s="33"/>
      <c r="R87" s="33" t="s">
        <v>84</v>
      </c>
      <c r="S87" s="52"/>
      <c r="T87" s="45"/>
    </row>
    <row r="88" spans="1:20" x14ac:dyDescent="0.2">
      <c r="A88" s="1">
        <v>87</v>
      </c>
      <c r="B88" s="24"/>
      <c r="C88" s="11" t="s">
        <v>84</v>
      </c>
      <c r="D88" s="11" t="s">
        <v>84</v>
      </c>
      <c r="E88" s="11" t="s">
        <v>84</v>
      </c>
      <c r="F88" s="11" t="s">
        <v>84</v>
      </c>
      <c r="G88" s="11" t="s">
        <v>82</v>
      </c>
      <c r="H88" s="28" t="s">
        <v>84</v>
      </c>
      <c r="I88" s="11" t="s">
        <v>84</v>
      </c>
      <c r="J88" s="11" t="s">
        <v>82</v>
      </c>
      <c r="K88" s="11"/>
      <c r="L88" s="11" t="s">
        <v>84</v>
      </c>
      <c r="M88" s="7" t="s">
        <v>1518</v>
      </c>
      <c r="N88" s="21"/>
      <c r="O88" s="11" t="s">
        <v>84</v>
      </c>
      <c r="P88" s="11" t="s">
        <v>240</v>
      </c>
      <c r="Q88" s="7" t="s">
        <v>2490</v>
      </c>
      <c r="R88" s="11" t="s">
        <v>80</v>
      </c>
      <c r="S88" s="7"/>
      <c r="T88" s="21"/>
    </row>
    <row r="89" spans="1:20" ht="25.5" x14ac:dyDescent="0.2">
      <c r="A89" s="1">
        <v>88</v>
      </c>
      <c r="B89" s="24"/>
      <c r="C89" s="11" t="s">
        <v>82</v>
      </c>
      <c r="D89" s="11" t="s">
        <v>84</v>
      </c>
      <c r="E89" s="11" t="s">
        <v>84</v>
      </c>
      <c r="F89" s="11" t="s">
        <v>84</v>
      </c>
      <c r="G89" s="11" t="s">
        <v>82</v>
      </c>
      <c r="H89" s="28" t="s">
        <v>82</v>
      </c>
      <c r="I89" s="11" t="s">
        <v>84</v>
      </c>
      <c r="J89" s="11" t="s">
        <v>82</v>
      </c>
      <c r="K89" s="11"/>
      <c r="L89" s="11" t="s">
        <v>82</v>
      </c>
      <c r="M89" s="7"/>
      <c r="N89" s="21"/>
      <c r="O89" s="11" t="s">
        <v>82</v>
      </c>
      <c r="P89" s="11"/>
      <c r="Q89" s="11"/>
      <c r="R89" s="11" t="s">
        <v>84</v>
      </c>
      <c r="S89" s="7" t="s">
        <v>1529</v>
      </c>
      <c r="T89" s="21"/>
    </row>
    <row r="90" spans="1:20" x14ac:dyDescent="0.2">
      <c r="A90" s="1">
        <v>89</v>
      </c>
      <c r="B90" s="24"/>
      <c r="C90" s="11" t="s">
        <v>84</v>
      </c>
      <c r="D90" s="11" t="s">
        <v>84</v>
      </c>
      <c r="E90" s="11" t="s">
        <v>84</v>
      </c>
      <c r="F90" s="11" t="s">
        <v>84</v>
      </c>
      <c r="G90" s="11" t="s">
        <v>82</v>
      </c>
      <c r="H90" s="28" t="s">
        <v>82</v>
      </c>
      <c r="I90" s="11" t="s">
        <v>84</v>
      </c>
      <c r="J90" s="11" t="s">
        <v>82</v>
      </c>
      <c r="K90" s="11"/>
      <c r="L90" s="11" t="s">
        <v>82</v>
      </c>
      <c r="M90" s="7"/>
      <c r="N90" s="21"/>
      <c r="O90" s="11" t="s">
        <v>82</v>
      </c>
      <c r="P90" s="11"/>
      <c r="Q90" s="11"/>
      <c r="R90" s="11" t="s">
        <v>82</v>
      </c>
      <c r="S90" s="7"/>
      <c r="T90" s="21"/>
    </row>
    <row r="91" spans="1:20" ht="25.5" x14ac:dyDescent="0.2">
      <c r="A91" s="1">
        <v>90</v>
      </c>
      <c r="B91" s="24"/>
      <c r="C91" s="11" t="s">
        <v>84</v>
      </c>
      <c r="D91" s="11" t="s">
        <v>84</v>
      </c>
      <c r="E91" s="11" t="s">
        <v>84</v>
      </c>
      <c r="F91" s="11" t="s">
        <v>82</v>
      </c>
      <c r="G91" s="11" t="s">
        <v>82</v>
      </c>
      <c r="H91" s="28" t="s">
        <v>82</v>
      </c>
      <c r="I91" s="11" t="s">
        <v>82</v>
      </c>
      <c r="J91" s="11" t="s">
        <v>84</v>
      </c>
      <c r="K91" s="11"/>
      <c r="L91" s="11" t="s">
        <v>82</v>
      </c>
      <c r="M91" s="7"/>
      <c r="N91" s="21"/>
      <c r="O91" s="11" t="s">
        <v>82</v>
      </c>
      <c r="P91" s="11"/>
      <c r="Q91" s="11"/>
      <c r="R91" s="11" t="s">
        <v>82</v>
      </c>
      <c r="S91" s="7" t="s">
        <v>1542</v>
      </c>
      <c r="T91" s="21" t="s">
        <v>3452</v>
      </c>
    </row>
    <row r="92" spans="1:20" x14ac:dyDescent="0.2">
      <c r="A92" s="1">
        <v>91</v>
      </c>
      <c r="B92" s="33"/>
      <c r="C92" s="33" t="s">
        <v>84</v>
      </c>
      <c r="D92" s="33" t="s">
        <v>84</v>
      </c>
      <c r="E92" s="33" t="s">
        <v>84</v>
      </c>
      <c r="F92" s="33" t="s">
        <v>84</v>
      </c>
      <c r="G92" s="33" t="s">
        <v>82</v>
      </c>
      <c r="H92" s="46" t="s">
        <v>82</v>
      </c>
      <c r="I92" s="33" t="s">
        <v>82</v>
      </c>
      <c r="J92" s="33" t="s">
        <v>84</v>
      </c>
      <c r="K92" s="33"/>
      <c r="L92" s="33" t="s">
        <v>82</v>
      </c>
      <c r="M92" s="52"/>
      <c r="N92" s="45"/>
      <c r="O92" s="33" t="s">
        <v>82</v>
      </c>
      <c r="P92" s="33"/>
      <c r="Q92" s="33"/>
      <c r="R92" s="33" t="s">
        <v>82</v>
      </c>
      <c r="S92" s="52"/>
      <c r="T92" s="45"/>
    </row>
    <row r="93" spans="1:20" x14ac:dyDescent="0.2">
      <c r="A93" s="1">
        <v>92</v>
      </c>
      <c r="B93" s="24"/>
      <c r="C93" s="11" t="s">
        <v>84</v>
      </c>
      <c r="D93" s="11" t="s">
        <v>84</v>
      </c>
      <c r="E93" s="11" t="s">
        <v>82</v>
      </c>
      <c r="F93" s="11" t="s">
        <v>84</v>
      </c>
      <c r="G93" s="11" t="s">
        <v>84</v>
      </c>
      <c r="H93" s="43" t="s">
        <v>82</v>
      </c>
      <c r="I93" s="11" t="s">
        <v>84</v>
      </c>
      <c r="J93" s="11" t="s">
        <v>84</v>
      </c>
      <c r="K93" s="11"/>
      <c r="L93" s="11" t="s">
        <v>82</v>
      </c>
      <c r="M93" s="7"/>
      <c r="N93" s="21"/>
      <c r="O93" s="11" t="s">
        <v>82</v>
      </c>
      <c r="P93" s="11"/>
      <c r="Q93" s="11"/>
      <c r="R93" s="11" t="s">
        <v>82</v>
      </c>
      <c r="S93" s="7"/>
      <c r="T93" s="21"/>
    </row>
    <row r="94" spans="1:20" x14ac:dyDescent="0.2">
      <c r="A94" s="1">
        <v>93</v>
      </c>
      <c r="B94" s="24"/>
      <c r="C94" s="11" t="s">
        <v>84</v>
      </c>
      <c r="D94" s="11" t="s">
        <v>84</v>
      </c>
      <c r="E94" s="11" t="s">
        <v>84</v>
      </c>
      <c r="F94" s="11" t="s">
        <v>82</v>
      </c>
      <c r="G94" s="11" t="s">
        <v>82</v>
      </c>
      <c r="H94" s="28" t="s">
        <v>82</v>
      </c>
      <c r="I94" s="11" t="s">
        <v>82</v>
      </c>
      <c r="J94" s="11" t="s">
        <v>82</v>
      </c>
      <c r="K94" s="11"/>
      <c r="L94" s="11" t="s">
        <v>82</v>
      </c>
      <c r="M94" s="7"/>
      <c r="N94" s="21"/>
      <c r="O94" s="11" t="s">
        <v>82</v>
      </c>
      <c r="P94" s="11"/>
      <c r="Q94" s="11"/>
      <c r="R94" s="11" t="s">
        <v>82</v>
      </c>
      <c r="S94" s="7"/>
      <c r="T94" s="21"/>
    </row>
    <row r="95" spans="1:20" x14ac:dyDescent="0.2">
      <c r="A95" s="1">
        <v>94</v>
      </c>
      <c r="B95" s="24"/>
      <c r="C95" s="11" t="s">
        <v>84</v>
      </c>
      <c r="D95" s="11" t="s">
        <v>84</v>
      </c>
      <c r="E95" s="11" t="s">
        <v>84</v>
      </c>
      <c r="F95" s="11" t="s">
        <v>84</v>
      </c>
      <c r="G95" s="11" t="s">
        <v>82</v>
      </c>
      <c r="H95" s="28" t="s">
        <v>82</v>
      </c>
      <c r="I95" s="11" t="s">
        <v>82</v>
      </c>
      <c r="J95" s="11" t="s">
        <v>82</v>
      </c>
      <c r="K95" s="11"/>
      <c r="L95" s="11" t="s">
        <v>82</v>
      </c>
      <c r="M95" s="7"/>
      <c r="N95" s="21"/>
      <c r="O95" s="11" t="s">
        <v>82</v>
      </c>
      <c r="P95" s="11"/>
      <c r="Q95" s="11"/>
      <c r="R95" s="11" t="s">
        <v>82</v>
      </c>
      <c r="S95" s="7" t="s">
        <v>1556</v>
      </c>
      <c r="T95" s="21" t="s">
        <v>1052</v>
      </c>
    </row>
    <row r="96" spans="1:20" ht="153" x14ac:dyDescent="0.2">
      <c r="A96" s="1">
        <v>95</v>
      </c>
      <c r="B96" s="24"/>
      <c r="C96" s="11" t="s">
        <v>84</v>
      </c>
      <c r="D96" s="11" t="s">
        <v>84</v>
      </c>
      <c r="E96" s="11" t="s">
        <v>84</v>
      </c>
      <c r="F96" s="11" t="s">
        <v>84</v>
      </c>
      <c r="G96" s="11" t="s">
        <v>82</v>
      </c>
      <c r="H96" s="28" t="s">
        <v>82</v>
      </c>
      <c r="I96" s="11" t="s">
        <v>84</v>
      </c>
      <c r="J96" s="11" t="s">
        <v>84</v>
      </c>
      <c r="K96" s="11"/>
      <c r="L96" s="11" t="s">
        <v>84</v>
      </c>
      <c r="M96" s="7" t="s">
        <v>1568</v>
      </c>
      <c r="N96" s="21" t="s">
        <v>3626</v>
      </c>
      <c r="O96" s="11" t="s">
        <v>82</v>
      </c>
      <c r="P96" s="11"/>
      <c r="Q96" s="11"/>
      <c r="R96" s="11" t="s">
        <v>84</v>
      </c>
      <c r="S96" s="7" t="s">
        <v>4207</v>
      </c>
      <c r="T96" s="21" t="s">
        <v>3720</v>
      </c>
    </row>
    <row r="97" spans="1:20" ht="25.5" x14ac:dyDescent="0.2">
      <c r="A97" s="1">
        <v>96</v>
      </c>
      <c r="B97" s="24"/>
      <c r="C97" s="11" t="s">
        <v>84</v>
      </c>
      <c r="D97" s="11" t="s">
        <v>84</v>
      </c>
      <c r="E97" s="11" t="s">
        <v>82</v>
      </c>
      <c r="F97" s="11" t="s">
        <v>82</v>
      </c>
      <c r="G97" s="11" t="s">
        <v>82</v>
      </c>
      <c r="H97" s="28" t="s">
        <v>84</v>
      </c>
      <c r="I97" s="11" t="s">
        <v>84</v>
      </c>
      <c r="J97" s="11" t="s">
        <v>82</v>
      </c>
      <c r="K97" s="11"/>
      <c r="L97" s="11" t="s">
        <v>84</v>
      </c>
      <c r="M97" s="7"/>
      <c r="N97" s="21"/>
      <c r="O97" s="11" t="s">
        <v>84</v>
      </c>
      <c r="P97" s="11" t="s">
        <v>430</v>
      </c>
      <c r="Q97" s="11" t="s">
        <v>2489</v>
      </c>
      <c r="R97" s="11" t="s">
        <v>80</v>
      </c>
      <c r="S97" s="7"/>
      <c r="T97" s="21"/>
    </row>
    <row r="98" spans="1:20" ht="25.5" x14ac:dyDescent="0.2">
      <c r="A98" s="1">
        <v>97</v>
      </c>
      <c r="B98" s="24"/>
      <c r="C98" s="11" t="s">
        <v>84</v>
      </c>
      <c r="D98" s="11" t="s">
        <v>84</v>
      </c>
      <c r="E98" s="11" t="s">
        <v>82</v>
      </c>
      <c r="F98" s="11" t="s">
        <v>82</v>
      </c>
      <c r="G98" s="11" t="s">
        <v>84</v>
      </c>
      <c r="H98" s="28" t="s">
        <v>84</v>
      </c>
      <c r="I98" s="11" t="s">
        <v>84</v>
      </c>
      <c r="J98" s="11" t="s">
        <v>82</v>
      </c>
      <c r="K98" s="11"/>
      <c r="L98" s="11" t="s">
        <v>84</v>
      </c>
      <c r="M98" s="7" t="s">
        <v>1594</v>
      </c>
      <c r="N98" s="21" t="s">
        <v>3632</v>
      </c>
      <c r="O98" s="11" t="s">
        <v>84</v>
      </c>
      <c r="P98" s="11" t="s">
        <v>3897</v>
      </c>
      <c r="Q98" s="11" t="s">
        <v>3698</v>
      </c>
      <c r="R98" s="11" t="s">
        <v>80</v>
      </c>
      <c r="S98" s="7"/>
      <c r="T98" s="21"/>
    </row>
    <row r="99" spans="1:20" ht="38.25" x14ac:dyDescent="0.2">
      <c r="A99" s="1">
        <v>98</v>
      </c>
      <c r="B99" s="24"/>
      <c r="C99" s="11" t="s">
        <v>84</v>
      </c>
      <c r="D99" s="11" t="s">
        <v>84</v>
      </c>
      <c r="E99" s="11" t="s">
        <v>84</v>
      </c>
      <c r="F99" s="11" t="s">
        <v>84</v>
      </c>
      <c r="G99" s="11" t="s">
        <v>84</v>
      </c>
      <c r="H99" s="28" t="s">
        <v>84</v>
      </c>
      <c r="I99" s="11" t="s">
        <v>84</v>
      </c>
      <c r="J99" s="11" t="s">
        <v>82</v>
      </c>
      <c r="K99" s="11"/>
      <c r="L99" s="11" t="s">
        <v>84</v>
      </c>
      <c r="M99" s="7" t="s">
        <v>1609</v>
      </c>
      <c r="N99" s="21" t="s">
        <v>3653</v>
      </c>
      <c r="O99" s="11" t="s">
        <v>84</v>
      </c>
      <c r="P99" s="11" t="s">
        <v>3895</v>
      </c>
      <c r="Q99" s="19" t="s">
        <v>1610</v>
      </c>
      <c r="R99" s="11" t="s">
        <v>80</v>
      </c>
      <c r="S99" s="7"/>
      <c r="T99" s="21"/>
    </row>
    <row r="100" spans="1:20" x14ac:dyDescent="0.2">
      <c r="A100" s="1">
        <v>99</v>
      </c>
      <c r="B100" s="24"/>
      <c r="C100" s="11" t="s">
        <v>84</v>
      </c>
      <c r="D100" s="11" t="s">
        <v>84</v>
      </c>
      <c r="E100" s="11" t="s">
        <v>84</v>
      </c>
      <c r="F100" s="11" t="s">
        <v>82</v>
      </c>
      <c r="G100" s="11" t="s">
        <v>82</v>
      </c>
      <c r="H100" s="28" t="s">
        <v>82</v>
      </c>
      <c r="I100" s="11" t="s">
        <v>82</v>
      </c>
      <c r="J100" s="11" t="s">
        <v>82</v>
      </c>
      <c r="K100" s="11"/>
      <c r="L100" s="11" t="s">
        <v>82</v>
      </c>
      <c r="M100" s="7"/>
      <c r="N100" s="21"/>
      <c r="O100" s="11" t="s">
        <v>82</v>
      </c>
      <c r="P100" s="11"/>
      <c r="Q100" s="11"/>
      <c r="R100" s="11" t="s">
        <v>84</v>
      </c>
      <c r="S100" s="7"/>
      <c r="T100" s="21"/>
    </row>
    <row r="101" spans="1:20" ht="25.5" x14ac:dyDescent="0.2">
      <c r="A101" s="1">
        <v>100</v>
      </c>
      <c r="B101" s="24"/>
      <c r="C101" s="11" t="s">
        <v>84</v>
      </c>
      <c r="D101" s="11" t="s">
        <v>84</v>
      </c>
      <c r="E101" s="11" t="s">
        <v>84</v>
      </c>
      <c r="F101" s="11" t="s">
        <v>82</v>
      </c>
      <c r="G101" s="11" t="s">
        <v>82</v>
      </c>
      <c r="H101" s="28" t="s">
        <v>82</v>
      </c>
      <c r="I101" s="11" t="s">
        <v>82</v>
      </c>
      <c r="J101" s="11" t="s">
        <v>84</v>
      </c>
      <c r="K101" s="11"/>
      <c r="L101" s="11" t="s">
        <v>82</v>
      </c>
      <c r="M101" s="7"/>
      <c r="N101" s="21"/>
      <c r="O101" s="11" t="s">
        <v>82</v>
      </c>
      <c r="P101" s="11"/>
      <c r="Q101" s="11"/>
      <c r="R101" s="11" t="s">
        <v>84</v>
      </c>
      <c r="S101" s="7" t="s">
        <v>1631</v>
      </c>
      <c r="T101" s="21" t="s">
        <v>709</v>
      </c>
    </row>
    <row r="102" spans="1:20" ht="25.5" x14ac:dyDescent="0.2">
      <c r="A102" s="1">
        <v>101</v>
      </c>
      <c r="B102" s="24"/>
      <c r="C102" s="11" t="s">
        <v>84</v>
      </c>
      <c r="D102" s="11" t="s">
        <v>84</v>
      </c>
      <c r="E102" s="11" t="s">
        <v>84</v>
      </c>
      <c r="F102" s="11" t="s">
        <v>84</v>
      </c>
      <c r="G102" s="11" t="s">
        <v>82</v>
      </c>
      <c r="H102" s="28" t="s">
        <v>84</v>
      </c>
      <c r="I102" s="11" t="s">
        <v>84</v>
      </c>
      <c r="J102" s="11" t="s">
        <v>84</v>
      </c>
      <c r="K102" s="11"/>
      <c r="L102" s="11" t="s">
        <v>82</v>
      </c>
      <c r="M102" s="7"/>
      <c r="N102" s="21"/>
      <c r="O102" s="11" t="s">
        <v>84</v>
      </c>
      <c r="P102" s="11" t="s">
        <v>3939</v>
      </c>
      <c r="Q102" s="11" t="s">
        <v>3699</v>
      </c>
      <c r="R102" s="11" t="s">
        <v>80</v>
      </c>
      <c r="S102" s="7"/>
      <c r="T102" s="21"/>
    </row>
    <row r="103" spans="1:20" x14ac:dyDescent="0.2">
      <c r="A103" s="1">
        <v>102</v>
      </c>
      <c r="B103" s="24"/>
      <c r="C103" s="11" t="s">
        <v>84</v>
      </c>
      <c r="D103" s="11" t="s">
        <v>84</v>
      </c>
      <c r="E103" s="11" t="s">
        <v>84</v>
      </c>
      <c r="F103" s="11" t="s">
        <v>84</v>
      </c>
      <c r="G103" s="11" t="s">
        <v>82</v>
      </c>
      <c r="H103" s="28" t="s">
        <v>82</v>
      </c>
      <c r="I103" s="11" t="s">
        <v>84</v>
      </c>
      <c r="J103" s="11" t="s">
        <v>82</v>
      </c>
      <c r="K103" s="11"/>
      <c r="L103" s="11" t="s">
        <v>82</v>
      </c>
      <c r="M103" s="7"/>
      <c r="N103" s="21"/>
      <c r="O103" s="11" t="s">
        <v>82</v>
      </c>
      <c r="P103" s="11"/>
      <c r="Q103" s="11"/>
      <c r="R103" s="11" t="s">
        <v>84</v>
      </c>
      <c r="S103" s="7"/>
      <c r="T103" s="21"/>
    </row>
    <row r="104" spans="1:20" x14ac:dyDescent="0.2">
      <c r="A104" s="1">
        <v>103</v>
      </c>
      <c r="B104" s="24"/>
      <c r="C104" s="11" t="s">
        <v>84</v>
      </c>
      <c r="D104" s="11" t="s">
        <v>84</v>
      </c>
      <c r="E104" s="11" t="s">
        <v>84</v>
      </c>
      <c r="F104" s="11" t="s">
        <v>82</v>
      </c>
      <c r="G104" s="11" t="s">
        <v>82</v>
      </c>
      <c r="H104" s="28" t="s">
        <v>82</v>
      </c>
      <c r="I104" s="11" t="s">
        <v>82</v>
      </c>
      <c r="J104" s="11" t="s">
        <v>82</v>
      </c>
      <c r="K104" s="11"/>
      <c r="L104" s="11" t="s">
        <v>82</v>
      </c>
      <c r="M104" s="7"/>
      <c r="N104" s="21"/>
      <c r="O104" s="11" t="s">
        <v>82</v>
      </c>
      <c r="P104" s="11"/>
      <c r="Q104" s="11"/>
      <c r="R104" s="11" t="s">
        <v>84</v>
      </c>
      <c r="S104" s="7"/>
      <c r="T104" s="21"/>
    </row>
    <row r="105" spans="1:20" x14ac:dyDescent="0.2">
      <c r="A105" s="1">
        <v>104</v>
      </c>
      <c r="B105" s="24"/>
      <c r="C105" s="11" t="s">
        <v>84</v>
      </c>
      <c r="D105" s="11" t="s">
        <v>84</v>
      </c>
      <c r="E105" s="11" t="s">
        <v>84</v>
      </c>
      <c r="F105" s="11" t="s">
        <v>84</v>
      </c>
      <c r="G105" s="11" t="s">
        <v>82</v>
      </c>
      <c r="H105" s="43" t="s">
        <v>82</v>
      </c>
      <c r="I105" s="11" t="s">
        <v>82</v>
      </c>
      <c r="J105" s="11" t="s">
        <v>84</v>
      </c>
      <c r="K105" s="11"/>
      <c r="L105" s="11" t="s">
        <v>82</v>
      </c>
      <c r="M105" s="7"/>
      <c r="N105" s="21"/>
      <c r="O105" s="11" t="s">
        <v>82</v>
      </c>
      <c r="P105" s="11"/>
      <c r="Q105" s="11"/>
      <c r="R105" s="11" t="s">
        <v>84</v>
      </c>
      <c r="S105" s="7" t="s">
        <v>1657</v>
      </c>
      <c r="T105" s="21" t="s">
        <v>3717</v>
      </c>
    </row>
    <row r="106" spans="1:20" ht="114.75" x14ac:dyDescent="0.2">
      <c r="A106" s="1">
        <v>105</v>
      </c>
      <c r="B106" s="24"/>
      <c r="C106" s="11" t="s">
        <v>84</v>
      </c>
      <c r="D106" s="11" t="s">
        <v>84</v>
      </c>
      <c r="E106" s="11" t="s">
        <v>84</v>
      </c>
      <c r="F106" s="11" t="s">
        <v>82</v>
      </c>
      <c r="G106" s="11" t="s">
        <v>82</v>
      </c>
      <c r="H106" s="28" t="s">
        <v>82</v>
      </c>
      <c r="I106" s="11" t="s">
        <v>82</v>
      </c>
      <c r="J106" s="11" t="s">
        <v>82</v>
      </c>
      <c r="K106" s="11"/>
      <c r="L106" s="11" t="s">
        <v>84</v>
      </c>
      <c r="M106" s="7" t="s">
        <v>3691</v>
      </c>
      <c r="N106" s="21" t="s">
        <v>3654</v>
      </c>
      <c r="O106" s="11" t="s">
        <v>82</v>
      </c>
      <c r="P106" s="11"/>
      <c r="Q106" s="11"/>
      <c r="R106" s="11" t="s">
        <v>82</v>
      </c>
      <c r="S106" s="7" t="s">
        <v>1665</v>
      </c>
      <c r="T106" s="21" t="s">
        <v>3452</v>
      </c>
    </row>
    <row r="107" spans="1:20" x14ac:dyDescent="0.2">
      <c r="A107" s="1">
        <v>106</v>
      </c>
      <c r="B107" s="24"/>
      <c r="C107" s="11" t="s">
        <v>84</v>
      </c>
      <c r="D107" s="11" t="s">
        <v>84</v>
      </c>
      <c r="E107" s="11" t="s">
        <v>82</v>
      </c>
      <c r="F107" s="11" t="s">
        <v>84</v>
      </c>
      <c r="G107" s="11" t="s">
        <v>82</v>
      </c>
      <c r="H107" s="28" t="s">
        <v>82</v>
      </c>
      <c r="I107" s="11" t="s">
        <v>84</v>
      </c>
      <c r="J107" s="11" t="s">
        <v>82</v>
      </c>
      <c r="K107" s="11"/>
      <c r="L107" s="11" t="s">
        <v>84</v>
      </c>
      <c r="M107" s="7"/>
      <c r="N107" s="21"/>
      <c r="O107" s="11" t="s">
        <v>82</v>
      </c>
      <c r="P107" s="11"/>
      <c r="Q107" s="11"/>
      <c r="R107" s="11" t="s">
        <v>82</v>
      </c>
      <c r="S107" s="7"/>
      <c r="T107" s="21"/>
    </row>
    <row r="108" spans="1:20" x14ac:dyDescent="0.2">
      <c r="A108" s="1">
        <v>107</v>
      </c>
      <c r="B108" s="24"/>
      <c r="C108" s="11" t="s">
        <v>84</v>
      </c>
      <c r="D108" s="11" t="s">
        <v>84</v>
      </c>
      <c r="E108" s="11" t="s">
        <v>84</v>
      </c>
      <c r="F108" s="11" t="s">
        <v>82</v>
      </c>
      <c r="G108" s="11" t="s">
        <v>82</v>
      </c>
      <c r="H108" s="28" t="s">
        <v>82</v>
      </c>
      <c r="I108" s="11" t="s">
        <v>84</v>
      </c>
      <c r="J108" s="11" t="s">
        <v>84</v>
      </c>
      <c r="K108" s="11"/>
      <c r="L108" s="11" t="s">
        <v>82</v>
      </c>
      <c r="M108" s="7"/>
      <c r="N108" s="21"/>
      <c r="O108" s="11" t="s">
        <v>82</v>
      </c>
      <c r="P108" s="11"/>
      <c r="Q108" s="11"/>
      <c r="R108" s="11" t="s">
        <v>84</v>
      </c>
      <c r="S108" s="7"/>
      <c r="T108" s="21"/>
    </row>
    <row r="109" spans="1:20" ht="51" x14ac:dyDescent="0.2">
      <c r="A109" s="1">
        <v>108</v>
      </c>
      <c r="B109" s="24"/>
      <c r="C109" s="11" t="s">
        <v>84</v>
      </c>
      <c r="D109" s="11" t="s">
        <v>84</v>
      </c>
      <c r="E109" s="11" t="s">
        <v>82</v>
      </c>
      <c r="F109" s="11" t="s">
        <v>84</v>
      </c>
      <c r="G109" s="11" t="s">
        <v>82</v>
      </c>
      <c r="H109" s="28" t="s">
        <v>84</v>
      </c>
      <c r="I109" s="11" t="s">
        <v>84</v>
      </c>
      <c r="J109" s="11" t="s">
        <v>84</v>
      </c>
      <c r="K109" s="11"/>
      <c r="L109" s="11" t="s">
        <v>84</v>
      </c>
      <c r="M109" s="7" t="s">
        <v>4208</v>
      </c>
      <c r="N109" s="21" t="s">
        <v>3269</v>
      </c>
      <c r="O109" s="11" t="s">
        <v>84</v>
      </c>
      <c r="P109" s="11" t="s">
        <v>1679</v>
      </c>
      <c r="Q109" s="11" t="s">
        <v>2482</v>
      </c>
      <c r="R109" s="11" t="s">
        <v>80</v>
      </c>
      <c r="S109" s="7"/>
      <c r="T109" s="21"/>
    </row>
    <row r="110" spans="1:20" ht="63.75" x14ac:dyDescent="0.2">
      <c r="A110" s="1">
        <v>109</v>
      </c>
      <c r="B110" s="24"/>
      <c r="C110" s="11" t="s">
        <v>84</v>
      </c>
      <c r="D110" s="11" t="s">
        <v>84</v>
      </c>
      <c r="E110" s="11" t="s">
        <v>84</v>
      </c>
      <c r="F110" s="11" t="s">
        <v>84</v>
      </c>
      <c r="G110" s="11" t="s">
        <v>82</v>
      </c>
      <c r="H110" s="28" t="s">
        <v>84</v>
      </c>
      <c r="I110" s="11" t="s">
        <v>84</v>
      </c>
      <c r="J110" s="11" t="s">
        <v>82</v>
      </c>
      <c r="K110" s="11"/>
      <c r="L110" s="11" t="s">
        <v>84</v>
      </c>
      <c r="M110" s="7" t="s">
        <v>1692</v>
      </c>
      <c r="N110" s="21" t="s">
        <v>3626</v>
      </c>
      <c r="O110" s="11" t="s">
        <v>84</v>
      </c>
      <c r="P110" s="11" t="s">
        <v>240</v>
      </c>
      <c r="Q110" s="7" t="s">
        <v>2483</v>
      </c>
      <c r="R110" s="11" t="s">
        <v>80</v>
      </c>
      <c r="S110" s="7"/>
      <c r="T110" s="21"/>
    </row>
    <row r="111" spans="1:20" x14ac:dyDescent="0.2">
      <c r="A111" s="1">
        <v>110</v>
      </c>
      <c r="B111" s="24"/>
      <c r="C111" s="11" t="s">
        <v>84</v>
      </c>
      <c r="D111" s="11" t="s">
        <v>84</v>
      </c>
      <c r="E111" s="11" t="s">
        <v>84</v>
      </c>
      <c r="F111" s="11" t="s">
        <v>82</v>
      </c>
      <c r="G111" s="11" t="s">
        <v>84</v>
      </c>
      <c r="H111" s="28" t="s">
        <v>84</v>
      </c>
      <c r="I111" s="11" t="s">
        <v>84</v>
      </c>
      <c r="J111" s="11" t="s">
        <v>82</v>
      </c>
      <c r="K111" s="11"/>
      <c r="L111" s="11" t="s">
        <v>84</v>
      </c>
      <c r="M111" s="7"/>
      <c r="N111" s="21"/>
      <c r="O111" s="11" t="s">
        <v>84</v>
      </c>
      <c r="P111" s="11" t="s">
        <v>1701</v>
      </c>
      <c r="Q111" s="11" t="s">
        <v>4223</v>
      </c>
      <c r="R111" s="11" t="s">
        <v>80</v>
      </c>
      <c r="S111" s="7"/>
      <c r="T111" s="21"/>
    </row>
    <row r="112" spans="1:20" ht="38.25" x14ac:dyDescent="0.2">
      <c r="A112" s="1">
        <v>111</v>
      </c>
      <c r="B112" s="24"/>
      <c r="C112" s="11" t="s">
        <v>84</v>
      </c>
      <c r="D112" s="11" t="s">
        <v>84</v>
      </c>
      <c r="E112" s="11" t="s">
        <v>84</v>
      </c>
      <c r="F112" s="11" t="s">
        <v>84</v>
      </c>
      <c r="G112" s="11" t="s">
        <v>84</v>
      </c>
      <c r="H112" s="28" t="s">
        <v>82</v>
      </c>
      <c r="I112" s="11" t="s">
        <v>84</v>
      </c>
      <c r="J112" s="11" t="s">
        <v>84</v>
      </c>
      <c r="K112" s="11"/>
      <c r="L112" s="11" t="s">
        <v>84</v>
      </c>
      <c r="M112" s="7" t="s">
        <v>1704</v>
      </c>
      <c r="N112" s="21" t="s">
        <v>3655</v>
      </c>
      <c r="O112" s="11" t="s">
        <v>82</v>
      </c>
      <c r="P112" s="11"/>
      <c r="Q112" s="11"/>
      <c r="R112" s="11" t="s">
        <v>84</v>
      </c>
      <c r="S112" s="7" t="s">
        <v>1705</v>
      </c>
      <c r="T112" s="21"/>
    </row>
    <row r="113" spans="1:20" x14ac:dyDescent="0.2">
      <c r="A113" s="1">
        <v>112</v>
      </c>
      <c r="B113" s="24"/>
      <c r="C113" s="11" t="s">
        <v>84</v>
      </c>
      <c r="D113" s="11" t="s">
        <v>84</v>
      </c>
      <c r="E113" s="11" t="s">
        <v>84</v>
      </c>
      <c r="F113" s="11" t="s">
        <v>84</v>
      </c>
      <c r="G113" s="11" t="s">
        <v>84</v>
      </c>
      <c r="H113" s="28" t="s">
        <v>82</v>
      </c>
      <c r="I113" s="11" t="s">
        <v>84</v>
      </c>
      <c r="J113" s="11" t="s">
        <v>82</v>
      </c>
      <c r="K113" s="11"/>
      <c r="L113" s="11" t="s">
        <v>82</v>
      </c>
      <c r="M113" s="7"/>
      <c r="N113" s="21"/>
      <c r="O113" s="11" t="s">
        <v>82</v>
      </c>
      <c r="P113" s="11"/>
      <c r="Q113" s="11"/>
      <c r="R113" s="11" t="s">
        <v>84</v>
      </c>
      <c r="S113" s="7"/>
      <c r="T113" s="21"/>
    </row>
    <row r="114" spans="1:20" ht="51" x14ac:dyDescent="0.2">
      <c r="A114" s="1">
        <v>113</v>
      </c>
      <c r="B114" s="33"/>
      <c r="C114" s="33" t="s">
        <v>84</v>
      </c>
      <c r="D114" s="33" t="s">
        <v>84</v>
      </c>
      <c r="E114" s="33" t="s">
        <v>84</v>
      </c>
      <c r="F114" s="33" t="s">
        <v>82</v>
      </c>
      <c r="G114" s="33" t="s">
        <v>82</v>
      </c>
      <c r="H114" s="33" t="s">
        <v>84</v>
      </c>
      <c r="I114" s="33" t="s">
        <v>82</v>
      </c>
      <c r="J114" s="33" t="s">
        <v>82</v>
      </c>
      <c r="K114" s="33"/>
      <c r="L114" s="33" t="s">
        <v>82</v>
      </c>
      <c r="M114" s="52"/>
      <c r="N114" s="45"/>
      <c r="O114" s="33" t="s">
        <v>84</v>
      </c>
      <c r="P114" s="33" t="s">
        <v>240</v>
      </c>
      <c r="Q114" s="33" t="s">
        <v>2484</v>
      </c>
      <c r="R114" s="33" t="s">
        <v>80</v>
      </c>
      <c r="S114" s="52"/>
      <c r="T114" s="45"/>
    </row>
    <row r="115" spans="1:20" x14ac:dyDescent="0.2">
      <c r="A115" s="1">
        <v>114</v>
      </c>
      <c r="B115" s="24"/>
      <c r="C115" s="11" t="s">
        <v>84</v>
      </c>
      <c r="D115" s="11" t="s">
        <v>84</v>
      </c>
      <c r="E115" s="11" t="s">
        <v>82</v>
      </c>
      <c r="F115" s="11" t="s">
        <v>84</v>
      </c>
      <c r="G115" s="11" t="s">
        <v>82</v>
      </c>
      <c r="H115" s="28" t="s">
        <v>84</v>
      </c>
      <c r="I115" s="11" t="s">
        <v>84</v>
      </c>
      <c r="J115" s="11" t="s">
        <v>82</v>
      </c>
      <c r="K115" s="11"/>
      <c r="L115" s="11" t="s">
        <v>82</v>
      </c>
      <c r="M115" s="7"/>
      <c r="N115" s="21"/>
      <c r="O115" s="11" t="s">
        <v>84</v>
      </c>
      <c r="P115" s="11" t="s">
        <v>1933</v>
      </c>
      <c r="Q115" s="11" t="s">
        <v>2485</v>
      </c>
      <c r="R115" s="11" t="s">
        <v>80</v>
      </c>
      <c r="S115" s="7"/>
      <c r="T115" s="21"/>
    </row>
    <row r="116" spans="1:20" x14ac:dyDescent="0.2">
      <c r="A116" s="1">
        <v>115</v>
      </c>
      <c r="B116" s="24"/>
      <c r="C116" s="11" t="s">
        <v>84</v>
      </c>
      <c r="D116" s="11" t="s">
        <v>84</v>
      </c>
      <c r="E116" s="11" t="s">
        <v>84</v>
      </c>
      <c r="F116" s="11" t="s">
        <v>82</v>
      </c>
      <c r="G116" s="11" t="s">
        <v>82</v>
      </c>
      <c r="H116" s="28" t="s">
        <v>82</v>
      </c>
      <c r="I116" s="11" t="s">
        <v>82</v>
      </c>
      <c r="J116" s="11" t="s">
        <v>84</v>
      </c>
      <c r="K116" s="11"/>
      <c r="L116" s="11" t="s">
        <v>82</v>
      </c>
      <c r="M116" s="7"/>
      <c r="N116" s="21"/>
      <c r="O116" s="11" t="s">
        <v>82</v>
      </c>
      <c r="P116" s="11"/>
      <c r="Q116" s="11"/>
      <c r="R116" s="11" t="s">
        <v>82</v>
      </c>
      <c r="S116" s="7"/>
      <c r="T116" s="21"/>
    </row>
    <row r="117" spans="1:20" x14ac:dyDescent="0.2">
      <c r="A117" s="1">
        <v>116</v>
      </c>
      <c r="B117" s="24"/>
      <c r="C117" s="11" t="s">
        <v>84</v>
      </c>
      <c r="D117" s="11" t="s">
        <v>84</v>
      </c>
      <c r="E117" s="11" t="s">
        <v>82</v>
      </c>
      <c r="F117" s="11" t="s">
        <v>82</v>
      </c>
      <c r="G117" s="11" t="s">
        <v>82</v>
      </c>
      <c r="H117" s="28" t="s">
        <v>82</v>
      </c>
      <c r="I117" s="11" t="s">
        <v>84</v>
      </c>
      <c r="J117" s="11" t="s">
        <v>84</v>
      </c>
      <c r="K117" s="11"/>
      <c r="L117" s="11" t="s">
        <v>82</v>
      </c>
      <c r="M117" s="7"/>
      <c r="N117" s="21"/>
      <c r="O117" s="11" t="s">
        <v>82</v>
      </c>
      <c r="P117" s="11"/>
      <c r="Q117" s="11"/>
      <c r="R117" s="11" t="s">
        <v>82</v>
      </c>
      <c r="S117" s="7"/>
      <c r="T117" s="21"/>
    </row>
    <row r="118" spans="1:20" ht="63.75" x14ac:dyDescent="0.2">
      <c r="A118" s="1">
        <v>117</v>
      </c>
      <c r="B118" s="24"/>
      <c r="C118" s="11" t="s">
        <v>84</v>
      </c>
      <c r="D118" s="11" t="s">
        <v>84</v>
      </c>
      <c r="E118" s="11" t="s">
        <v>82</v>
      </c>
      <c r="F118" s="11" t="s">
        <v>82</v>
      </c>
      <c r="G118" s="11" t="s">
        <v>84</v>
      </c>
      <c r="H118" s="28" t="s">
        <v>82</v>
      </c>
      <c r="I118" s="11" t="s">
        <v>82</v>
      </c>
      <c r="J118" s="11" t="s">
        <v>82</v>
      </c>
      <c r="K118" s="11"/>
      <c r="L118" s="11" t="s">
        <v>82</v>
      </c>
      <c r="M118" s="7"/>
      <c r="N118" s="21"/>
      <c r="O118" s="11" t="s">
        <v>82</v>
      </c>
      <c r="P118" s="11"/>
      <c r="Q118" s="11"/>
      <c r="R118" s="11" t="s">
        <v>82</v>
      </c>
      <c r="S118" s="7" t="s">
        <v>1749</v>
      </c>
      <c r="T118" s="21" t="s">
        <v>3718</v>
      </c>
    </row>
    <row r="119" spans="1:20" ht="25.5" x14ac:dyDescent="0.2">
      <c r="A119" s="1">
        <v>118</v>
      </c>
      <c r="B119" s="24"/>
      <c r="C119" s="11" t="s">
        <v>84</v>
      </c>
      <c r="D119" s="11" t="s">
        <v>84</v>
      </c>
      <c r="E119" s="11" t="s">
        <v>84</v>
      </c>
      <c r="F119" s="11" t="s">
        <v>84</v>
      </c>
      <c r="G119" s="11" t="s">
        <v>82</v>
      </c>
      <c r="H119" s="28" t="s">
        <v>82</v>
      </c>
      <c r="I119" s="11" t="s">
        <v>84</v>
      </c>
      <c r="J119" s="11" t="s">
        <v>82</v>
      </c>
      <c r="K119" s="11"/>
      <c r="L119" s="11" t="s">
        <v>82</v>
      </c>
      <c r="M119" s="7"/>
      <c r="N119" s="21"/>
      <c r="O119" s="39" t="s">
        <v>84</v>
      </c>
      <c r="P119" s="39" t="s">
        <v>1114</v>
      </c>
      <c r="Q119" s="11"/>
      <c r="R119" s="11" t="s">
        <v>84</v>
      </c>
      <c r="S119" s="7" t="s">
        <v>1760</v>
      </c>
      <c r="T119" s="21" t="s">
        <v>3452</v>
      </c>
    </row>
    <row r="120" spans="1:20" ht="63.75" x14ac:dyDescent="0.2">
      <c r="A120" s="1">
        <v>119</v>
      </c>
      <c r="B120" s="24"/>
      <c r="C120" s="11" t="s">
        <v>84</v>
      </c>
      <c r="D120" s="11" t="s">
        <v>84</v>
      </c>
      <c r="E120" s="11" t="s">
        <v>84</v>
      </c>
      <c r="F120" s="11" t="s">
        <v>84</v>
      </c>
      <c r="G120" s="11" t="s">
        <v>84</v>
      </c>
      <c r="H120" s="28" t="s">
        <v>82</v>
      </c>
      <c r="I120" s="11" t="s">
        <v>84</v>
      </c>
      <c r="J120" s="11" t="s">
        <v>82</v>
      </c>
      <c r="K120" s="11"/>
      <c r="L120" s="11" t="s">
        <v>84</v>
      </c>
      <c r="M120" s="7" t="s">
        <v>1767</v>
      </c>
      <c r="N120" s="21" t="s">
        <v>3635</v>
      </c>
      <c r="O120" s="11" t="s">
        <v>82</v>
      </c>
      <c r="P120" s="11"/>
      <c r="Q120" s="11"/>
      <c r="R120" s="11" t="s">
        <v>82</v>
      </c>
      <c r="S120" s="7" t="s">
        <v>4209</v>
      </c>
      <c r="T120" s="21" t="s">
        <v>3721</v>
      </c>
    </row>
    <row r="121" spans="1:20" ht="76.5" x14ac:dyDescent="0.2">
      <c r="A121" s="1">
        <v>120</v>
      </c>
      <c r="B121" s="24"/>
      <c r="C121" s="11" t="s">
        <v>84</v>
      </c>
      <c r="D121" s="11" t="s">
        <v>84</v>
      </c>
      <c r="E121" s="11" t="s">
        <v>84</v>
      </c>
      <c r="F121" s="11" t="s">
        <v>82</v>
      </c>
      <c r="G121" s="11" t="s">
        <v>82</v>
      </c>
      <c r="H121" s="28" t="s">
        <v>82</v>
      </c>
      <c r="I121" s="11" t="s">
        <v>82</v>
      </c>
      <c r="J121" s="11" t="s">
        <v>82</v>
      </c>
      <c r="K121" s="11"/>
      <c r="L121" s="11" t="s">
        <v>82</v>
      </c>
      <c r="M121" s="7"/>
      <c r="N121" s="21"/>
      <c r="O121" s="11" t="s">
        <v>82</v>
      </c>
      <c r="P121" s="11"/>
      <c r="Q121" s="11"/>
      <c r="R121" s="11" t="s">
        <v>82</v>
      </c>
      <c r="S121" s="7" t="s">
        <v>1778</v>
      </c>
      <c r="T121" s="21"/>
    </row>
    <row r="122" spans="1:20" ht="51" x14ac:dyDescent="0.2">
      <c r="A122" s="1">
        <v>121</v>
      </c>
      <c r="B122" s="24"/>
      <c r="C122" s="11" t="s">
        <v>84</v>
      </c>
      <c r="D122" s="11" t="s">
        <v>84</v>
      </c>
      <c r="E122" s="11" t="s">
        <v>84</v>
      </c>
      <c r="F122" s="11" t="s">
        <v>84</v>
      </c>
      <c r="G122" s="11" t="s">
        <v>82</v>
      </c>
      <c r="H122" s="28" t="s">
        <v>84</v>
      </c>
      <c r="I122" s="11" t="s">
        <v>82</v>
      </c>
      <c r="J122" s="11" t="s">
        <v>82</v>
      </c>
      <c r="K122" s="11"/>
      <c r="L122" s="11" t="s">
        <v>82</v>
      </c>
      <c r="M122" s="7"/>
      <c r="N122" s="21"/>
      <c r="O122" s="11" t="s">
        <v>84</v>
      </c>
      <c r="P122" s="11" t="s">
        <v>3940</v>
      </c>
      <c r="Q122" s="11" t="s">
        <v>1787</v>
      </c>
      <c r="R122" s="11" t="s">
        <v>80</v>
      </c>
      <c r="S122" s="11"/>
      <c r="T122" s="21"/>
    </row>
    <row r="123" spans="1:20" x14ac:dyDescent="0.2">
      <c r="A123" s="1">
        <v>122</v>
      </c>
      <c r="B123" s="24"/>
      <c r="C123" s="11" t="s">
        <v>84</v>
      </c>
      <c r="D123" s="11" t="s">
        <v>84</v>
      </c>
      <c r="E123" s="11" t="s">
        <v>82</v>
      </c>
      <c r="F123" s="11" t="s">
        <v>84</v>
      </c>
      <c r="G123" s="11" t="s">
        <v>84</v>
      </c>
      <c r="H123" s="28" t="s">
        <v>82</v>
      </c>
      <c r="I123" s="11" t="s">
        <v>82</v>
      </c>
      <c r="J123" s="11" t="s">
        <v>84</v>
      </c>
      <c r="K123" s="11"/>
      <c r="L123" s="11" t="s">
        <v>82</v>
      </c>
      <c r="M123" s="7"/>
      <c r="N123" s="21"/>
      <c r="O123" s="11" t="s">
        <v>82</v>
      </c>
      <c r="P123" s="11"/>
      <c r="Q123" s="11"/>
      <c r="R123" s="11" t="s">
        <v>84</v>
      </c>
      <c r="S123" s="11"/>
      <c r="T123" s="21"/>
    </row>
    <row r="124" spans="1:20" ht="38.25" x14ac:dyDescent="0.2">
      <c r="A124" s="1">
        <v>123</v>
      </c>
      <c r="B124" s="24"/>
      <c r="C124" s="11" t="s">
        <v>84</v>
      </c>
      <c r="D124" s="11" t="s">
        <v>84</v>
      </c>
      <c r="E124" s="11" t="s">
        <v>84</v>
      </c>
      <c r="F124" s="11" t="s">
        <v>84</v>
      </c>
      <c r="G124" s="11" t="s">
        <v>82</v>
      </c>
      <c r="H124" s="28" t="s">
        <v>84</v>
      </c>
      <c r="I124" s="11" t="s">
        <v>84</v>
      </c>
      <c r="J124" s="11" t="s">
        <v>84</v>
      </c>
      <c r="K124" s="11"/>
      <c r="L124" s="11" t="s">
        <v>84</v>
      </c>
      <c r="M124" s="7" t="s">
        <v>1804</v>
      </c>
      <c r="N124" s="21" t="s">
        <v>3656</v>
      </c>
      <c r="O124" s="11" t="s">
        <v>84</v>
      </c>
      <c r="P124" s="11" t="s">
        <v>1805</v>
      </c>
      <c r="Q124" s="7" t="s">
        <v>2488</v>
      </c>
      <c r="R124" s="11" t="s">
        <v>80</v>
      </c>
      <c r="S124" s="11"/>
      <c r="T124" s="21"/>
    </row>
    <row r="125" spans="1:20" x14ac:dyDescent="0.2">
      <c r="A125" s="1">
        <v>124</v>
      </c>
      <c r="B125" s="24"/>
      <c r="C125" s="11" t="s">
        <v>84</v>
      </c>
      <c r="D125" s="11" t="s">
        <v>84</v>
      </c>
      <c r="E125" s="11" t="s">
        <v>84</v>
      </c>
      <c r="F125" s="11" t="s">
        <v>84</v>
      </c>
      <c r="G125" s="11" t="s">
        <v>82</v>
      </c>
      <c r="H125" s="28" t="s">
        <v>84</v>
      </c>
      <c r="I125" s="11" t="s">
        <v>84</v>
      </c>
      <c r="J125" s="11" t="s">
        <v>82</v>
      </c>
      <c r="K125" s="11"/>
      <c r="L125" s="11" t="s">
        <v>82</v>
      </c>
      <c r="M125" s="7"/>
      <c r="N125" s="21"/>
      <c r="O125" s="11" t="s">
        <v>84</v>
      </c>
      <c r="P125" s="11" t="s">
        <v>1933</v>
      </c>
      <c r="Q125" s="11"/>
      <c r="R125" s="11" t="s">
        <v>80</v>
      </c>
      <c r="S125" s="11"/>
      <c r="T125" s="21"/>
    </row>
    <row r="126" spans="1:20" x14ac:dyDescent="0.2">
      <c r="A126" s="1">
        <v>125</v>
      </c>
      <c r="B126" s="24"/>
      <c r="C126" s="11" t="s">
        <v>84</v>
      </c>
      <c r="D126" s="11" t="s">
        <v>84</v>
      </c>
      <c r="E126" s="11" t="s">
        <v>84</v>
      </c>
      <c r="F126" s="11" t="s">
        <v>82</v>
      </c>
      <c r="G126" s="11" t="s">
        <v>82</v>
      </c>
      <c r="H126" s="28" t="s">
        <v>84</v>
      </c>
      <c r="I126" s="11" t="s">
        <v>82</v>
      </c>
      <c r="J126" s="11" t="s">
        <v>82</v>
      </c>
      <c r="K126" s="11"/>
      <c r="L126" s="11" t="s">
        <v>84</v>
      </c>
      <c r="M126" s="7"/>
      <c r="N126" s="21"/>
      <c r="O126" s="11" t="s">
        <v>84</v>
      </c>
      <c r="P126" s="11" t="s">
        <v>3941</v>
      </c>
      <c r="Q126" s="11"/>
      <c r="R126" s="11" t="s">
        <v>80</v>
      </c>
      <c r="S126" s="11"/>
      <c r="T126" s="21"/>
    </row>
    <row r="127" spans="1:20" ht="38.25" x14ac:dyDescent="0.2">
      <c r="A127" s="1">
        <v>126</v>
      </c>
      <c r="B127" s="24"/>
      <c r="C127" s="11" t="s">
        <v>84</v>
      </c>
      <c r="D127" s="11" t="s">
        <v>84</v>
      </c>
      <c r="E127" s="11" t="s">
        <v>84</v>
      </c>
      <c r="F127" s="11" t="s">
        <v>84</v>
      </c>
      <c r="G127" s="11" t="s">
        <v>84</v>
      </c>
      <c r="H127" s="28" t="s">
        <v>82</v>
      </c>
      <c r="I127" s="11" t="s">
        <v>84</v>
      </c>
      <c r="J127" s="11" t="s">
        <v>82</v>
      </c>
      <c r="K127" s="11"/>
      <c r="L127" s="11" t="s">
        <v>82</v>
      </c>
      <c r="M127" s="7"/>
      <c r="N127" s="21"/>
      <c r="O127" s="11" t="s">
        <v>82</v>
      </c>
      <c r="P127" s="11"/>
      <c r="Q127" s="11"/>
      <c r="R127" s="11" t="s">
        <v>82</v>
      </c>
      <c r="S127" s="19" t="s">
        <v>4210</v>
      </c>
      <c r="T127" s="21"/>
    </row>
    <row r="128" spans="1:20" x14ac:dyDescent="0.2">
      <c r="A128" s="1">
        <v>127</v>
      </c>
      <c r="B128" s="24"/>
      <c r="C128" s="11" t="s">
        <v>84</v>
      </c>
      <c r="D128" s="11" t="s">
        <v>84</v>
      </c>
      <c r="E128" s="11" t="s">
        <v>84</v>
      </c>
      <c r="F128" s="11" t="s">
        <v>82</v>
      </c>
      <c r="G128" s="11" t="s">
        <v>82</v>
      </c>
      <c r="H128" s="28" t="s">
        <v>82</v>
      </c>
      <c r="I128" s="11" t="s">
        <v>82</v>
      </c>
      <c r="J128" s="11" t="s">
        <v>82</v>
      </c>
      <c r="K128" s="11"/>
      <c r="L128" s="11" t="s">
        <v>82</v>
      </c>
      <c r="M128" s="7"/>
      <c r="N128" s="21"/>
      <c r="O128" s="11" t="s">
        <v>82</v>
      </c>
      <c r="P128" s="11"/>
      <c r="Q128" s="11"/>
      <c r="R128" s="11" t="s">
        <v>82</v>
      </c>
      <c r="S128" s="11"/>
      <c r="T128" s="21"/>
    </row>
    <row r="129" spans="1:20" x14ac:dyDescent="0.2">
      <c r="A129" s="1">
        <v>128</v>
      </c>
      <c r="B129" s="24"/>
      <c r="C129" s="11" t="s">
        <v>84</v>
      </c>
      <c r="D129" s="11" t="s">
        <v>84</v>
      </c>
      <c r="E129" s="11" t="s">
        <v>82</v>
      </c>
      <c r="F129" s="11" t="s">
        <v>84</v>
      </c>
      <c r="G129" s="11" t="s">
        <v>82</v>
      </c>
      <c r="H129" s="28" t="s">
        <v>84</v>
      </c>
      <c r="I129" s="11" t="s">
        <v>84</v>
      </c>
      <c r="J129" s="11" t="s">
        <v>84</v>
      </c>
      <c r="K129" s="11"/>
      <c r="L129" s="11" t="s">
        <v>82</v>
      </c>
      <c r="M129" s="7"/>
      <c r="N129" s="21"/>
      <c r="O129" s="11" t="s">
        <v>84</v>
      </c>
      <c r="P129" s="11" t="s">
        <v>3942</v>
      </c>
      <c r="Q129" s="11" t="s">
        <v>1852</v>
      </c>
      <c r="R129" s="11" t="s">
        <v>80</v>
      </c>
      <c r="S129" s="7"/>
      <c r="T129" s="21"/>
    </row>
    <row r="130" spans="1:20" ht="38.25" x14ac:dyDescent="0.2">
      <c r="A130" s="1">
        <v>129</v>
      </c>
      <c r="B130" s="24"/>
      <c r="C130" s="11" t="s">
        <v>84</v>
      </c>
      <c r="D130" s="11" t="s">
        <v>84</v>
      </c>
      <c r="E130" s="11" t="s">
        <v>82</v>
      </c>
      <c r="F130" s="11" t="s">
        <v>84</v>
      </c>
      <c r="G130" s="11" t="s">
        <v>82</v>
      </c>
      <c r="H130" s="28" t="s">
        <v>82</v>
      </c>
      <c r="I130" s="11" t="s">
        <v>82</v>
      </c>
      <c r="J130" s="11" t="s">
        <v>84</v>
      </c>
      <c r="K130" s="11"/>
      <c r="L130" s="11" t="s">
        <v>84</v>
      </c>
      <c r="M130" s="7" t="s">
        <v>1865</v>
      </c>
      <c r="N130" s="21" t="s">
        <v>3636</v>
      </c>
      <c r="O130" s="11" t="s">
        <v>82</v>
      </c>
      <c r="P130" s="11"/>
      <c r="Q130" s="11"/>
      <c r="R130" s="11" t="s">
        <v>82</v>
      </c>
      <c r="S130" s="7" t="s">
        <v>1866</v>
      </c>
      <c r="T130" s="21" t="s">
        <v>1072</v>
      </c>
    </row>
    <row r="131" spans="1:20" ht="153" x14ac:dyDescent="0.2">
      <c r="A131" s="1">
        <v>130</v>
      </c>
      <c r="B131" s="24"/>
      <c r="C131" s="11" t="s">
        <v>84</v>
      </c>
      <c r="D131" s="11" t="s">
        <v>84</v>
      </c>
      <c r="E131" s="11" t="s">
        <v>82</v>
      </c>
      <c r="F131" s="11" t="s">
        <v>82</v>
      </c>
      <c r="G131" s="11" t="s">
        <v>82</v>
      </c>
      <c r="H131" s="28" t="s">
        <v>84</v>
      </c>
      <c r="I131" s="11" t="s">
        <v>84</v>
      </c>
      <c r="J131" s="11" t="s">
        <v>82</v>
      </c>
      <c r="K131" s="11"/>
      <c r="L131" s="11" t="s">
        <v>84</v>
      </c>
      <c r="M131" s="7" t="s">
        <v>1877</v>
      </c>
      <c r="N131" s="21" t="s">
        <v>3657</v>
      </c>
      <c r="O131" s="11" t="s">
        <v>84</v>
      </c>
      <c r="P131" s="11" t="s">
        <v>240</v>
      </c>
      <c r="Q131" s="7" t="s">
        <v>3701</v>
      </c>
      <c r="R131" s="11" t="s">
        <v>80</v>
      </c>
      <c r="S131" s="7"/>
      <c r="T131" s="21"/>
    </row>
    <row r="132" spans="1:20" x14ac:dyDescent="0.2">
      <c r="A132" s="1">
        <v>131</v>
      </c>
      <c r="B132" s="24"/>
      <c r="C132" s="11" t="s">
        <v>84</v>
      </c>
      <c r="D132" s="11" t="s">
        <v>84</v>
      </c>
      <c r="E132" s="11" t="s">
        <v>84</v>
      </c>
      <c r="F132" s="11" t="s">
        <v>82</v>
      </c>
      <c r="G132" s="11" t="s">
        <v>82</v>
      </c>
      <c r="H132" s="28" t="s">
        <v>82</v>
      </c>
      <c r="I132" s="11" t="s">
        <v>82</v>
      </c>
      <c r="J132" s="11" t="s">
        <v>82</v>
      </c>
      <c r="K132" s="11"/>
      <c r="L132" s="11" t="s">
        <v>82</v>
      </c>
      <c r="M132" s="7"/>
      <c r="N132" s="21"/>
      <c r="O132" s="11" t="s">
        <v>82</v>
      </c>
      <c r="P132" s="11"/>
      <c r="Q132" s="11"/>
      <c r="R132" s="11" t="s">
        <v>82</v>
      </c>
      <c r="S132" s="7"/>
      <c r="T132" s="21"/>
    </row>
    <row r="133" spans="1:20" ht="76.5" x14ac:dyDescent="0.2">
      <c r="A133" s="1">
        <v>132</v>
      </c>
      <c r="B133" s="24"/>
      <c r="C133" s="11" t="s">
        <v>84</v>
      </c>
      <c r="D133" s="11" t="s">
        <v>84</v>
      </c>
      <c r="E133" s="11" t="s">
        <v>82</v>
      </c>
      <c r="F133" s="11" t="s">
        <v>84</v>
      </c>
      <c r="G133" s="11" t="s">
        <v>82</v>
      </c>
      <c r="H133" s="28" t="s">
        <v>82</v>
      </c>
      <c r="I133" s="11" t="s">
        <v>84</v>
      </c>
      <c r="J133" s="11" t="s">
        <v>84</v>
      </c>
      <c r="K133" s="11"/>
      <c r="L133" s="11" t="s">
        <v>84</v>
      </c>
      <c r="M133" s="7" t="s">
        <v>1892</v>
      </c>
      <c r="N133" s="21" t="s">
        <v>3637</v>
      </c>
      <c r="O133" s="11" t="s">
        <v>82</v>
      </c>
      <c r="P133" s="11"/>
      <c r="Q133" s="11"/>
      <c r="R133" s="11" t="s">
        <v>84</v>
      </c>
      <c r="S133" s="7" t="s">
        <v>1893</v>
      </c>
      <c r="T133" s="21" t="s">
        <v>3722</v>
      </c>
    </row>
    <row r="134" spans="1:20" x14ac:dyDescent="0.2">
      <c r="A134" s="1">
        <v>133</v>
      </c>
      <c r="B134" s="24"/>
      <c r="C134" s="11" t="s">
        <v>84</v>
      </c>
      <c r="D134" s="11" t="s">
        <v>84</v>
      </c>
      <c r="E134" s="11" t="s">
        <v>82</v>
      </c>
      <c r="F134" s="11" t="s">
        <v>84</v>
      </c>
      <c r="G134" s="11" t="s">
        <v>82</v>
      </c>
      <c r="H134" s="28" t="s">
        <v>84</v>
      </c>
      <c r="I134" s="11" t="s">
        <v>82</v>
      </c>
      <c r="J134" s="11" t="s">
        <v>82</v>
      </c>
      <c r="K134" s="11"/>
      <c r="L134" s="11" t="s">
        <v>82</v>
      </c>
      <c r="M134" s="7"/>
      <c r="N134" s="21"/>
      <c r="O134" s="11" t="s">
        <v>84</v>
      </c>
      <c r="P134" s="11" t="s">
        <v>3896</v>
      </c>
      <c r="Q134" s="11"/>
      <c r="R134" s="11" t="s">
        <v>80</v>
      </c>
      <c r="S134" s="7"/>
      <c r="T134" s="21"/>
    </row>
    <row r="135" spans="1:20" x14ac:dyDescent="0.2">
      <c r="A135" s="1">
        <v>134</v>
      </c>
      <c r="B135" s="24"/>
      <c r="C135" s="11" t="s">
        <v>84</v>
      </c>
      <c r="D135" s="11" t="s">
        <v>84</v>
      </c>
      <c r="E135" s="11" t="s">
        <v>82</v>
      </c>
      <c r="F135" s="11" t="s">
        <v>82</v>
      </c>
      <c r="G135" s="11" t="s">
        <v>82</v>
      </c>
      <c r="H135" s="28" t="s">
        <v>82</v>
      </c>
      <c r="I135" s="11" t="s">
        <v>82</v>
      </c>
      <c r="J135" s="11" t="s">
        <v>82</v>
      </c>
      <c r="K135" s="11"/>
      <c r="L135" s="11" t="s">
        <v>82</v>
      </c>
      <c r="M135" s="7"/>
      <c r="N135" s="21"/>
      <c r="O135" s="11" t="s">
        <v>82</v>
      </c>
      <c r="P135" s="11"/>
      <c r="Q135" s="11"/>
      <c r="R135" s="11" t="s">
        <v>82</v>
      </c>
      <c r="S135" s="7"/>
      <c r="T135" s="21"/>
    </row>
    <row r="136" spans="1:20" ht="63.75" x14ac:dyDescent="0.2">
      <c r="A136" s="1">
        <v>135</v>
      </c>
      <c r="B136" s="24"/>
      <c r="C136" s="11" t="s">
        <v>84</v>
      </c>
      <c r="D136" s="11" t="s">
        <v>84</v>
      </c>
      <c r="E136" s="11" t="s">
        <v>82</v>
      </c>
      <c r="F136" s="11" t="s">
        <v>84</v>
      </c>
      <c r="G136" s="11" t="s">
        <v>82</v>
      </c>
      <c r="H136" s="11" t="s">
        <v>84</v>
      </c>
      <c r="I136" s="11" t="s">
        <v>82</v>
      </c>
      <c r="J136" s="11" t="s">
        <v>82</v>
      </c>
      <c r="K136" s="11"/>
      <c r="L136" s="11" t="s">
        <v>84</v>
      </c>
      <c r="M136" s="7" t="s">
        <v>2012</v>
      </c>
      <c r="N136" s="21" t="s">
        <v>3638</v>
      </c>
      <c r="O136" s="11" t="s">
        <v>84</v>
      </c>
      <c r="P136" s="11" t="s">
        <v>3943</v>
      </c>
      <c r="Q136" s="7" t="s">
        <v>3702</v>
      </c>
      <c r="R136" s="11" t="s">
        <v>80</v>
      </c>
      <c r="S136" s="7"/>
      <c r="T136" s="21"/>
    </row>
    <row r="137" spans="1:20" ht="38.25" x14ac:dyDescent="0.2">
      <c r="A137" s="1">
        <v>136</v>
      </c>
      <c r="B137" s="24"/>
      <c r="C137" s="11" t="s">
        <v>84</v>
      </c>
      <c r="D137" s="11" t="s">
        <v>84</v>
      </c>
      <c r="E137" s="11" t="s">
        <v>84</v>
      </c>
      <c r="F137" s="11" t="s">
        <v>84</v>
      </c>
      <c r="G137" s="11" t="s">
        <v>82</v>
      </c>
      <c r="H137" s="11" t="s">
        <v>82</v>
      </c>
      <c r="I137" s="11" t="s">
        <v>84</v>
      </c>
      <c r="J137" s="11" t="s">
        <v>82</v>
      </c>
      <c r="K137" s="11"/>
      <c r="L137" s="11" t="s">
        <v>84</v>
      </c>
      <c r="M137" s="7" t="s">
        <v>2016</v>
      </c>
      <c r="N137" s="21"/>
      <c r="O137" s="11" t="s">
        <v>82</v>
      </c>
      <c r="P137" s="11"/>
      <c r="Q137" s="11"/>
      <c r="R137" s="11" t="s">
        <v>84</v>
      </c>
      <c r="S137" s="7"/>
      <c r="T137" s="21"/>
    </row>
    <row r="138" spans="1:20" x14ac:dyDescent="0.2">
      <c r="A138" s="1">
        <v>137</v>
      </c>
      <c r="B138" s="24"/>
      <c r="C138" s="11" t="s">
        <v>84</v>
      </c>
      <c r="D138" s="11" t="s">
        <v>84</v>
      </c>
      <c r="E138" s="11" t="s">
        <v>84</v>
      </c>
      <c r="F138" s="11" t="s">
        <v>82</v>
      </c>
      <c r="G138" s="11" t="s">
        <v>82</v>
      </c>
      <c r="H138" s="21" t="s">
        <v>82</v>
      </c>
      <c r="I138" s="11" t="s">
        <v>84</v>
      </c>
      <c r="J138" s="11" t="s">
        <v>82</v>
      </c>
      <c r="K138" s="11"/>
      <c r="L138" s="11" t="s">
        <v>82</v>
      </c>
      <c r="M138" s="7"/>
      <c r="N138" s="21"/>
      <c r="O138" s="11" t="s">
        <v>82</v>
      </c>
      <c r="P138" s="11"/>
      <c r="Q138" s="11"/>
      <c r="R138" s="11" t="s">
        <v>82</v>
      </c>
      <c r="S138" s="7"/>
      <c r="T138" s="21"/>
    </row>
    <row r="139" spans="1:20" x14ac:dyDescent="0.2">
      <c r="A139" s="1">
        <v>138</v>
      </c>
      <c r="B139" s="33"/>
      <c r="C139" s="33" t="s">
        <v>84</v>
      </c>
      <c r="D139" s="33" t="s">
        <v>82</v>
      </c>
      <c r="E139" s="33" t="s">
        <v>82</v>
      </c>
      <c r="F139" s="33" t="s">
        <v>82</v>
      </c>
      <c r="G139" s="33" t="s">
        <v>82</v>
      </c>
      <c r="H139" s="33" t="s">
        <v>82</v>
      </c>
      <c r="I139" s="33" t="s">
        <v>82</v>
      </c>
      <c r="J139" s="33" t="s">
        <v>82</v>
      </c>
      <c r="K139" s="33"/>
      <c r="L139" s="33" t="s">
        <v>82</v>
      </c>
      <c r="M139" s="52"/>
      <c r="N139" s="45"/>
      <c r="O139" s="33" t="s">
        <v>82</v>
      </c>
      <c r="P139" s="33"/>
      <c r="Q139" s="33"/>
      <c r="R139" s="33" t="s">
        <v>82</v>
      </c>
      <c r="S139" s="52"/>
      <c r="T139" s="45"/>
    </row>
    <row r="140" spans="1:20" ht="51" x14ac:dyDescent="0.2">
      <c r="A140" s="1">
        <v>139</v>
      </c>
      <c r="B140" s="24"/>
      <c r="C140" s="11" t="s">
        <v>84</v>
      </c>
      <c r="D140" s="11" t="s">
        <v>84</v>
      </c>
      <c r="E140" s="11" t="s">
        <v>84</v>
      </c>
      <c r="F140" s="11" t="s">
        <v>82</v>
      </c>
      <c r="G140" s="11" t="s">
        <v>84</v>
      </c>
      <c r="H140" s="11" t="s">
        <v>82</v>
      </c>
      <c r="I140" s="11" t="s">
        <v>82</v>
      </c>
      <c r="J140" s="11" t="s">
        <v>82</v>
      </c>
      <c r="K140" s="11"/>
      <c r="L140" s="11" t="s">
        <v>82</v>
      </c>
      <c r="M140" s="7"/>
      <c r="N140" s="21"/>
      <c r="O140" s="11" t="s">
        <v>82</v>
      </c>
      <c r="P140" s="11"/>
      <c r="Q140" s="11"/>
      <c r="R140" s="11" t="s">
        <v>82</v>
      </c>
      <c r="S140" s="7" t="s">
        <v>2018</v>
      </c>
      <c r="T140" s="21"/>
    </row>
    <row r="141" spans="1:20" x14ac:dyDescent="0.2">
      <c r="A141" s="1">
        <v>140</v>
      </c>
      <c r="B141" s="24"/>
      <c r="C141" s="11" t="s">
        <v>84</v>
      </c>
      <c r="D141" s="11" t="s">
        <v>84</v>
      </c>
      <c r="E141" s="11" t="s">
        <v>84</v>
      </c>
      <c r="F141" s="11" t="s">
        <v>82</v>
      </c>
      <c r="G141" s="11" t="s">
        <v>82</v>
      </c>
      <c r="H141" s="11" t="s">
        <v>82</v>
      </c>
      <c r="I141" s="11" t="s">
        <v>82</v>
      </c>
      <c r="J141" s="11" t="s">
        <v>84</v>
      </c>
      <c r="K141" s="11"/>
      <c r="L141" s="11" t="s">
        <v>82</v>
      </c>
      <c r="M141" s="7"/>
      <c r="N141" s="21"/>
      <c r="O141" s="11" t="s">
        <v>82</v>
      </c>
      <c r="P141" s="11"/>
      <c r="Q141" s="11"/>
      <c r="R141" s="11" t="s">
        <v>82</v>
      </c>
      <c r="S141" s="7"/>
      <c r="T141" s="21"/>
    </row>
    <row r="142" spans="1:20" ht="76.5" x14ac:dyDescent="0.2">
      <c r="A142" s="1">
        <v>141</v>
      </c>
      <c r="B142" s="24"/>
      <c r="C142" s="11" t="s">
        <v>84</v>
      </c>
      <c r="D142" s="11" t="s">
        <v>84</v>
      </c>
      <c r="E142" s="11" t="s">
        <v>82</v>
      </c>
      <c r="F142" s="11" t="s">
        <v>82</v>
      </c>
      <c r="G142" s="11" t="s">
        <v>84</v>
      </c>
      <c r="H142" s="11" t="s">
        <v>82</v>
      </c>
      <c r="I142" s="11" t="s">
        <v>84</v>
      </c>
      <c r="J142" s="11" t="s">
        <v>84</v>
      </c>
      <c r="K142" s="11"/>
      <c r="L142" s="11" t="s">
        <v>84</v>
      </c>
      <c r="M142" s="7" t="s">
        <v>2021</v>
      </c>
      <c r="N142" s="21"/>
      <c r="O142" s="11" t="s">
        <v>82</v>
      </c>
      <c r="P142" s="11"/>
      <c r="Q142" s="11"/>
      <c r="R142" s="11" t="s">
        <v>84</v>
      </c>
      <c r="S142" s="7" t="s">
        <v>4211</v>
      </c>
      <c r="T142" s="21" t="s">
        <v>3724</v>
      </c>
    </row>
    <row r="143" spans="1:20" x14ac:dyDescent="0.2">
      <c r="A143" s="1">
        <v>142</v>
      </c>
      <c r="B143" s="33"/>
      <c r="C143" s="33" t="s">
        <v>84</v>
      </c>
      <c r="D143" s="33" t="s">
        <v>84</v>
      </c>
      <c r="E143" s="33" t="s">
        <v>84</v>
      </c>
      <c r="F143" s="33" t="s">
        <v>84</v>
      </c>
      <c r="G143" s="33" t="s">
        <v>82</v>
      </c>
      <c r="H143" s="45" t="s">
        <v>82</v>
      </c>
      <c r="I143" s="33" t="s">
        <v>84</v>
      </c>
      <c r="J143" s="33" t="s">
        <v>84</v>
      </c>
      <c r="K143" s="33"/>
      <c r="L143" s="33" t="s">
        <v>82</v>
      </c>
      <c r="M143" s="52"/>
      <c r="N143" s="45"/>
      <c r="O143" s="33" t="s">
        <v>82</v>
      </c>
      <c r="P143" s="33"/>
      <c r="Q143" s="33"/>
      <c r="R143" s="33" t="s">
        <v>82</v>
      </c>
      <c r="S143" s="52" t="s">
        <v>2024</v>
      </c>
      <c r="T143" s="45" t="s">
        <v>3724</v>
      </c>
    </row>
    <row r="144" spans="1:20" x14ac:dyDescent="0.2">
      <c r="A144" s="1">
        <v>143</v>
      </c>
      <c r="B144" s="24"/>
      <c r="C144" s="11" t="s">
        <v>84</v>
      </c>
      <c r="D144" s="11" t="s">
        <v>84</v>
      </c>
      <c r="E144" s="11" t="s">
        <v>82</v>
      </c>
      <c r="F144" s="11" t="s">
        <v>82</v>
      </c>
      <c r="G144" s="11" t="s">
        <v>82</v>
      </c>
      <c r="H144" s="11" t="s">
        <v>82</v>
      </c>
      <c r="I144" s="11" t="s">
        <v>84</v>
      </c>
      <c r="J144" s="11" t="s">
        <v>82</v>
      </c>
      <c r="K144" s="11"/>
      <c r="L144" s="11" t="s">
        <v>82</v>
      </c>
      <c r="M144" s="7"/>
      <c r="N144" s="21"/>
      <c r="O144" s="11" t="s">
        <v>82</v>
      </c>
      <c r="P144" s="11"/>
      <c r="Q144" s="11"/>
      <c r="R144" s="11" t="s">
        <v>82</v>
      </c>
      <c r="S144" s="7"/>
      <c r="T144" s="21"/>
    </row>
    <row r="145" spans="1:20" ht="51" x14ac:dyDescent="0.2">
      <c r="A145" s="1">
        <v>144</v>
      </c>
      <c r="B145" s="24"/>
      <c r="C145" s="11" t="s">
        <v>84</v>
      </c>
      <c r="D145" s="11" t="s">
        <v>84</v>
      </c>
      <c r="E145" s="11" t="s">
        <v>84</v>
      </c>
      <c r="F145" s="11" t="s">
        <v>82</v>
      </c>
      <c r="G145" s="11" t="s">
        <v>82</v>
      </c>
      <c r="H145" s="11" t="s">
        <v>82</v>
      </c>
      <c r="I145" s="11" t="s">
        <v>84</v>
      </c>
      <c r="J145" s="11" t="s">
        <v>82</v>
      </c>
      <c r="K145" s="11"/>
      <c r="L145" s="11" t="s">
        <v>84</v>
      </c>
      <c r="M145" s="7" t="s">
        <v>2027</v>
      </c>
      <c r="N145" s="21" t="s">
        <v>3658</v>
      </c>
      <c r="O145" s="11" t="s">
        <v>82</v>
      </c>
      <c r="P145" s="11"/>
      <c r="Q145" s="11"/>
      <c r="R145" s="11" t="s">
        <v>82</v>
      </c>
      <c r="S145" s="7" t="s">
        <v>2028</v>
      </c>
      <c r="T145" s="21" t="s">
        <v>3718</v>
      </c>
    </row>
    <row r="146" spans="1:20" ht="25.5" x14ac:dyDescent="0.2">
      <c r="A146" s="1">
        <v>145</v>
      </c>
      <c r="B146" s="24"/>
      <c r="C146" s="11" t="s">
        <v>84</v>
      </c>
      <c r="D146" s="11" t="s">
        <v>84</v>
      </c>
      <c r="E146" s="11" t="s">
        <v>82</v>
      </c>
      <c r="F146" s="11" t="s">
        <v>84</v>
      </c>
      <c r="G146" s="11" t="s">
        <v>84</v>
      </c>
      <c r="H146" s="11" t="s">
        <v>84</v>
      </c>
      <c r="I146" s="11" t="s">
        <v>84</v>
      </c>
      <c r="J146" s="11" t="s">
        <v>84</v>
      </c>
      <c r="K146" s="11"/>
      <c r="L146" s="11" t="s">
        <v>82</v>
      </c>
      <c r="M146" s="7"/>
      <c r="N146" s="21"/>
      <c r="O146" s="11" t="s">
        <v>84</v>
      </c>
      <c r="P146" s="11" t="s">
        <v>2030</v>
      </c>
      <c r="Q146" s="11"/>
      <c r="R146" s="11" t="s">
        <v>80</v>
      </c>
      <c r="S146" s="7"/>
      <c r="T146" s="21"/>
    </row>
    <row r="147" spans="1:20" x14ac:dyDescent="0.2">
      <c r="A147" s="1">
        <v>146</v>
      </c>
      <c r="B147" s="24"/>
      <c r="C147" s="11" t="s">
        <v>84</v>
      </c>
      <c r="D147" s="11" t="s">
        <v>84</v>
      </c>
      <c r="E147" s="11" t="s">
        <v>82</v>
      </c>
      <c r="F147" s="11" t="s">
        <v>82</v>
      </c>
      <c r="G147" s="11" t="s">
        <v>82</v>
      </c>
      <c r="H147" s="11" t="s">
        <v>82</v>
      </c>
      <c r="I147" s="11" t="s">
        <v>82</v>
      </c>
      <c r="J147" s="11" t="s">
        <v>82</v>
      </c>
      <c r="K147" s="11"/>
      <c r="L147" s="11" t="s">
        <v>84</v>
      </c>
      <c r="M147" s="7"/>
      <c r="N147" s="21"/>
      <c r="O147" s="11" t="s">
        <v>82</v>
      </c>
      <c r="P147" s="11"/>
      <c r="Q147" s="11"/>
      <c r="R147" s="11" t="s">
        <v>84</v>
      </c>
      <c r="S147" s="7"/>
      <c r="T147" s="21"/>
    </row>
    <row r="148" spans="1:20" x14ac:dyDescent="0.2">
      <c r="A148" s="1">
        <v>147</v>
      </c>
      <c r="B148" s="24"/>
      <c r="C148" s="11" t="s">
        <v>84</v>
      </c>
      <c r="D148" s="11" t="s">
        <v>84</v>
      </c>
      <c r="E148" s="11" t="s">
        <v>84</v>
      </c>
      <c r="F148" s="11" t="s">
        <v>82</v>
      </c>
      <c r="G148" s="11" t="s">
        <v>82</v>
      </c>
      <c r="H148" s="11" t="s">
        <v>82</v>
      </c>
      <c r="I148" s="11" t="s">
        <v>84</v>
      </c>
      <c r="J148" s="11" t="s">
        <v>82</v>
      </c>
      <c r="K148" s="11"/>
      <c r="L148" s="11" t="s">
        <v>82</v>
      </c>
      <c r="M148" s="7"/>
      <c r="N148" s="21"/>
      <c r="O148" s="11" t="s">
        <v>82</v>
      </c>
      <c r="P148" s="11"/>
      <c r="Q148" s="11"/>
      <c r="R148" s="11" t="s">
        <v>84</v>
      </c>
      <c r="S148" s="7"/>
      <c r="T148" s="21"/>
    </row>
    <row r="149" spans="1:20" ht="25.5" x14ac:dyDescent="0.2">
      <c r="A149" s="1">
        <v>148</v>
      </c>
      <c r="B149" s="24"/>
      <c r="C149" s="11" t="s">
        <v>84</v>
      </c>
      <c r="D149" s="11" t="s">
        <v>84</v>
      </c>
      <c r="E149" s="11" t="s">
        <v>84</v>
      </c>
      <c r="F149" s="11" t="s">
        <v>84</v>
      </c>
      <c r="G149" s="11" t="s">
        <v>82</v>
      </c>
      <c r="H149" s="11" t="s">
        <v>82</v>
      </c>
      <c r="I149" s="11" t="s">
        <v>84</v>
      </c>
      <c r="J149" s="11" t="s">
        <v>82</v>
      </c>
      <c r="K149" s="11"/>
      <c r="L149" s="11" t="s">
        <v>84</v>
      </c>
      <c r="M149" s="7" t="s">
        <v>2032</v>
      </c>
      <c r="N149" s="21" t="s">
        <v>3659</v>
      </c>
      <c r="O149" s="11" t="s">
        <v>82</v>
      </c>
      <c r="P149" s="11"/>
      <c r="Q149" s="11"/>
      <c r="R149" s="11" t="s">
        <v>82</v>
      </c>
      <c r="S149" s="7"/>
      <c r="T149" s="21"/>
    </row>
    <row r="150" spans="1:20" x14ac:dyDescent="0.2">
      <c r="A150" s="1">
        <v>149</v>
      </c>
      <c r="B150" s="24"/>
      <c r="C150" s="11" t="s">
        <v>84</v>
      </c>
      <c r="D150" s="11" t="s">
        <v>84</v>
      </c>
      <c r="E150" s="11" t="s">
        <v>84</v>
      </c>
      <c r="F150" s="11" t="s">
        <v>82</v>
      </c>
      <c r="G150" s="11" t="s">
        <v>82</v>
      </c>
      <c r="H150" s="11" t="s">
        <v>82</v>
      </c>
      <c r="I150" s="11" t="s">
        <v>84</v>
      </c>
      <c r="J150" s="11" t="s">
        <v>84</v>
      </c>
      <c r="K150" s="11"/>
      <c r="L150" s="11" t="s">
        <v>82</v>
      </c>
      <c r="M150" s="7"/>
      <c r="N150" s="21"/>
      <c r="O150" s="11" t="s">
        <v>82</v>
      </c>
      <c r="P150" s="11"/>
      <c r="Q150" s="11"/>
      <c r="R150" s="11" t="s">
        <v>82</v>
      </c>
      <c r="S150" s="7"/>
      <c r="T150" s="21"/>
    </row>
    <row r="151" spans="1:20" ht="25.5" x14ac:dyDescent="0.2">
      <c r="A151" s="1">
        <v>150</v>
      </c>
      <c r="B151" s="24"/>
      <c r="C151" s="11" t="s">
        <v>84</v>
      </c>
      <c r="D151" s="11" t="s">
        <v>84</v>
      </c>
      <c r="E151" s="11" t="s">
        <v>82</v>
      </c>
      <c r="F151" s="11" t="s">
        <v>82</v>
      </c>
      <c r="G151" s="11" t="s">
        <v>82</v>
      </c>
      <c r="H151" s="11" t="s">
        <v>82</v>
      </c>
      <c r="I151" s="11" t="s">
        <v>82</v>
      </c>
      <c r="J151" s="11" t="s">
        <v>84</v>
      </c>
      <c r="K151" s="11"/>
      <c r="L151" s="11" t="s">
        <v>84</v>
      </c>
      <c r="M151" s="7" t="s">
        <v>4212</v>
      </c>
      <c r="N151" s="21" t="s">
        <v>3660</v>
      </c>
      <c r="O151" s="11" t="s">
        <v>82</v>
      </c>
      <c r="P151" s="11"/>
      <c r="Q151" s="11"/>
      <c r="R151" s="11" t="s">
        <v>84</v>
      </c>
      <c r="S151" s="7"/>
      <c r="T151" s="21"/>
    </row>
    <row r="152" spans="1:20" x14ac:dyDescent="0.2">
      <c r="A152" s="1">
        <v>151</v>
      </c>
      <c r="B152" s="33"/>
      <c r="C152" s="33" t="s">
        <v>84</v>
      </c>
      <c r="D152" s="33" t="s">
        <v>84</v>
      </c>
      <c r="E152" s="33" t="s">
        <v>82</v>
      </c>
      <c r="F152" s="33" t="s">
        <v>84</v>
      </c>
      <c r="G152" s="33" t="s">
        <v>82</v>
      </c>
      <c r="H152" s="33" t="s">
        <v>82</v>
      </c>
      <c r="I152" s="33" t="s">
        <v>84</v>
      </c>
      <c r="J152" s="33" t="s">
        <v>82</v>
      </c>
      <c r="K152" s="33"/>
      <c r="L152" s="33" t="s">
        <v>82</v>
      </c>
      <c r="M152" s="52"/>
      <c r="N152" s="45"/>
      <c r="O152" s="33" t="s">
        <v>82</v>
      </c>
      <c r="P152" s="33"/>
      <c r="Q152" s="33"/>
      <c r="R152" s="33" t="s">
        <v>82</v>
      </c>
      <c r="S152" s="52"/>
      <c r="T152" s="45"/>
    </row>
    <row r="153" spans="1:20" ht="153" x14ac:dyDescent="0.2">
      <c r="A153" s="1">
        <v>152</v>
      </c>
      <c r="B153" s="24"/>
      <c r="C153" s="11" t="s">
        <v>84</v>
      </c>
      <c r="D153" s="11" t="s">
        <v>84</v>
      </c>
      <c r="E153" s="11" t="s">
        <v>82</v>
      </c>
      <c r="F153" s="11" t="s">
        <v>82</v>
      </c>
      <c r="G153" s="11" t="s">
        <v>82</v>
      </c>
      <c r="H153" s="11" t="s">
        <v>82</v>
      </c>
      <c r="I153" s="11" t="s">
        <v>84</v>
      </c>
      <c r="J153" s="11" t="s">
        <v>82</v>
      </c>
      <c r="K153" s="11" t="s">
        <v>2037</v>
      </c>
      <c r="L153" s="11" t="s">
        <v>84</v>
      </c>
      <c r="M153" s="7" t="s">
        <v>2038</v>
      </c>
      <c r="N153" s="21" t="s">
        <v>3632</v>
      </c>
      <c r="O153" s="11" t="s">
        <v>82</v>
      </c>
      <c r="P153" s="11"/>
      <c r="Q153" s="11"/>
      <c r="R153" s="11" t="s">
        <v>82</v>
      </c>
      <c r="S153" s="7" t="s">
        <v>2039</v>
      </c>
      <c r="T153" s="21" t="s">
        <v>3727</v>
      </c>
    </row>
    <row r="154" spans="1:20" x14ac:dyDescent="0.2">
      <c r="A154" s="1">
        <v>153</v>
      </c>
      <c r="B154" s="24"/>
      <c r="C154" s="11" t="s">
        <v>84</v>
      </c>
      <c r="D154" s="11" t="s">
        <v>84</v>
      </c>
      <c r="E154" s="11" t="s">
        <v>84</v>
      </c>
      <c r="F154" s="11" t="s">
        <v>84</v>
      </c>
      <c r="G154" s="11" t="s">
        <v>82</v>
      </c>
      <c r="H154" s="11" t="s">
        <v>82</v>
      </c>
      <c r="I154" s="11" t="s">
        <v>84</v>
      </c>
      <c r="J154" s="11" t="s">
        <v>82</v>
      </c>
      <c r="K154" s="11"/>
      <c r="L154" s="11" t="s">
        <v>84</v>
      </c>
      <c r="M154" s="7"/>
      <c r="N154" s="21"/>
      <c r="O154" s="11" t="s">
        <v>82</v>
      </c>
      <c r="P154" s="11"/>
      <c r="Q154" s="11"/>
      <c r="R154" s="11" t="s">
        <v>84</v>
      </c>
      <c r="S154" s="7"/>
      <c r="T154" s="21"/>
    </row>
    <row r="155" spans="1:20" x14ac:dyDescent="0.2">
      <c r="A155" s="1">
        <v>154</v>
      </c>
      <c r="B155" s="24"/>
      <c r="C155" s="11" t="s">
        <v>84</v>
      </c>
      <c r="D155" s="11" t="s">
        <v>84</v>
      </c>
      <c r="E155" s="11" t="s">
        <v>82</v>
      </c>
      <c r="F155" s="11" t="s">
        <v>82</v>
      </c>
      <c r="G155" s="11" t="s">
        <v>82</v>
      </c>
      <c r="H155" s="11" t="s">
        <v>82</v>
      </c>
      <c r="I155" s="11" t="s">
        <v>82</v>
      </c>
      <c r="J155" s="11" t="s">
        <v>82</v>
      </c>
      <c r="K155" s="11"/>
      <c r="L155" s="11" t="s">
        <v>84</v>
      </c>
      <c r="M155" s="7"/>
      <c r="N155" s="21"/>
      <c r="O155" s="11" t="s">
        <v>82</v>
      </c>
      <c r="P155" s="11"/>
      <c r="Q155" s="11"/>
      <c r="R155" s="11" t="s">
        <v>84</v>
      </c>
      <c r="S155" s="7" t="s">
        <v>1903</v>
      </c>
      <c r="T155" s="21" t="s">
        <v>1052</v>
      </c>
    </row>
    <row r="156" spans="1:20" x14ac:dyDescent="0.2">
      <c r="A156" s="1">
        <v>155</v>
      </c>
      <c r="B156" s="24"/>
      <c r="C156" s="11" t="s">
        <v>84</v>
      </c>
      <c r="D156" s="11" t="s">
        <v>84</v>
      </c>
      <c r="E156" s="11" t="s">
        <v>82</v>
      </c>
      <c r="F156" s="11" t="s">
        <v>82</v>
      </c>
      <c r="G156" s="11" t="s">
        <v>82</v>
      </c>
      <c r="H156" s="11" t="s">
        <v>82</v>
      </c>
      <c r="I156" s="11" t="s">
        <v>82</v>
      </c>
      <c r="J156" s="11" t="s">
        <v>82</v>
      </c>
      <c r="K156" s="11"/>
      <c r="L156" s="11" t="s">
        <v>82</v>
      </c>
      <c r="M156" s="7"/>
      <c r="N156" s="21"/>
      <c r="O156" s="11" t="s">
        <v>82</v>
      </c>
      <c r="P156" s="11"/>
      <c r="Q156" s="11"/>
      <c r="R156" s="11" t="s">
        <v>82</v>
      </c>
      <c r="S156" s="7"/>
      <c r="T156" s="21"/>
    </row>
    <row r="157" spans="1:20" ht="63.75" x14ac:dyDescent="0.2">
      <c r="A157" s="1">
        <v>156</v>
      </c>
      <c r="B157" s="24"/>
      <c r="C157" s="11" t="s">
        <v>84</v>
      </c>
      <c r="D157" s="11" t="s">
        <v>84</v>
      </c>
      <c r="E157" s="11" t="s">
        <v>82</v>
      </c>
      <c r="F157" s="11" t="s">
        <v>84</v>
      </c>
      <c r="G157" s="11" t="s">
        <v>82</v>
      </c>
      <c r="H157" s="11" t="s">
        <v>82</v>
      </c>
      <c r="I157" s="11" t="s">
        <v>82</v>
      </c>
      <c r="J157" s="11" t="s">
        <v>84</v>
      </c>
      <c r="K157" s="11"/>
      <c r="L157" s="11" t="s">
        <v>82</v>
      </c>
      <c r="M157" s="7"/>
      <c r="N157" s="21"/>
      <c r="O157" s="11" t="s">
        <v>82</v>
      </c>
      <c r="P157" s="11"/>
      <c r="Q157" s="11"/>
      <c r="R157" s="11" t="s">
        <v>82</v>
      </c>
      <c r="S157" s="7" t="s">
        <v>2041</v>
      </c>
      <c r="T157" s="21" t="s">
        <v>3724</v>
      </c>
    </row>
    <row r="158" spans="1:20" ht="127.5" x14ac:dyDescent="0.2">
      <c r="A158" s="1">
        <v>157</v>
      </c>
      <c r="B158" s="24"/>
      <c r="C158" s="11" t="s">
        <v>84</v>
      </c>
      <c r="D158" s="11" t="s">
        <v>84</v>
      </c>
      <c r="E158" s="11" t="s">
        <v>82</v>
      </c>
      <c r="F158" s="11" t="s">
        <v>82</v>
      </c>
      <c r="G158" s="11" t="s">
        <v>84</v>
      </c>
      <c r="H158" s="21" t="s">
        <v>81</v>
      </c>
      <c r="I158" s="11" t="s">
        <v>84</v>
      </c>
      <c r="J158" s="11" t="s">
        <v>82</v>
      </c>
      <c r="K158" s="11" t="s">
        <v>1934</v>
      </c>
      <c r="L158" s="11" t="s">
        <v>84</v>
      </c>
      <c r="M158" s="7"/>
      <c r="N158" s="21"/>
      <c r="O158" s="11" t="s">
        <v>84</v>
      </c>
      <c r="P158" s="11" t="s">
        <v>3944</v>
      </c>
      <c r="Q158" s="11" t="s">
        <v>2486</v>
      </c>
      <c r="R158" s="11" t="s">
        <v>80</v>
      </c>
      <c r="S158" s="7"/>
      <c r="T158" s="21"/>
    </row>
    <row r="159" spans="1:20" x14ac:dyDescent="0.2">
      <c r="A159" s="1">
        <v>158</v>
      </c>
      <c r="B159" s="24"/>
      <c r="C159" s="11" t="s">
        <v>84</v>
      </c>
      <c r="D159" s="11" t="s">
        <v>84</v>
      </c>
      <c r="E159" s="11" t="s">
        <v>84</v>
      </c>
      <c r="F159" s="11" t="s">
        <v>84</v>
      </c>
      <c r="G159" s="11" t="s">
        <v>82</v>
      </c>
      <c r="H159" s="11" t="s">
        <v>82</v>
      </c>
      <c r="I159" s="11" t="s">
        <v>84</v>
      </c>
      <c r="J159" s="11" t="s">
        <v>82</v>
      </c>
      <c r="K159" s="11"/>
      <c r="L159" s="11" t="s">
        <v>82</v>
      </c>
      <c r="M159" s="7"/>
      <c r="N159" s="21"/>
      <c r="O159" s="11" t="s">
        <v>82</v>
      </c>
      <c r="P159" s="11"/>
      <c r="Q159" s="11"/>
      <c r="R159" s="11" t="s">
        <v>82</v>
      </c>
      <c r="S159" s="7"/>
      <c r="T159" s="21"/>
    </row>
    <row r="160" spans="1:20" x14ac:dyDescent="0.2">
      <c r="A160" s="1">
        <v>159</v>
      </c>
      <c r="B160" s="24"/>
      <c r="C160" s="11" t="s">
        <v>84</v>
      </c>
      <c r="D160" s="11" t="s">
        <v>84</v>
      </c>
      <c r="E160" s="11" t="s">
        <v>84</v>
      </c>
      <c r="F160" s="11" t="s">
        <v>84</v>
      </c>
      <c r="G160" s="11" t="s">
        <v>82</v>
      </c>
      <c r="H160" s="11" t="s">
        <v>82</v>
      </c>
      <c r="I160" s="11" t="s">
        <v>82</v>
      </c>
      <c r="J160" s="11" t="s">
        <v>82</v>
      </c>
      <c r="K160" s="11"/>
      <c r="L160" s="11" t="s">
        <v>82</v>
      </c>
      <c r="M160" s="7"/>
      <c r="N160" s="21"/>
      <c r="O160" s="11" t="s">
        <v>82</v>
      </c>
      <c r="P160" s="11"/>
      <c r="Q160" s="11"/>
      <c r="R160" s="11" t="s">
        <v>82</v>
      </c>
      <c r="S160" s="7"/>
      <c r="T160" s="21"/>
    </row>
    <row r="161" spans="1:20" x14ac:dyDescent="0.2">
      <c r="A161" s="1">
        <v>160</v>
      </c>
      <c r="B161" s="24"/>
      <c r="C161" s="11" t="s">
        <v>84</v>
      </c>
      <c r="D161" s="11" t="s">
        <v>84</v>
      </c>
      <c r="E161" s="11" t="s">
        <v>84</v>
      </c>
      <c r="F161" s="11" t="s">
        <v>82</v>
      </c>
      <c r="G161" s="11" t="s">
        <v>82</v>
      </c>
      <c r="H161" s="11" t="s">
        <v>82</v>
      </c>
      <c r="I161" s="11" t="s">
        <v>82</v>
      </c>
      <c r="J161" s="11" t="s">
        <v>82</v>
      </c>
      <c r="K161" s="11"/>
      <c r="L161" s="11" t="s">
        <v>84</v>
      </c>
      <c r="M161" s="7" t="s">
        <v>2050</v>
      </c>
      <c r="N161" s="21" t="s">
        <v>3645</v>
      </c>
      <c r="O161" s="11" t="s">
        <v>82</v>
      </c>
      <c r="P161" s="11"/>
      <c r="Q161" s="11"/>
      <c r="R161" s="11" t="s">
        <v>84</v>
      </c>
      <c r="S161" s="7"/>
      <c r="T161" s="21"/>
    </row>
    <row r="162" spans="1:20" ht="63.75" x14ac:dyDescent="0.2">
      <c r="A162" s="1">
        <v>161</v>
      </c>
      <c r="B162" s="24"/>
      <c r="C162" s="11" t="s">
        <v>84</v>
      </c>
      <c r="D162" s="11" t="s">
        <v>84</v>
      </c>
      <c r="E162" s="11" t="s">
        <v>82</v>
      </c>
      <c r="F162" s="11" t="s">
        <v>82</v>
      </c>
      <c r="G162" s="11" t="s">
        <v>82</v>
      </c>
      <c r="H162" s="11" t="s">
        <v>82</v>
      </c>
      <c r="I162" s="11" t="s">
        <v>84</v>
      </c>
      <c r="J162" s="11" t="s">
        <v>84</v>
      </c>
      <c r="K162" s="11"/>
      <c r="L162" s="11" t="s">
        <v>84</v>
      </c>
      <c r="M162" s="7" t="s">
        <v>2052</v>
      </c>
      <c r="N162" s="21" t="s">
        <v>3639</v>
      </c>
      <c r="O162" s="11" t="s">
        <v>82</v>
      </c>
      <c r="P162" s="11"/>
      <c r="Q162" s="11"/>
      <c r="R162" s="11" t="s">
        <v>84</v>
      </c>
      <c r="S162" s="7" t="s">
        <v>2053</v>
      </c>
      <c r="T162" s="21"/>
    </row>
    <row r="163" spans="1:20" ht="76.5" x14ac:dyDescent="0.2">
      <c r="A163" s="1">
        <v>162</v>
      </c>
      <c r="B163" s="24"/>
      <c r="C163" s="11" t="s">
        <v>84</v>
      </c>
      <c r="D163" s="11" t="s">
        <v>84</v>
      </c>
      <c r="E163" s="11" t="s">
        <v>84</v>
      </c>
      <c r="F163" s="11" t="s">
        <v>84</v>
      </c>
      <c r="G163" s="11" t="s">
        <v>82</v>
      </c>
      <c r="H163" s="11" t="s">
        <v>82</v>
      </c>
      <c r="I163" s="11" t="s">
        <v>82</v>
      </c>
      <c r="J163" s="11" t="s">
        <v>84</v>
      </c>
      <c r="K163" s="11"/>
      <c r="L163" s="11" t="s">
        <v>84</v>
      </c>
      <c r="M163" s="7" t="s">
        <v>2055</v>
      </c>
      <c r="N163" s="21" t="s">
        <v>3640</v>
      </c>
      <c r="O163" s="11" t="s">
        <v>82</v>
      </c>
      <c r="P163" s="11"/>
      <c r="Q163" s="11"/>
      <c r="R163" s="11" t="s">
        <v>84</v>
      </c>
      <c r="S163" s="7" t="s">
        <v>2056</v>
      </c>
      <c r="T163" s="21" t="s">
        <v>1072</v>
      </c>
    </row>
    <row r="164" spans="1:20" x14ac:dyDescent="0.2">
      <c r="A164" s="1">
        <v>163</v>
      </c>
      <c r="B164" s="24"/>
      <c r="C164" s="11" t="s">
        <v>84</v>
      </c>
      <c r="D164" s="11" t="s">
        <v>84</v>
      </c>
      <c r="E164" s="11" t="s">
        <v>82</v>
      </c>
      <c r="F164" s="11" t="s">
        <v>84</v>
      </c>
      <c r="G164" s="11" t="s">
        <v>84</v>
      </c>
      <c r="H164" s="11" t="s">
        <v>82</v>
      </c>
      <c r="I164" s="11" t="s">
        <v>84</v>
      </c>
      <c r="J164" s="11" t="s">
        <v>82</v>
      </c>
      <c r="K164" s="11"/>
      <c r="L164" s="11" t="s">
        <v>82</v>
      </c>
      <c r="M164" s="7"/>
      <c r="N164" s="21"/>
      <c r="O164" s="11" t="s">
        <v>82</v>
      </c>
      <c r="P164" s="11"/>
      <c r="Q164" s="11"/>
      <c r="R164" s="11" t="s">
        <v>82</v>
      </c>
      <c r="S164" s="7"/>
      <c r="T164" s="21"/>
    </row>
    <row r="165" spans="1:20" x14ac:dyDescent="0.2">
      <c r="A165" s="1">
        <v>164</v>
      </c>
      <c r="B165" s="24"/>
      <c r="C165" s="11" t="s">
        <v>84</v>
      </c>
      <c r="D165" s="11" t="s">
        <v>84</v>
      </c>
      <c r="E165" s="11" t="s">
        <v>84</v>
      </c>
      <c r="F165" s="11" t="s">
        <v>84</v>
      </c>
      <c r="G165" s="11" t="s">
        <v>82</v>
      </c>
      <c r="H165" s="11" t="s">
        <v>82</v>
      </c>
      <c r="I165" s="11" t="s">
        <v>84</v>
      </c>
      <c r="J165" s="11" t="s">
        <v>82</v>
      </c>
      <c r="K165" s="11"/>
      <c r="L165" s="11" t="s">
        <v>82</v>
      </c>
      <c r="M165" s="7"/>
      <c r="N165" s="21"/>
      <c r="O165" s="11" t="s">
        <v>82</v>
      </c>
      <c r="P165" s="11"/>
      <c r="Q165" s="11"/>
      <c r="R165" s="11" t="s">
        <v>82</v>
      </c>
      <c r="S165" s="7"/>
      <c r="T165" s="21"/>
    </row>
    <row r="166" spans="1:20" ht="51" x14ac:dyDescent="0.2">
      <c r="A166" s="1">
        <v>165</v>
      </c>
      <c r="B166" s="24"/>
      <c r="C166" s="11" t="s">
        <v>84</v>
      </c>
      <c r="D166" s="11" t="s">
        <v>84</v>
      </c>
      <c r="E166" s="11" t="s">
        <v>84</v>
      </c>
      <c r="F166" s="11" t="s">
        <v>82</v>
      </c>
      <c r="G166" s="11" t="s">
        <v>82</v>
      </c>
      <c r="H166" s="11" t="s">
        <v>82</v>
      </c>
      <c r="I166" s="11" t="s">
        <v>84</v>
      </c>
      <c r="J166" s="11" t="s">
        <v>82</v>
      </c>
      <c r="K166" s="11"/>
      <c r="L166" s="11" t="s">
        <v>82</v>
      </c>
      <c r="M166" s="7"/>
      <c r="N166" s="21"/>
      <c r="O166" s="39" t="s">
        <v>84</v>
      </c>
      <c r="P166" s="39" t="s">
        <v>1114</v>
      </c>
      <c r="Q166" s="11"/>
      <c r="R166" s="11" t="s">
        <v>82</v>
      </c>
      <c r="S166" s="7" t="s">
        <v>2059</v>
      </c>
      <c r="T166" s="21" t="s">
        <v>3452</v>
      </c>
    </row>
    <row r="167" spans="1:20" ht="63.75" x14ac:dyDescent="0.2">
      <c r="A167" s="1">
        <v>166</v>
      </c>
      <c r="B167" s="24"/>
      <c r="C167" s="11" t="s">
        <v>84</v>
      </c>
      <c r="D167" s="11" t="s">
        <v>84</v>
      </c>
      <c r="E167" s="11" t="s">
        <v>82</v>
      </c>
      <c r="F167" s="11" t="s">
        <v>82</v>
      </c>
      <c r="G167" s="11" t="s">
        <v>82</v>
      </c>
      <c r="H167" s="11" t="s">
        <v>84</v>
      </c>
      <c r="I167" s="11" t="s">
        <v>82</v>
      </c>
      <c r="J167" s="11" t="s">
        <v>84</v>
      </c>
      <c r="K167" s="11"/>
      <c r="L167" s="11" t="s">
        <v>84</v>
      </c>
      <c r="M167" s="7" t="s">
        <v>2062</v>
      </c>
      <c r="N167" s="21" t="s">
        <v>3641</v>
      </c>
      <c r="O167" s="11" t="s">
        <v>84</v>
      </c>
      <c r="P167" s="11" t="s">
        <v>3892</v>
      </c>
      <c r="Q167" s="11" t="s">
        <v>3703</v>
      </c>
      <c r="R167" s="11" t="s">
        <v>80</v>
      </c>
      <c r="S167" s="7"/>
      <c r="T167" s="21"/>
    </row>
    <row r="168" spans="1:20" x14ac:dyDescent="0.2">
      <c r="A168" s="1">
        <v>167</v>
      </c>
      <c r="B168" s="24"/>
      <c r="C168" s="11" t="s">
        <v>84</v>
      </c>
      <c r="D168" s="11" t="s">
        <v>84</v>
      </c>
      <c r="E168" s="11" t="s">
        <v>84</v>
      </c>
      <c r="F168" s="11" t="s">
        <v>82</v>
      </c>
      <c r="G168" s="11" t="s">
        <v>82</v>
      </c>
      <c r="H168" s="21" t="s">
        <v>84</v>
      </c>
      <c r="I168" s="11" t="s">
        <v>84</v>
      </c>
      <c r="J168" s="11" t="s">
        <v>84</v>
      </c>
      <c r="K168" s="11"/>
      <c r="L168" s="11" t="s">
        <v>82</v>
      </c>
      <c r="M168" s="7"/>
      <c r="N168" s="21"/>
      <c r="O168" s="11" t="s">
        <v>84</v>
      </c>
      <c r="P168" s="11" t="s">
        <v>3945</v>
      </c>
      <c r="Q168" s="11" t="s">
        <v>2067</v>
      </c>
      <c r="R168" s="11" t="s">
        <v>80</v>
      </c>
      <c r="S168" s="7"/>
      <c r="T168" s="21"/>
    </row>
    <row r="169" spans="1:20" x14ac:dyDescent="0.2">
      <c r="A169" s="1">
        <v>168</v>
      </c>
      <c r="B169" s="24"/>
      <c r="C169" s="11" t="s">
        <v>84</v>
      </c>
      <c r="D169" s="11" t="s">
        <v>84</v>
      </c>
      <c r="E169" s="11" t="s">
        <v>84</v>
      </c>
      <c r="F169" s="11" t="s">
        <v>82</v>
      </c>
      <c r="G169" s="11" t="s">
        <v>82</v>
      </c>
      <c r="H169" s="11" t="s">
        <v>82</v>
      </c>
      <c r="I169" s="11" t="s">
        <v>82</v>
      </c>
      <c r="J169" s="11" t="s">
        <v>82</v>
      </c>
      <c r="K169" s="11"/>
      <c r="L169" s="11" t="s">
        <v>82</v>
      </c>
      <c r="M169" s="7"/>
      <c r="N169" s="21"/>
      <c r="O169" s="11" t="s">
        <v>82</v>
      </c>
      <c r="P169" s="11"/>
      <c r="Q169" s="11"/>
      <c r="R169" s="11" t="s">
        <v>84</v>
      </c>
      <c r="S169" s="7"/>
      <c r="T169" s="21"/>
    </row>
    <row r="170" spans="1:20" ht="25.5" x14ac:dyDescent="0.2">
      <c r="A170" s="1">
        <v>169</v>
      </c>
      <c r="B170" s="24"/>
      <c r="C170" s="11" t="s">
        <v>84</v>
      </c>
      <c r="D170" s="11" t="s">
        <v>84</v>
      </c>
      <c r="E170" s="11" t="s">
        <v>84</v>
      </c>
      <c r="F170" s="11" t="s">
        <v>82</v>
      </c>
      <c r="G170" s="11" t="s">
        <v>82</v>
      </c>
      <c r="H170" s="11" t="s">
        <v>82</v>
      </c>
      <c r="I170" s="11" t="s">
        <v>84</v>
      </c>
      <c r="J170" s="11" t="s">
        <v>84</v>
      </c>
      <c r="K170" s="11"/>
      <c r="L170" s="11" t="s">
        <v>82</v>
      </c>
      <c r="M170" s="7"/>
      <c r="N170" s="21"/>
      <c r="O170" s="11" t="s">
        <v>82</v>
      </c>
      <c r="P170" s="11"/>
      <c r="Q170" s="11"/>
      <c r="R170" s="11" t="s">
        <v>84</v>
      </c>
      <c r="S170" s="7" t="s">
        <v>2069</v>
      </c>
      <c r="T170" s="21"/>
    </row>
    <row r="171" spans="1:20" ht="63.75" x14ac:dyDescent="0.2">
      <c r="A171" s="1">
        <v>170</v>
      </c>
      <c r="B171" s="24"/>
      <c r="C171" s="11" t="s">
        <v>84</v>
      </c>
      <c r="D171" s="11" t="s">
        <v>84</v>
      </c>
      <c r="E171" s="11" t="s">
        <v>82</v>
      </c>
      <c r="F171" s="11" t="s">
        <v>84</v>
      </c>
      <c r="G171" s="11" t="s">
        <v>82</v>
      </c>
      <c r="H171" s="21" t="s">
        <v>82</v>
      </c>
      <c r="I171" s="11" t="s">
        <v>82</v>
      </c>
      <c r="J171" s="11" t="s">
        <v>82</v>
      </c>
      <c r="K171" s="11"/>
      <c r="L171" s="11" t="s">
        <v>84</v>
      </c>
      <c r="M171" s="7" t="s">
        <v>2071</v>
      </c>
      <c r="N171" s="21" t="s">
        <v>3661</v>
      </c>
      <c r="O171" s="11" t="s">
        <v>82</v>
      </c>
      <c r="P171" s="11"/>
      <c r="Q171" s="11"/>
      <c r="R171" s="11" t="s">
        <v>82</v>
      </c>
      <c r="S171" s="7" t="s">
        <v>2072</v>
      </c>
      <c r="T171" s="21" t="s">
        <v>3718</v>
      </c>
    </row>
    <row r="172" spans="1:20" ht="89.25" x14ac:dyDescent="0.2">
      <c r="A172" s="1">
        <v>171</v>
      </c>
      <c r="B172" s="24"/>
      <c r="C172" s="11" t="s">
        <v>84</v>
      </c>
      <c r="D172" s="11" t="s">
        <v>84</v>
      </c>
      <c r="E172" s="11" t="s">
        <v>82</v>
      </c>
      <c r="F172" s="11" t="s">
        <v>82</v>
      </c>
      <c r="G172" s="11" t="s">
        <v>82</v>
      </c>
      <c r="H172" s="21" t="s">
        <v>84</v>
      </c>
      <c r="I172" s="11" t="s">
        <v>82</v>
      </c>
      <c r="J172" s="11" t="s">
        <v>82</v>
      </c>
      <c r="K172" s="11"/>
      <c r="L172" s="11" t="s">
        <v>84</v>
      </c>
      <c r="M172" s="7" t="s">
        <v>2074</v>
      </c>
      <c r="N172" s="21" t="s">
        <v>3642</v>
      </c>
      <c r="O172" s="11" t="s">
        <v>84</v>
      </c>
      <c r="P172" s="11" t="s">
        <v>3946</v>
      </c>
      <c r="Q172" s="11" t="s">
        <v>2076</v>
      </c>
      <c r="R172" s="11" t="s">
        <v>80</v>
      </c>
      <c r="S172" s="7"/>
      <c r="T172" s="21"/>
    </row>
    <row r="173" spans="1:20" ht="63.75" x14ac:dyDescent="0.2">
      <c r="A173" s="1">
        <v>172</v>
      </c>
      <c r="B173" s="24"/>
      <c r="C173" s="11" t="s">
        <v>84</v>
      </c>
      <c r="D173" s="11" t="s">
        <v>84</v>
      </c>
      <c r="E173" s="11" t="s">
        <v>84</v>
      </c>
      <c r="F173" s="11" t="s">
        <v>84</v>
      </c>
      <c r="G173" s="11" t="s">
        <v>82</v>
      </c>
      <c r="H173" s="11" t="s">
        <v>84</v>
      </c>
      <c r="I173" s="11" t="s">
        <v>84</v>
      </c>
      <c r="J173" s="11" t="s">
        <v>84</v>
      </c>
      <c r="K173" s="11"/>
      <c r="L173" s="11" t="s">
        <v>82</v>
      </c>
      <c r="M173" s="7"/>
      <c r="N173" s="21"/>
      <c r="O173" s="11" t="s">
        <v>84</v>
      </c>
      <c r="P173" s="11" t="s">
        <v>3947</v>
      </c>
      <c r="Q173" s="7" t="s">
        <v>3704</v>
      </c>
      <c r="R173" s="11" t="s">
        <v>80</v>
      </c>
      <c r="S173" s="7"/>
      <c r="T173" s="21"/>
    </row>
    <row r="174" spans="1:20" x14ac:dyDescent="0.2">
      <c r="A174" s="1">
        <v>173</v>
      </c>
      <c r="B174" s="24"/>
      <c r="C174" s="11" t="s">
        <v>84</v>
      </c>
      <c r="D174" s="11" t="s">
        <v>84</v>
      </c>
      <c r="E174" s="11" t="s">
        <v>84</v>
      </c>
      <c r="F174" s="11" t="s">
        <v>82</v>
      </c>
      <c r="G174" s="11" t="s">
        <v>82</v>
      </c>
      <c r="H174" s="11" t="s">
        <v>84</v>
      </c>
      <c r="I174" s="11" t="s">
        <v>84</v>
      </c>
      <c r="J174" s="11" t="s">
        <v>82</v>
      </c>
      <c r="K174" s="11"/>
      <c r="L174" s="11" t="s">
        <v>82</v>
      </c>
      <c r="M174" s="11"/>
      <c r="N174" s="21"/>
      <c r="O174" s="11" t="s">
        <v>84</v>
      </c>
      <c r="P174" s="11" t="s">
        <v>240</v>
      </c>
      <c r="Q174" s="19" t="s">
        <v>813</v>
      </c>
      <c r="R174" s="11" t="s">
        <v>80</v>
      </c>
      <c r="S174" s="7"/>
      <c r="T174" s="21"/>
    </row>
    <row r="175" spans="1:20" x14ac:dyDescent="0.2">
      <c r="A175" s="1">
        <v>174</v>
      </c>
      <c r="B175" s="24"/>
      <c r="C175" s="11" t="s">
        <v>84</v>
      </c>
      <c r="D175" s="11" t="s">
        <v>84</v>
      </c>
      <c r="E175" s="11" t="s">
        <v>84</v>
      </c>
      <c r="F175" s="11" t="s">
        <v>82</v>
      </c>
      <c r="G175" s="11" t="s">
        <v>82</v>
      </c>
      <c r="H175" s="11" t="s">
        <v>82</v>
      </c>
      <c r="I175" s="11" t="s">
        <v>84</v>
      </c>
      <c r="J175" s="11" t="s">
        <v>84</v>
      </c>
      <c r="K175" s="11"/>
      <c r="L175" s="11" t="s">
        <v>82</v>
      </c>
      <c r="M175" s="11"/>
      <c r="N175" s="21"/>
      <c r="O175" s="11" t="s">
        <v>82</v>
      </c>
      <c r="P175" s="11"/>
      <c r="Q175" s="11"/>
      <c r="R175" s="11" t="s">
        <v>84</v>
      </c>
      <c r="S175" s="7"/>
      <c r="T175" s="21"/>
    </row>
    <row r="176" spans="1:20" ht="178.5" x14ac:dyDescent="0.2">
      <c r="A176" s="1">
        <v>175</v>
      </c>
      <c r="B176" s="24"/>
      <c r="C176" s="11" t="s">
        <v>84</v>
      </c>
      <c r="D176" s="11" t="s">
        <v>84</v>
      </c>
      <c r="E176" s="11" t="s">
        <v>84</v>
      </c>
      <c r="F176" s="11" t="s">
        <v>84</v>
      </c>
      <c r="G176" s="11" t="s">
        <v>82</v>
      </c>
      <c r="H176" s="11" t="s">
        <v>82</v>
      </c>
      <c r="I176" s="11" t="s">
        <v>84</v>
      </c>
      <c r="J176" s="11" t="s">
        <v>84</v>
      </c>
      <c r="K176" s="11"/>
      <c r="L176" s="11" t="s">
        <v>84</v>
      </c>
      <c r="M176" s="7" t="s">
        <v>2084</v>
      </c>
      <c r="N176" s="21" t="s">
        <v>3662</v>
      </c>
      <c r="O176" s="39" t="s">
        <v>84</v>
      </c>
      <c r="P176" s="39" t="s">
        <v>1114</v>
      </c>
      <c r="Q176" s="11"/>
      <c r="R176" s="11" t="s">
        <v>82</v>
      </c>
      <c r="S176" s="7" t="s">
        <v>4213</v>
      </c>
      <c r="T176" s="21" t="s">
        <v>3724</v>
      </c>
    </row>
    <row r="177" spans="1:20" x14ac:dyDescent="0.2">
      <c r="A177" s="1">
        <v>176</v>
      </c>
      <c r="B177" s="24"/>
      <c r="C177" s="11" t="s">
        <v>84</v>
      </c>
      <c r="D177" s="11" t="s">
        <v>84</v>
      </c>
      <c r="E177" s="11" t="s">
        <v>84</v>
      </c>
      <c r="F177" s="11" t="s">
        <v>82</v>
      </c>
      <c r="G177" s="11" t="s">
        <v>82</v>
      </c>
      <c r="H177" s="11" t="s">
        <v>82</v>
      </c>
      <c r="I177" s="11" t="s">
        <v>84</v>
      </c>
      <c r="J177" s="11" t="s">
        <v>84</v>
      </c>
      <c r="K177" s="11"/>
      <c r="L177" s="11" t="s">
        <v>82</v>
      </c>
      <c r="M177" s="7"/>
      <c r="N177" s="21"/>
      <c r="O177" s="11" t="s">
        <v>82</v>
      </c>
      <c r="P177" s="11"/>
      <c r="Q177" s="11"/>
      <c r="R177" s="11" t="s">
        <v>84</v>
      </c>
      <c r="S177" s="7" t="s">
        <v>246</v>
      </c>
      <c r="T177" s="21"/>
    </row>
    <row r="178" spans="1:20" ht="38.25" x14ac:dyDescent="0.2">
      <c r="A178" s="1">
        <v>177</v>
      </c>
      <c r="B178" s="24"/>
      <c r="C178" s="11" t="s">
        <v>84</v>
      </c>
      <c r="D178" s="11" t="s">
        <v>84</v>
      </c>
      <c r="E178" s="11" t="s">
        <v>84</v>
      </c>
      <c r="F178" s="11" t="s">
        <v>84</v>
      </c>
      <c r="G178" s="11" t="s">
        <v>82</v>
      </c>
      <c r="H178" s="11" t="s">
        <v>82</v>
      </c>
      <c r="I178" s="11" t="s">
        <v>82</v>
      </c>
      <c r="J178" s="11" t="s">
        <v>82</v>
      </c>
      <c r="K178" s="11"/>
      <c r="L178" s="11" t="s">
        <v>84</v>
      </c>
      <c r="M178" s="7" t="s">
        <v>2088</v>
      </c>
      <c r="N178" s="21" t="s">
        <v>3663</v>
      </c>
      <c r="O178" s="11" t="s">
        <v>82</v>
      </c>
      <c r="P178" s="11"/>
      <c r="Q178" s="11"/>
      <c r="R178" s="11" t="s">
        <v>84</v>
      </c>
      <c r="S178" s="7" t="s">
        <v>2089</v>
      </c>
      <c r="T178" s="21" t="s">
        <v>709</v>
      </c>
    </row>
    <row r="179" spans="1:20" ht="229.5" x14ac:dyDescent="0.2">
      <c r="A179" s="1">
        <v>178</v>
      </c>
      <c r="B179" s="24"/>
      <c r="C179" s="11" t="s">
        <v>84</v>
      </c>
      <c r="D179" s="11" t="s">
        <v>84</v>
      </c>
      <c r="E179" s="11" t="s">
        <v>84</v>
      </c>
      <c r="F179" s="11" t="s">
        <v>84</v>
      </c>
      <c r="G179" s="11" t="s">
        <v>82</v>
      </c>
      <c r="H179" s="11" t="s">
        <v>84</v>
      </c>
      <c r="I179" s="11" t="s">
        <v>82</v>
      </c>
      <c r="J179" s="11" t="s">
        <v>84</v>
      </c>
      <c r="K179" s="11"/>
      <c r="L179" s="11" t="s">
        <v>84</v>
      </c>
      <c r="M179" s="7" t="s">
        <v>3692</v>
      </c>
      <c r="N179" s="21" t="s">
        <v>3664</v>
      </c>
      <c r="O179" s="11" t="s">
        <v>84</v>
      </c>
      <c r="P179" s="11" t="s">
        <v>2092</v>
      </c>
      <c r="Q179" s="11" t="s">
        <v>3001</v>
      </c>
      <c r="R179" s="11" t="s">
        <v>80</v>
      </c>
      <c r="S179" s="7"/>
      <c r="T179" s="21"/>
    </row>
    <row r="180" spans="1:20" ht="25.5" x14ac:dyDescent="0.2">
      <c r="A180" s="1">
        <v>179</v>
      </c>
      <c r="B180" s="24"/>
      <c r="C180" s="11" t="s">
        <v>84</v>
      </c>
      <c r="D180" s="11" t="s">
        <v>84</v>
      </c>
      <c r="E180" s="11" t="s">
        <v>84</v>
      </c>
      <c r="F180" s="11" t="s">
        <v>82</v>
      </c>
      <c r="G180" s="11" t="s">
        <v>82</v>
      </c>
      <c r="H180" s="11" t="s">
        <v>82</v>
      </c>
      <c r="I180" s="11" t="s">
        <v>84</v>
      </c>
      <c r="J180" s="11" t="s">
        <v>82</v>
      </c>
      <c r="K180" s="11"/>
      <c r="L180" s="11" t="s">
        <v>82</v>
      </c>
      <c r="M180" s="7"/>
      <c r="N180" s="21"/>
      <c r="O180" s="11" t="s">
        <v>82</v>
      </c>
      <c r="P180" s="11"/>
      <c r="Q180" s="11"/>
      <c r="R180" s="11" t="s">
        <v>84</v>
      </c>
      <c r="S180" s="7" t="s">
        <v>2095</v>
      </c>
      <c r="T180" s="21" t="s">
        <v>1052</v>
      </c>
    </row>
    <row r="181" spans="1:20" ht="76.5" x14ac:dyDescent="0.2">
      <c r="A181" s="1">
        <v>180</v>
      </c>
      <c r="B181" s="24"/>
      <c r="C181" s="11" t="s">
        <v>84</v>
      </c>
      <c r="D181" s="11" t="s">
        <v>84</v>
      </c>
      <c r="E181" s="11" t="s">
        <v>84</v>
      </c>
      <c r="F181" s="11" t="s">
        <v>84</v>
      </c>
      <c r="G181" s="11" t="s">
        <v>82</v>
      </c>
      <c r="H181" s="11" t="s">
        <v>82</v>
      </c>
      <c r="I181" s="11" t="s">
        <v>84</v>
      </c>
      <c r="J181" s="11" t="s">
        <v>82</v>
      </c>
      <c r="K181" s="11"/>
      <c r="L181" s="11" t="s">
        <v>82</v>
      </c>
      <c r="M181" s="7"/>
      <c r="N181" s="21"/>
      <c r="O181" s="11" t="s">
        <v>82</v>
      </c>
      <c r="P181" s="11"/>
      <c r="Q181" s="11"/>
      <c r="R181" s="11" t="s">
        <v>82</v>
      </c>
      <c r="S181" s="7" t="s">
        <v>2097</v>
      </c>
      <c r="T181" s="21" t="s">
        <v>3718</v>
      </c>
    </row>
    <row r="182" spans="1:20" ht="63.75" x14ac:dyDescent="0.2">
      <c r="A182" s="1">
        <v>181</v>
      </c>
      <c r="B182" s="24"/>
      <c r="C182" s="11" t="s">
        <v>84</v>
      </c>
      <c r="D182" s="11" t="s">
        <v>84</v>
      </c>
      <c r="E182" s="11" t="s">
        <v>84</v>
      </c>
      <c r="F182" s="11" t="s">
        <v>84</v>
      </c>
      <c r="G182" s="11" t="s">
        <v>82</v>
      </c>
      <c r="H182" s="11" t="s">
        <v>82</v>
      </c>
      <c r="I182" s="11" t="s">
        <v>82</v>
      </c>
      <c r="J182" s="11" t="s">
        <v>82</v>
      </c>
      <c r="K182" s="11"/>
      <c r="L182" s="11" t="s">
        <v>84</v>
      </c>
      <c r="M182" s="7" t="s">
        <v>2099</v>
      </c>
      <c r="N182" s="21" t="s">
        <v>3643</v>
      </c>
      <c r="O182" s="11" t="s">
        <v>82</v>
      </c>
      <c r="P182" s="11"/>
      <c r="Q182" s="11"/>
      <c r="R182" s="11" t="s">
        <v>82</v>
      </c>
      <c r="S182" s="7"/>
      <c r="T182" s="21"/>
    </row>
    <row r="183" spans="1:20" ht="51" x14ac:dyDescent="0.2">
      <c r="A183" s="1">
        <v>182</v>
      </c>
      <c r="B183" s="24"/>
      <c r="C183" s="11" t="s">
        <v>84</v>
      </c>
      <c r="D183" s="11" t="s">
        <v>84</v>
      </c>
      <c r="E183" s="11" t="s">
        <v>82</v>
      </c>
      <c r="F183" s="11" t="s">
        <v>82</v>
      </c>
      <c r="G183" s="11" t="s">
        <v>82</v>
      </c>
      <c r="H183" s="11" t="s">
        <v>82</v>
      </c>
      <c r="I183" s="11" t="s">
        <v>82</v>
      </c>
      <c r="J183" s="11" t="s">
        <v>82</v>
      </c>
      <c r="K183" s="11"/>
      <c r="L183" s="11" t="s">
        <v>84</v>
      </c>
      <c r="M183" s="7" t="s">
        <v>2100</v>
      </c>
      <c r="N183" s="21" t="s">
        <v>3644</v>
      </c>
      <c r="O183" s="11" t="s">
        <v>82</v>
      </c>
      <c r="P183" s="11"/>
      <c r="Q183" s="11"/>
      <c r="R183" s="11" t="s">
        <v>84</v>
      </c>
      <c r="S183" s="7" t="s">
        <v>2101</v>
      </c>
      <c r="T183" s="21" t="s">
        <v>3716</v>
      </c>
    </row>
    <row r="184" spans="1:20" ht="25.5" x14ac:dyDescent="0.2">
      <c r="A184" s="1">
        <v>183</v>
      </c>
      <c r="B184" s="24"/>
      <c r="C184" s="11" t="s">
        <v>84</v>
      </c>
      <c r="D184" s="11" t="s">
        <v>84</v>
      </c>
      <c r="E184" s="11" t="s">
        <v>84</v>
      </c>
      <c r="F184" s="11" t="s">
        <v>82</v>
      </c>
      <c r="G184" s="11" t="s">
        <v>82</v>
      </c>
      <c r="H184" s="11" t="s">
        <v>82</v>
      </c>
      <c r="I184" s="11" t="s">
        <v>82</v>
      </c>
      <c r="J184" s="11" t="s">
        <v>82</v>
      </c>
      <c r="K184" s="11"/>
      <c r="L184" s="11" t="s">
        <v>84</v>
      </c>
      <c r="M184" s="7" t="s">
        <v>2104</v>
      </c>
      <c r="N184" s="21" t="s">
        <v>3665</v>
      </c>
      <c r="O184" s="11" t="s">
        <v>82</v>
      </c>
      <c r="P184" s="11"/>
      <c r="Q184" s="11"/>
      <c r="R184" s="11" t="s">
        <v>84</v>
      </c>
      <c r="S184" s="7" t="s">
        <v>2105</v>
      </c>
      <c r="T184" s="21"/>
    </row>
    <row r="185" spans="1:20" x14ac:dyDescent="0.2">
      <c r="A185" s="1">
        <v>184</v>
      </c>
      <c r="B185" s="24"/>
      <c r="C185" s="11" t="s">
        <v>84</v>
      </c>
      <c r="D185" s="11" t="s">
        <v>84</v>
      </c>
      <c r="E185" s="11" t="s">
        <v>82</v>
      </c>
      <c r="F185" s="11" t="s">
        <v>82</v>
      </c>
      <c r="G185" s="11" t="s">
        <v>82</v>
      </c>
      <c r="H185" s="11" t="s">
        <v>84</v>
      </c>
      <c r="I185" s="11" t="s">
        <v>82</v>
      </c>
      <c r="J185" s="11" t="s">
        <v>82</v>
      </c>
      <c r="K185" s="11"/>
      <c r="L185" s="11" t="s">
        <v>82</v>
      </c>
      <c r="M185" s="7"/>
      <c r="N185" s="21"/>
      <c r="O185" s="11" t="s">
        <v>84</v>
      </c>
      <c r="P185" s="11" t="s">
        <v>360</v>
      </c>
      <c r="Q185" s="11" t="s">
        <v>2487</v>
      </c>
      <c r="R185" s="11" t="s">
        <v>80</v>
      </c>
      <c r="S185" s="7"/>
      <c r="T185" s="21"/>
    </row>
    <row r="186" spans="1:20" ht="25.5" x14ac:dyDescent="0.2">
      <c r="A186" s="1">
        <v>185</v>
      </c>
      <c r="B186" s="24"/>
      <c r="C186" s="11" t="s">
        <v>84</v>
      </c>
      <c r="D186" s="11" t="s">
        <v>84</v>
      </c>
      <c r="E186" s="11" t="s">
        <v>84</v>
      </c>
      <c r="F186" s="11" t="s">
        <v>84</v>
      </c>
      <c r="G186" s="11" t="s">
        <v>82</v>
      </c>
      <c r="H186" s="11" t="s">
        <v>84</v>
      </c>
      <c r="I186" s="11" t="s">
        <v>84</v>
      </c>
      <c r="J186" s="11" t="s">
        <v>84</v>
      </c>
      <c r="K186" s="11"/>
      <c r="L186" s="11" t="s">
        <v>84</v>
      </c>
      <c r="M186" s="7"/>
      <c r="N186" s="21"/>
      <c r="O186" s="11" t="s">
        <v>84</v>
      </c>
      <c r="P186" s="11" t="s">
        <v>3948</v>
      </c>
      <c r="Q186" s="7" t="s">
        <v>3705</v>
      </c>
      <c r="R186" s="11" t="s">
        <v>80</v>
      </c>
      <c r="S186" s="7"/>
      <c r="T186" s="21"/>
    </row>
    <row r="187" spans="1:20" ht="63.75" x14ac:dyDescent="0.2">
      <c r="A187" s="1">
        <v>186</v>
      </c>
      <c r="B187" s="24"/>
      <c r="C187" s="11" t="s">
        <v>84</v>
      </c>
      <c r="D187" s="11" t="s">
        <v>84</v>
      </c>
      <c r="E187" s="11" t="s">
        <v>84</v>
      </c>
      <c r="F187" s="11" t="s">
        <v>82</v>
      </c>
      <c r="G187" s="11" t="s">
        <v>82</v>
      </c>
      <c r="H187" s="11" t="s">
        <v>82</v>
      </c>
      <c r="I187" s="11" t="s">
        <v>82</v>
      </c>
      <c r="J187" s="11" t="s">
        <v>82</v>
      </c>
      <c r="K187" s="11"/>
      <c r="L187" s="11" t="s">
        <v>82</v>
      </c>
      <c r="M187" s="7"/>
      <c r="N187" s="21"/>
      <c r="O187" s="11" t="s">
        <v>82</v>
      </c>
      <c r="P187" s="11"/>
      <c r="Q187" s="11"/>
      <c r="R187" s="11" t="s">
        <v>84</v>
      </c>
      <c r="S187" s="7" t="s">
        <v>2111</v>
      </c>
      <c r="T187" s="21"/>
    </row>
    <row r="188" spans="1:20" x14ac:dyDescent="0.2">
      <c r="A188" s="1">
        <v>187</v>
      </c>
      <c r="B188" s="24"/>
      <c r="C188" s="11" t="s">
        <v>84</v>
      </c>
      <c r="D188" s="11" t="s">
        <v>84</v>
      </c>
      <c r="E188" s="11" t="s">
        <v>84</v>
      </c>
      <c r="F188" s="11" t="s">
        <v>84</v>
      </c>
      <c r="G188" s="11" t="s">
        <v>82</v>
      </c>
      <c r="H188" s="11" t="s">
        <v>82</v>
      </c>
      <c r="I188" s="11" t="s">
        <v>84</v>
      </c>
      <c r="J188" s="11" t="s">
        <v>84</v>
      </c>
      <c r="K188" s="11"/>
      <c r="L188" s="11" t="s">
        <v>84</v>
      </c>
      <c r="M188" s="7"/>
      <c r="N188" s="21"/>
      <c r="O188" s="11" t="s">
        <v>82</v>
      </c>
      <c r="P188" s="11"/>
      <c r="Q188" s="11"/>
      <c r="R188" s="11" t="s">
        <v>84</v>
      </c>
      <c r="S188" s="7"/>
      <c r="T188" s="21"/>
    </row>
    <row r="189" spans="1:20" x14ac:dyDescent="0.2">
      <c r="A189" s="1">
        <v>188</v>
      </c>
      <c r="B189" s="24"/>
      <c r="C189" s="11" t="s">
        <v>84</v>
      </c>
      <c r="D189" s="11" t="s">
        <v>84</v>
      </c>
      <c r="E189" s="11" t="s">
        <v>84</v>
      </c>
      <c r="F189" s="11" t="s">
        <v>82</v>
      </c>
      <c r="G189" s="11" t="s">
        <v>82</v>
      </c>
      <c r="H189" s="11" t="s">
        <v>82</v>
      </c>
      <c r="I189" s="11" t="s">
        <v>82</v>
      </c>
      <c r="J189" s="11" t="s">
        <v>82</v>
      </c>
      <c r="K189" s="11"/>
      <c r="L189" s="11" t="s">
        <v>82</v>
      </c>
      <c r="M189" s="7"/>
      <c r="N189" s="21"/>
      <c r="O189" s="11" t="s">
        <v>82</v>
      </c>
      <c r="P189" s="11"/>
      <c r="Q189" s="11"/>
      <c r="R189" s="11" t="s">
        <v>82</v>
      </c>
      <c r="S189" s="7" t="s">
        <v>2112</v>
      </c>
      <c r="T189" s="21" t="s">
        <v>1072</v>
      </c>
    </row>
    <row r="190" spans="1:20" ht="38.25" x14ac:dyDescent="0.2">
      <c r="A190" s="1">
        <v>189</v>
      </c>
      <c r="B190" s="24"/>
      <c r="C190" s="11" t="s">
        <v>84</v>
      </c>
      <c r="D190" s="11" t="s">
        <v>84</v>
      </c>
      <c r="E190" s="11" t="s">
        <v>84</v>
      </c>
      <c r="F190" s="11" t="s">
        <v>82</v>
      </c>
      <c r="G190" s="11" t="s">
        <v>82</v>
      </c>
      <c r="H190" s="11" t="s">
        <v>84</v>
      </c>
      <c r="I190" s="11" t="s">
        <v>84</v>
      </c>
      <c r="J190" s="11" t="s">
        <v>82</v>
      </c>
      <c r="K190" s="11"/>
      <c r="L190" s="11" t="s">
        <v>82</v>
      </c>
      <c r="M190" s="7"/>
      <c r="N190" s="21"/>
      <c r="O190" s="11" t="s">
        <v>84</v>
      </c>
      <c r="P190" s="11" t="s">
        <v>3949</v>
      </c>
      <c r="Q190" s="7" t="s">
        <v>3706</v>
      </c>
      <c r="R190" s="11" t="s">
        <v>80</v>
      </c>
      <c r="S190" s="7"/>
      <c r="T190" s="21"/>
    </row>
    <row r="191" spans="1:20" ht="165.75" x14ac:dyDescent="0.2">
      <c r="A191" s="1">
        <v>190</v>
      </c>
      <c r="B191" s="24"/>
      <c r="C191" s="11" t="s">
        <v>84</v>
      </c>
      <c r="D191" s="11" t="s">
        <v>84</v>
      </c>
      <c r="E191" s="11" t="s">
        <v>82</v>
      </c>
      <c r="F191" s="11" t="s">
        <v>82</v>
      </c>
      <c r="G191" s="11" t="s">
        <v>82</v>
      </c>
      <c r="H191" s="11" t="s">
        <v>82</v>
      </c>
      <c r="I191" s="11" t="s">
        <v>82</v>
      </c>
      <c r="J191" s="11" t="s">
        <v>82</v>
      </c>
      <c r="K191" s="11"/>
      <c r="L191" s="11" t="s">
        <v>84</v>
      </c>
      <c r="M191" s="7" t="s">
        <v>2119</v>
      </c>
      <c r="N191" s="21" t="s">
        <v>3666</v>
      </c>
      <c r="O191" s="11" t="s">
        <v>82</v>
      </c>
      <c r="P191" s="11"/>
      <c r="Q191" s="11"/>
      <c r="R191" s="11" t="s">
        <v>84</v>
      </c>
      <c r="S191" s="7"/>
      <c r="T191" s="21"/>
    </row>
    <row r="192" spans="1:20" x14ac:dyDescent="0.2">
      <c r="A192" s="1">
        <v>191</v>
      </c>
      <c r="B192" s="24"/>
      <c r="C192" s="11" t="s">
        <v>84</v>
      </c>
      <c r="D192" s="11" t="s">
        <v>84</v>
      </c>
      <c r="E192" s="11" t="s">
        <v>84</v>
      </c>
      <c r="F192" s="11" t="s">
        <v>82</v>
      </c>
      <c r="G192" s="11" t="s">
        <v>82</v>
      </c>
      <c r="H192" s="11" t="s">
        <v>82</v>
      </c>
      <c r="I192" s="11" t="s">
        <v>84</v>
      </c>
      <c r="J192" s="11" t="s">
        <v>82</v>
      </c>
      <c r="K192" s="11"/>
      <c r="L192" s="11" t="s">
        <v>82</v>
      </c>
      <c r="M192" s="7"/>
      <c r="N192" s="21"/>
      <c r="O192" s="11" t="s">
        <v>82</v>
      </c>
      <c r="P192" s="11"/>
      <c r="Q192" s="11"/>
      <c r="R192" s="11" t="s">
        <v>82</v>
      </c>
      <c r="S192" s="7"/>
      <c r="T192" s="21"/>
    </row>
    <row r="193" spans="1:21" x14ac:dyDescent="0.2">
      <c r="A193" s="1">
        <v>192</v>
      </c>
      <c r="B193" s="24"/>
      <c r="C193" s="11" t="s">
        <v>84</v>
      </c>
      <c r="D193" s="11" t="s">
        <v>84</v>
      </c>
      <c r="E193" s="11" t="s">
        <v>84</v>
      </c>
      <c r="F193" s="11" t="s">
        <v>82</v>
      </c>
      <c r="G193" s="11" t="s">
        <v>82</v>
      </c>
      <c r="H193" s="11" t="s">
        <v>82</v>
      </c>
      <c r="I193" s="11" t="s">
        <v>82</v>
      </c>
      <c r="J193" s="11" t="s">
        <v>84</v>
      </c>
      <c r="K193" s="11"/>
      <c r="L193" s="11" t="s">
        <v>82</v>
      </c>
      <c r="M193" s="7"/>
      <c r="N193" s="21"/>
      <c r="O193" s="11" t="s">
        <v>82</v>
      </c>
      <c r="P193" s="11"/>
      <c r="Q193" s="11"/>
      <c r="R193" s="11" t="s">
        <v>84</v>
      </c>
      <c r="S193" s="7"/>
      <c r="T193" s="21"/>
    </row>
    <row r="194" spans="1:21" x14ac:dyDescent="0.2">
      <c r="A194" s="1">
        <v>193</v>
      </c>
      <c r="B194" s="24"/>
      <c r="C194" s="11" t="s">
        <v>84</v>
      </c>
      <c r="D194" s="11" t="s">
        <v>84</v>
      </c>
      <c r="E194" s="11" t="s">
        <v>82</v>
      </c>
      <c r="F194" s="11" t="s">
        <v>82</v>
      </c>
      <c r="G194" s="11" t="s">
        <v>82</v>
      </c>
      <c r="H194" s="11" t="s">
        <v>82</v>
      </c>
      <c r="I194" s="11" t="s">
        <v>84</v>
      </c>
      <c r="J194" s="11" t="s">
        <v>84</v>
      </c>
      <c r="K194" s="11"/>
      <c r="L194" s="11" t="s">
        <v>82</v>
      </c>
      <c r="M194" s="7"/>
      <c r="N194" s="21"/>
      <c r="O194" s="11" t="s">
        <v>82</v>
      </c>
      <c r="P194" s="11"/>
      <c r="Q194" s="11"/>
      <c r="R194" s="11" t="s">
        <v>82</v>
      </c>
      <c r="S194" s="7"/>
      <c r="T194" s="21"/>
    </row>
    <row r="195" spans="1:21" x14ac:dyDescent="0.2">
      <c r="A195" s="1">
        <v>194</v>
      </c>
      <c r="B195" s="24"/>
      <c r="C195" s="11" t="s">
        <v>84</v>
      </c>
      <c r="D195" s="11" t="s">
        <v>84</v>
      </c>
      <c r="E195" s="11" t="s">
        <v>84</v>
      </c>
      <c r="F195" s="11" t="s">
        <v>82</v>
      </c>
      <c r="G195" s="11" t="s">
        <v>82</v>
      </c>
      <c r="H195" s="11" t="s">
        <v>82</v>
      </c>
      <c r="I195" s="11" t="s">
        <v>82</v>
      </c>
      <c r="J195" s="11" t="s">
        <v>82</v>
      </c>
      <c r="K195" s="11"/>
      <c r="L195" s="11" t="s">
        <v>84</v>
      </c>
      <c r="M195" s="7" t="s">
        <v>3685</v>
      </c>
      <c r="N195" s="21" t="s">
        <v>3685</v>
      </c>
      <c r="O195" s="11" t="s">
        <v>82</v>
      </c>
      <c r="P195" s="11"/>
      <c r="Q195" s="11"/>
      <c r="R195" s="11" t="s">
        <v>84</v>
      </c>
      <c r="S195" s="7"/>
      <c r="T195" s="21"/>
    </row>
    <row r="196" spans="1:21" x14ac:dyDescent="0.2">
      <c r="A196" s="1">
        <v>195</v>
      </c>
      <c r="B196" s="38"/>
      <c r="C196" s="28" t="s">
        <v>84</v>
      </c>
      <c r="D196" s="28" t="s">
        <v>84</v>
      </c>
      <c r="E196" s="28" t="s">
        <v>82</v>
      </c>
      <c r="F196" s="28" t="s">
        <v>82</v>
      </c>
      <c r="G196" s="28" t="s">
        <v>82</v>
      </c>
      <c r="H196" s="28" t="s">
        <v>84</v>
      </c>
      <c r="I196" s="28" t="s">
        <v>82</v>
      </c>
      <c r="J196" s="28" t="s">
        <v>84</v>
      </c>
      <c r="K196" s="28"/>
      <c r="L196" s="28" t="s">
        <v>82</v>
      </c>
      <c r="M196" s="54"/>
      <c r="N196" s="44"/>
      <c r="O196" s="28" t="s">
        <v>84</v>
      </c>
      <c r="P196" s="28" t="s">
        <v>2126</v>
      </c>
      <c r="Q196" s="28"/>
      <c r="R196" s="28" t="s">
        <v>80</v>
      </c>
      <c r="S196" s="54"/>
      <c r="T196" s="44"/>
      <c r="U196" s="33"/>
    </row>
    <row r="197" spans="1:21" ht="25.5" x14ac:dyDescent="0.2">
      <c r="A197" s="1">
        <v>196</v>
      </c>
      <c r="B197" s="38"/>
      <c r="C197" s="11" t="s">
        <v>84</v>
      </c>
      <c r="D197" s="11" t="s">
        <v>84</v>
      </c>
      <c r="E197" s="11" t="s">
        <v>84</v>
      </c>
      <c r="F197" s="11" t="s">
        <v>82</v>
      </c>
      <c r="G197" s="11" t="s">
        <v>82</v>
      </c>
      <c r="H197" s="11" t="s">
        <v>84</v>
      </c>
      <c r="I197" s="11" t="s">
        <v>82</v>
      </c>
      <c r="J197" s="11" t="s">
        <v>84</v>
      </c>
      <c r="K197" s="11"/>
      <c r="L197" s="11" t="s">
        <v>82</v>
      </c>
      <c r="M197" s="7"/>
      <c r="N197" s="21"/>
      <c r="O197" s="11" t="s">
        <v>84</v>
      </c>
      <c r="P197" s="11" t="s">
        <v>3950</v>
      </c>
      <c r="Q197" s="11" t="s">
        <v>3707</v>
      </c>
      <c r="R197" s="11" t="s">
        <v>80</v>
      </c>
      <c r="S197" s="7"/>
      <c r="T197" s="21"/>
    </row>
    <row r="198" spans="1:21" ht="25.5" x14ac:dyDescent="0.2">
      <c r="A198" s="1">
        <v>197</v>
      </c>
      <c r="B198" s="38"/>
      <c r="C198" s="33" t="s">
        <v>84</v>
      </c>
      <c r="D198" s="33" t="s">
        <v>84</v>
      </c>
      <c r="E198" s="33" t="s">
        <v>84</v>
      </c>
      <c r="F198" s="33" t="s">
        <v>84</v>
      </c>
      <c r="G198" s="33" t="s">
        <v>82</v>
      </c>
      <c r="H198" s="33" t="s">
        <v>82</v>
      </c>
      <c r="I198" s="33" t="s">
        <v>82</v>
      </c>
      <c r="J198" s="33" t="s">
        <v>82</v>
      </c>
      <c r="K198" s="33"/>
      <c r="L198" s="33" t="s">
        <v>82</v>
      </c>
      <c r="M198" s="52"/>
      <c r="N198" s="45"/>
      <c r="O198" s="33" t="s">
        <v>82</v>
      </c>
      <c r="P198" s="33"/>
      <c r="Q198" s="33"/>
      <c r="R198" s="33" t="s">
        <v>82</v>
      </c>
      <c r="S198" s="52" t="s">
        <v>2516</v>
      </c>
      <c r="T198" s="45" t="s">
        <v>3452</v>
      </c>
    </row>
    <row r="199" spans="1:21" ht="63.75" x14ac:dyDescent="0.2">
      <c r="A199" s="1">
        <v>198</v>
      </c>
      <c r="B199" s="38"/>
      <c r="C199" s="33" t="s">
        <v>84</v>
      </c>
      <c r="D199" s="33" t="s">
        <v>84</v>
      </c>
      <c r="E199" s="33" t="s">
        <v>82</v>
      </c>
      <c r="F199" s="33" t="s">
        <v>82</v>
      </c>
      <c r="G199" s="33" t="s">
        <v>84</v>
      </c>
      <c r="H199" s="33" t="s">
        <v>84</v>
      </c>
      <c r="I199" s="33" t="s">
        <v>84</v>
      </c>
      <c r="J199" s="33" t="s">
        <v>84</v>
      </c>
      <c r="K199" s="33"/>
      <c r="L199" s="33" t="s">
        <v>84</v>
      </c>
      <c r="M199" s="52" t="s">
        <v>2519</v>
      </c>
      <c r="N199" s="45"/>
      <c r="O199" s="33" t="s">
        <v>84</v>
      </c>
      <c r="P199" s="33" t="s">
        <v>2126</v>
      </c>
      <c r="Q199" s="33" t="s">
        <v>2520</v>
      </c>
      <c r="R199" s="33" t="s">
        <v>80</v>
      </c>
      <c r="S199" s="52"/>
      <c r="T199" s="45"/>
    </row>
    <row r="200" spans="1:21" ht="25.5" x14ac:dyDescent="0.2">
      <c r="A200" s="1">
        <v>199</v>
      </c>
      <c r="B200" s="38"/>
      <c r="C200" s="11" t="s">
        <v>84</v>
      </c>
      <c r="D200" s="11" t="s">
        <v>84</v>
      </c>
      <c r="E200" s="11" t="s">
        <v>84</v>
      </c>
      <c r="F200" s="11" t="s">
        <v>82</v>
      </c>
      <c r="G200" s="11" t="s">
        <v>82</v>
      </c>
      <c r="H200" s="11" t="s">
        <v>82</v>
      </c>
      <c r="I200" s="11" t="s">
        <v>82</v>
      </c>
      <c r="J200" s="11" t="s">
        <v>82</v>
      </c>
      <c r="K200" s="11"/>
      <c r="L200" s="11" t="s">
        <v>82</v>
      </c>
      <c r="M200" s="7"/>
      <c r="N200" s="21"/>
      <c r="O200" s="11" t="s">
        <v>82</v>
      </c>
      <c r="P200" s="11"/>
      <c r="Q200" s="11"/>
      <c r="R200" s="11" t="s">
        <v>84</v>
      </c>
      <c r="S200" s="7" t="s">
        <v>2522</v>
      </c>
      <c r="T200" s="21"/>
    </row>
    <row r="201" spans="1:21" x14ac:dyDescent="0.2">
      <c r="A201" s="1">
        <v>200</v>
      </c>
      <c r="B201" s="38"/>
      <c r="C201" s="11" t="s">
        <v>84</v>
      </c>
      <c r="D201" s="11" t="s">
        <v>84</v>
      </c>
      <c r="E201" s="11" t="s">
        <v>84</v>
      </c>
      <c r="F201" s="11" t="s">
        <v>84</v>
      </c>
      <c r="G201" s="11" t="s">
        <v>84</v>
      </c>
      <c r="H201" s="11" t="s">
        <v>84</v>
      </c>
      <c r="I201" s="11" t="s">
        <v>84</v>
      </c>
      <c r="J201" s="11" t="s">
        <v>82</v>
      </c>
      <c r="K201" s="11"/>
      <c r="L201" s="11" t="s">
        <v>82</v>
      </c>
      <c r="M201" s="7"/>
      <c r="N201" s="21"/>
      <c r="O201" s="11" t="s">
        <v>84</v>
      </c>
      <c r="P201" s="11" t="s">
        <v>3951</v>
      </c>
      <c r="Q201" s="11" t="s">
        <v>2526</v>
      </c>
      <c r="R201" s="11" t="s">
        <v>80</v>
      </c>
      <c r="S201" s="7"/>
      <c r="T201" s="21"/>
    </row>
    <row r="202" spans="1:21" x14ac:dyDescent="0.2">
      <c r="A202" s="1">
        <v>201</v>
      </c>
      <c r="B202" s="38"/>
      <c r="C202" s="11" t="s">
        <v>84</v>
      </c>
      <c r="D202" s="11" t="s">
        <v>84</v>
      </c>
      <c r="E202" s="11" t="s">
        <v>84</v>
      </c>
      <c r="F202" s="11" t="s">
        <v>84</v>
      </c>
      <c r="G202" s="11" t="s">
        <v>82</v>
      </c>
      <c r="H202" s="11" t="s">
        <v>82</v>
      </c>
      <c r="I202" s="11" t="s">
        <v>84</v>
      </c>
      <c r="J202" s="11" t="s">
        <v>82</v>
      </c>
      <c r="K202" s="11"/>
      <c r="L202" s="11" t="s">
        <v>82</v>
      </c>
      <c r="M202" s="7"/>
      <c r="N202" s="21"/>
      <c r="O202" s="11" t="s">
        <v>82</v>
      </c>
      <c r="P202" s="11"/>
      <c r="Q202" s="11"/>
      <c r="R202" s="11" t="s">
        <v>82</v>
      </c>
      <c r="S202" s="7"/>
      <c r="T202" s="21"/>
    </row>
    <row r="203" spans="1:21" ht="25.5" x14ac:dyDescent="0.2">
      <c r="A203" s="1">
        <v>202</v>
      </c>
      <c r="B203" s="38"/>
      <c r="C203" s="11" t="s">
        <v>84</v>
      </c>
      <c r="D203" s="11" t="s">
        <v>84</v>
      </c>
      <c r="E203" s="11" t="s">
        <v>84</v>
      </c>
      <c r="F203" s="11" t="s">
        <v>82</v>
      </c>
      <c r="G203" s="11" t="s">
        <v>82</v>
      </c>
      <c r="H203" s="21" t="s">
        <v>81</v>
      </c>
      <c r="I203" s="11" t="s">
        <v>84</v>
      </c>
      <c r="J203" s="11" t="s">
        <v>84</v>
      </c>
      <c r="K203" s="11"/>
      <c r="L203" s="11" t="s">
        <v>82</v>
      </c>
      <c r="M203" s="7"/>
      <c r="N203" s="21"/>
      <c r="O203" s="11" t="s">
        <v>84</v>
      </c>
      <c r="P203" s="11" t="s">
        <v>3952</v>
      </c>
      <c r="Q203" s="11" t="s">
        <v>4214</v>
      </c>
      <c r="R203" s="11" t="s">
        <v>80</v>
      </c>
      <c r="S203" s="7"/>
      <c r="T203" s="21"/>
    </row>
    <row r="204" spans="1:21" x14ac:dyDescent="0.2">
      <c r="A204" s="1">
        <v>203</v>
      </c>
      <c r="B204" s="38"/>
      <c r="C204" s="11" t="s">
        <v>84</v>
      </c>
      <c r="D204" s="11" t="s">
        <v>84</v>
      </c>
      <c r="E204" s="11" t="s">
        <v>82</v>
      </c>
      <c r="F204" s="11" t="s">
        <v>84</v>
      </c>
      <c r="G204" s="11" t="s">
        <v>82</v>
      </c>
      <c r="H204" s="11" t="s">
        <v>82</v>
      </c>
      <c r="I204" s="11" t="s">
        <v>84</v>
      </c>
      <c r="J204" s="11" t="s">
        <v>82</v>
      </c>
      <c r="K204" s="11"/>
      <c r="L204" s="11" t="s">
        <v>82</v>
      </c>
      <c r="M204" s="7"/>
      <c r="N204" s="21"/>
      <c r="O204" s="11" t="s">
        <v>82</v>
      </c>
      <c r="P204" s="11"/>
      <c r="Q204" s="11"/>
      <c r="R204" s="11" t="s">
        <v>84</v>
      </c>
      <c r="S204" s="7"/>
      <c r="T204" s="21"/>
    </row>
    <row r="205" spans="1:21" x14ac:dyDescent="0.2">
      <c r="A205" s="1">
        <v>204</v>
      </c>
      <c r="B205" s="38"/>
      <c r="C205" s="11" t="s">
        <v>84</v>
      </c>
      <c r="D205" s="11" t="s">
        <v>84</v>
      </c>
      <c r="E205" s="11" t="s">
        <v>84</v>
      </c>
      <c r="F205" s="11" t="s">
        <v>84</v>
      </c>
      <c r="G205" s="11" t="s">
        <v>82</v>
      </c>
      <c r="H205" s="11" t="s">
        <v>84</v>
      </c>
      <c r="I205" s="11" t="s">
        <v>84</v>
      </c>
      <c r="J205" s="11" t="s">
        <v>82</v>
      </c>
      <c r="K205" s="11"/>
      <c r="L205" s="11" t="s">
        <v>82</v>
      </c>
      <c r="M205" s="7"/>
      <c r="N205" s="21"/>
      <c r="O205" s="11" t="s">
        <v>84</v>
      </c>
      <c r="P205" s="11" t="s">
        <v>1724</v>
      </c>
      <c r="Q205" s="11"/>
      <c r="R205" s="11" t="s">
        <v>80</v>
      </c>
      <c r="S205" s="7"/>
      <c r="T205" s="21"/>
    </row>
    <row r="206" spans="1:21" x14ac:dyDescent="0.2">
      <c r="A206" s="1">
        <v>205</v>
      </c>
      <c r="B206" s="38"/>
      <c r="C206" s="11" t="s">
        <v>84</v>
      </c>
      <c r="D206" s="11" t="s">
        <v>84</v>
      </c>
      <c r="E206" s="11" t="s">
        <v>84</v>
      </c>
      <c r="F206" s="11" t="s">
        <v>82</v>
      </c>
      <c r="G206" s="11" t="s">
        <v>82</v>
      </c>
      <c r="H206" s="11" t="s">
        <v>82</v>
      </c>
      <c r="I206" s="11" t="s">
        <v>82</v>
      </c>
      <c r="J206" s="11" t="s">
        <v>82</v>
      </c>
      <c r="K206" s="11"/>
      <c r="L206" s="11" t="s">
        <v>82</v>
      </c>
      <c r="M206" s="7"/>
      <c r="N206" s="21"/>
      <c r="O206" s="11" t="s">
        <v>82</v>
      </c>
      <c r="P206" s="11"/>
      <c r="Q206" s="11"/>
      <c r="R206" s="11" t="s">
        <v>82</v>
      </c>
      <c r="S206" s="7"/>
      <c r="T206" s="21"/>
    </row>
    <row r="207" spans="1:21" ht="25.5" x14ac:dyDescent="0.2">
      <c r="A207" s="1">
        <v>206</v>
      </c>
      <c r="B207" s="38"/>
      <c r="C207" s="33" t="s">
        <v>84</v>
      </c>
      <c r="D207" s="33" t="s">
        <v>82</v>
      </c>
      <c r="E207" s="33" t="s">
        <v>82</v>
      </c>
      <c r="F207" s="33" t="s">
        <v>82</v>
      </c>
      <c r="G207" s="33" t="s">
        <v>82</v>
      </c>
      <c r="H207" s="33" t="s">
        <v>84</v>
      </c>
      <c r="I207" s="33" t="s">
        <v>82</v>
      </c>
      <c r="J207" s="33" t="s">
        <v>84</v>
      </c>
      <c r="K207" s="33"/>
      <c r="L207" s="33" t="s">
        <v>82</v>
      </c>
      <c r="M207" s="52"/>
      <c r="N207" s="45"/>
      <c r="O207" s="33" t="s">
        <v>84</v>
      </c>
      <c r="P207" s="33" t="s">
        <v>3953</v>
      </c>
      <c r="Q207" s="52" t="s">
        <v>3708</v>
      </c>
      <c r="R207" s="33" t="s">
        <v>80</v>
      </c>
      <c r="S207" s="52"/>
      <c r="T207" s="45"/>
    </row>
    <row r="208" spans="1:21" x14ac:dyDescent="0.2">
      <c r="A208" s="1">
        <v>207</v>
      </c>
      <c r="B208" s="38"/>
      <c r="C208" s="11" t="s">
        <v>84</v>
      </c>
      <c r="D208" s="11" t="s">
        <v>84</v>
      </c>
      <c r="E208" s="11" t="s">
        <v>84</v>
      </c>
      <c r="F208" s="11" t="s">
        <v>84</v>
      </c>
      <c r="G208" s="11" t="s">
        <v>82</v>
      </c>
      <c r="H208" s="11" t="s">
        <v>82</v>
      </c>
      <c r="I208" s="11" t="s">
        <v>82</v>
      </c>
      <c r="J208" s="11" t="s">
        <v>82</v>
      </c>
      <c r="K208" s="11"/>
      <c r="L208" s="11" t="s">
        <v>82</v>
      </c>
      <c r="M208" s="7"/>
      <c r="N208" s="21"/>
      <c r="O208" s="11" t="s">
        <v>82</v>
      </c>
      <c r="P208" s="11"/>
      <c r="Q208" s="11"/>
      <c r="R208" s="11" t="s">
        <v>84</v>
      </c>
      <c r="S208" s="7"/>
      <c r="T208" s="21"/>
    </row>
    <row r="209" spans="1:20" x14ac:dyDescent="0.2">
      <c r="A209" s="1">
        <v>208</v>
      </c>
      <c r="B209" s="38"/>
      <c r="C209" s="11" t="s">
        <v>84</v>
      </c>
      <c r="D209" s="11" t="s">
        <v>84</v>
      </c>
      <c r="E209" s="11" t="s">
        <v>84</v>
      </c>
      <c r="F209" s="11" t="s">
        <v>82</v>
      </c>
      <c r="G209" s="11" t="s">
        <v>82</v>
      </c>
      <c r="H209" s="11" t="s">
        <v>82</v>
      </c>
      <c r="I209" s="11" t="s">
        <v>84</v>
      </c>
      <c r="J209" s="11" t="s">
        <v>82</v>
      </c>
      <c r="K209" s="11"/>
      <c r="L209" s="11" t="s">
        <v>82</v>
      </c>
      <c r="M209" s="7"/>
      <c r="N209" s="21"/>
      <c r="O209" s="11" t="s">
        <v>82</v>
      </c>
      <c r="P209" s="11"/>
      <c r="Q209" s="11"/>
      <c r="R209" s="11" t="s">
        <v>82</v>
      </c>
      <c r="S209" s="7"/>
      <c r="T209" s="21"/>
    </row>
    <row r="210" spans="1:20" ht="51" x14ac:dyDescent="0.2">
      <c r="A210" s="1">
        <v>209</v>
      </c>
      <c r="B210" s="38"/>
      <c r="C210" s="11" t="s">
        <v>84</v>
      </c>
      <c r="D210" s="11" t="s">
        <v>84</v>
      </c>
      <c r="E210" s="11" t="s">
        <v>84</v>
      </c>
      <c r="F210" s="11" t="s">
        <v>82</v>
      </c>
      <c r="G210" s="11" t="s">
        <v>82</v>
      </c>
      <c r="H210" s="11" t="s">
        <v>82</v>
      </c>
      <c r="I210" s="11" t="s">
        <v>82</v>
      </c>
      <c r="J210" s="11" t="s">
        <v>82</v>
      </c>
      <c r="K210" s="11"/>
      <c r="L210" s="11" t="s">
        <v>82</v>
      </c>
      <c r="M210" s="7"/>
      <c r="N210" s="21"/>
      <c r="O210" s="11" t="s">
        <v>82</v>
      </c>
      <c r="P210" s="11"/>
      <c r="Q210" s="11"/>
      <c r="R210" s="11" t="s">
        <v>82</v>
      </c>
      <c r="S210" s="7" t="s">
        <v>2573</v>
      </c>
      <c r="T210" s="21" t="s">
        <v>3723</v>
      </c>
    </row>
    <row r="211" spans="1:20" ht="51" x14ac:dyDescent="0.2">
      <c r="A211" s="1">
        <v>210</v>
      </c>
      <c r="B211" s="38"/>
      <c r="C211" s="11" t="s">
        <v>84</v>
      </c>
      <c r="D211" s="11" t="s">
        <v>84</v>
      </c>
      <c r="E211" s="11" t="s">
        <v>84</v>
      </c>
      <c r="F211" s="11" t="s">
        <v>84</v>
      </c>
      <c r="G211" s="11" t="s">
        <v>82</v>
      </c>
      <c r="H211" s="11" t="s">
        <v>84</v>
      </c>
      <c r="I211" s="11" t="s">
        <v>82</v>
      </c>
      <c r="J211" s="11" t="s">
        <v>82</v>
      </c>
      <c r="K211" s="11"/>
      <c r="L211" s="11" t="s">
        <v>84</v>
      </c>
      <c r="M211" s="7" t="s">
        <v>2584</v>
      </c>
      <c r="N211" s="21" t="s">
        <v>3667</v>
      </c>
      <c r="O211" s="11" t="s">
        <v>84</v>
      </c>
      <c r="P211" s="11" t="s">
        <v>2585</v>
      </c>
      <c r="Q211" s="7" t="s">
        <v>3709</v>
      </c>
      <c r="R211" s="11" t="s">
        <v>80</v>
      </c>
      <c r="S211" s="7"/>
      <c r="T211" s="21"/>
    </row>
    <row r="212" spans="1:20" ht="38.25" x14ac:dyDescent="0.2">
      <c r="A212" s="1">
        <v>211</v>
      </c>
      <c r="B212" s="38"/>
      <c r="C212" s="11" t="s">
        <v>84</v>
      </c>
      <c r="D212" s="11" t="s">
        <v>84</v>
      </c>
      <c r="E212" s="11" t="s">
        <v>84</v>
      </c>
      <c r="F212" s="11" t="s">
        <v>84</v>
      </c>
      <c r="G212" s="11" t="s">
        <v>82</v>
      </c>
      <c r="H212" s="21" t="s">
        <v>82</v>
      </c>
      <c r="I212" s="11" t="s">
        <v>84</v>
      </c>
      <c r="J212" s="11" t="s">
        <v>84</v>
      </c>
      <c r="K212" s="11"/>
      <c r="L212" s="11" t="s">
        <v>84</v>
      </c>
      <c r="M212" s="7" t="s">
        <v>2594</v>
      </c>
      <c r="N212" s="21" t="s">
        <v>3668</v>
      </c>
      <c r="O212" s="11" t="s">
        <v>82</v>
      </c>
      <c r="P212" s="11"/>
      <c r="Q212" s="11"/>
      <c r="R212" s="11" t="s">
        <v>84</v>
      </c>
      <c r="S212" s="7" t="s">
        <v>2595</v>
      </c>
      <c r="T212" s="21" t="s">
        <v>3724</v>
      </c>
    </row>
    <row r="213" spans="1:20" x14ac:dyDescent="0.2">
      <c r="A213" s="1">
        <v>212</v>
      </c>
      <c r="B213" s="38"/>
      <c r="C213" s="11" t="s">
        <v>84</v>
      </c>
      <c r="D213" s="11" t="s">
        <v>84</v>
      </c>
      <c r="E213" s="11" t="s">
        <v>84</v>
      </c>
      <c r="F213" s="11" t="s">
        <v>84</v>
      </c>
      <c r="G213" s="11" t="s">
        <v>82</v>
      </c>
      <c r="H213" s="11" t="s">
        <v>84</v>
      </c>
      <c r="I213" s="11" t="s">
        <v>84</v>
      </c>
      <c r="J213" s="11" t="s">
        <v>84</v>
      </c>
      <c r="K213" s="11"/>
      <c r="L213" s="11" t="s">
        <v>82</v>
      </c>
      <c r="M213" s="7"/>
      <c r="N213" s="21"/>
      <c r="O213" s="11" t="s">
        <v>84</v>
      </c>
      <c r="P213" s="11" t="s">
        <v>2614</v>
      </c>
      <c r="Q213" s="19" t="s">
        <v>2615</v>
      </c>
      <c r="R213" s="11" t="s">
        <v>80</v>
      </c>
      <c r="S213" s="7"/>
      <c r="T213" s="21"/>
    </row>
    <row r="214" spans="1:20" x14ac:dyDescent="0.2">
      <c r="A214" s="1">
        <v>213</v>
      </c>
      <c r="B214" s="38"/>
      <c r="C214" s="11" t="s">
        <v>84</v>
      </c>
      <c r="D214" s="11" t="s">
        <v>84</v>
      </c>
      <c r="E214" s="11" t="s">
        <v>82</v>
      </c>
      <c r="F214" s="11" t="s">
        <v>82</v>
      </c>
      <c r="G214" s="11" t="s">
        <v>82</v>
      </c>
      <c r="H214" s="11" t="s">
        <v>84</v>
      </c>
      <c r="I214" s="11" t="s">
        <v>82</v>
      </c>
      <c r="J214" s="11" t="s">
        <v>82</v>
      </c>
      <c r="K214" s="11"/>
      <c r="L214" s="11" t="s">
        <v>82</v>
      </c>
      <c r="M214" s="7"/>
      <c r="N214" s="21"/>
      <c r="O214" s="11" t="s">
        <v>84</v>
      </c>
      <c r="P214" s="11" t="s">
        <v>360</v>
      </c>
      <c r="Q214" s="11"/>
      <c r="R214" s="11" t="s">
        <v>80</v>
      </c>
      <c r="S214" s="7"/>
      <c r="T214" s="21"/>
    </row>
    <row r="215" spans="1:20" x14ac:dyDescent="0.2">
      <c r="A215" s="1">
        <v>214</v>
      </c>
      <c r="B215" s="38"/>
      <c r="C215" s="11" t="s">
        <v>84</v>
      </c>
      <c r="D215" s="11" t="s">
        <v>84</v>
      </c>
      <c r="E215" s="11" t="s">
        <v>82</v>
      </c>
      <c r="F215" s="11" t="s">
        <v>82</v>
      </c>
      <c r="G215" s="11" t="s">
        <v>82</v>
      </c>
      <c r="H215" s="11" t="s">
        <v>82</v>
      </c>
      <c r="I215" s="11" t="s">
        <v>82</v>
      </c>
      <c r="J215" s="11" t="s">
        <v>82</v>
      </c>
      <c r="K215" s="11"/>
      <c r="L215" s="11" t="s">
        <v>82</v>
      </c>
      <c r="M215" s="7"/>
      <c r="N215" s="21"/>
      <c r="O215" s="11" t="s">
        <v>82</v>
      </c>
      <c r="P215" s="11"/>
      <c r="Q215" s="11"/>
      <c r="R215" s="11" t="s">
        <v>82</v>
      </c>
      <c r="S215" s="7"/>
      <c r="T215" s="21"/>
    </row>
    <row r="216" spans="1:20" x14ac:dyDescent="0.2">
      <c r="A216" s="1">
        <v>215</v>
      </c>
      <c r="B216" s="38"/>
      <c r="C216" s="33" t="s">
        <v>84</v>
      </c>
      <c r="D216" s="33" t="s">
        <v>84</v>
      </c>
      <c r="E216" s="33" t="s">
        <v>84</v>
      </c>
      <c r="F216" s="33" t="s">
        <v>84</v>
      </c>
      <c r="G216" s="33" t="s">
        <v>84</v>
      </c>
      <c r="H216" s="33" t="s">
        <v>82</v>
      </c>
      <c r="I216" s="33" t="s">
        <v>84</v>
      </c>
      <c r="J216" s="33" t="s">
        <v>84</v>
      </c>
      <c r="K216" s="33"/>
      <c r="L216" s="33" t="s">
        <v>82</v>
      </c>
      <c r="M216" s="52"/>
      <c r="N216" s="45"/>
      <c r="O216" s="33" t="s">
        <v>82</v>
      </c>
      <c r="P216" s="33"/>
      <c r="Q216" s="33"/>
      <c r="R216" s="33" t="s">
        <v>82</v>
      </c>
      <c r="S216" s="52"/>
      <c r="T216" s="45"/>
    </row>
    <row r="217" spans="1:20" ht="191.25" x14ac:dyDescent="0.2">
      <c r="A217" s="1">
        <v>216</v>
      </c>
      <c r="B217" s="38"/>
      <c r="C217" s="11" t="s">
        <v>84</v>
      </c>
      <c r="D217" s="11" t="s">
        <v>84</v>
      </c>
      <c r="E217" s="11" t="s">
        <v>82</v>
      </c>
      <c r="F217" s="11" t="s">
        <v>84</v>
      </c>
      <c r="G217" s="11" t="s">
        <v>82</v>
      </c>
      <c r="H217" s="11" t="s">
        <v>84</v>
      </c>
      <c r="I217" s="11" t="s">
        <v>84</v>
      </c>
      <c r="J217" s="11" t="s">
        <v>82</v>
      </c>
      <c r="K217" s="11"/>
      <c r="L217" s="11" t="s">
        <v>84</v>
      </c>
      <c r="M217" s="7" t="s">
        <v>2641</v>
      </c>
      <c r="N217" s="21" t="s">
        <v>3645</v>
      </c>
      <c r="O217" s="11" t="s">
        <v>84</v>
      </c>
      <c r="P217" s="11" t="s">
        <v>3893</v>
      </c>
      <c r="Q217" s="11" t="s">
        <v>2643</v>
      </c>
      <c r="R217" s="11" t="s">
        <v>80</v>
      </c>
      <c r="S217" s="7"/>
      <c r="T217" s="21"/>
    </row>
    <row r="218" spans="1:20" ht="25.5" x14ac:dyDescent="0.2">
      <c r="A218" s="1">
        <v>217</v>
      </c>
      <c r="B218" s="38"/>
      <c r="C218" s="11" t="s">
        <v>84</v>
      </c>
      <c r="D218" s="11" t="s">
        <v>84</v>
      </c>
      <c r="E218" s="11" t="s">
        <v>82</v>
      </c>
      <c r="F218" s="11" t="s">
        <v>82</v>
      </c>
      <c r="G218" s="11" t="s">
        <v>82</v>
      </c>
      <c r="H218" s="11" t="s">
        <v>82</v>
      </c>
      <c r="I218" s="11" t="s">
        <v>82</v>
      </c>
      <c r="J218" s="11" t="s">
        <v>82</v>
      </c>
      <c r="K218" s="11"/>
      <c r="L218" s="11" t="s">
        <v>84</v>
      </c>
      <c r="M218" s="7" t="s">
        <v>2653</v>
      </c>
      <c r="N218" s="21" t="s">
        <v>3636</v>
      </c>
      <c r="O218" s="11" t="s">
        <v>82</v>
      </c>
      <c r="P218" s="11"/>
      <c r="Q218" s="11"/>
      <c r="R218" s="11" t="s">
        <v>82</v>
      </c>
      <c r="S218" s="7"/>
      <c r="T218" s="21"/>
    </row>
    <row r="219" spans="1:20" ht="25.5" x14ac:dyDescent="0.2">
      <c r="A219" s="1">
        <v>218</v>
      </c>
      <c r="B219" s="38"/>
      <c r="C219" s="11" t="s">
        <v>84</v>
      </c>
      <c r="D219" s="11" t="s">
        <v>84</v>
      </c>
      <c r="E219" s="11" t="s">
        <v>84</v>
      </c>
      <c r="F219" s="11" t="s">
        <v>84</v>
      </c>
      <c r="G219" s="11" t="s">
        <v>84</v>
      </c>
      <c r="H219" s="11" t="s">
        <v>82</v>
      </c>
      <c r="I219" s="11" t="s">
        <v>84</v>
      </c>
      <c r="J219" s="11" t="s">
        <v>84</v>
      </c>
      <c r="K219" s="11"/>
      <c r="L219" s="11" t="s">
        <v>84</v>
      </c>
      <c r="M219" s="7" t="s">
        <v>2656</v>
      </c>
      <c r="N219" s="21" t="s">
        <v>3637</v>
      </c>
      <c r="O219" s="11" t="s">
        <v>82</v>
      </c>
      <c r="P219" s="11"/>
      <c r="Q219" s="11"/>
      <c r="R219" s="11" t="s">
        <v>84</v>
      </c>
      <c r="S219" s="7" t="s">
        <v>2657</v>
      </c>
      <c r="T219" s="21" t="s">
        <v>1072</v>
      </c>
    </row>
    <row r="220" spans="1:20" x14ac:dyDescent="0.2">
      <c r="A220" s="1">
        <v>219</v>
      </c>
      <c r="B220" s="38"/>
      <c r="C220" s="11" t="s">
        <v>84</v>
      </c>
      <c r="D220" s="11" t="s">
        <v>84</v>
      </c>
      <c r="E220" s="11" t="s">
        <v>84</v>
      </c>
      <c r="F220" s="11" t="s">
        <v>82</v>
      </c>
      <c r="G220" s="11" t="s">
        <v>82</v>
      </c>
      <c r="H220" s="11" t="s">
        <v>82</v>
      </c>
      <c r="I220" s="11" t="s">
        <v>84</v>
      </c>
      <c r="J220" s="11" t="s">
        <v>82</v>
      </c>
      <c r="K220" s="11"/>
      <c r="L220" s="11" t="s">
        <v>82</v>
      </c>
      <c r="M220" s="7"/>
      <c r="N220" s="21"/>
      <c r="O220" s="11" t="s">
        <v>82</v>
      </c>
      <c r="P220" s="11"/>
      <c r="Q220" s="11"/>
      <c r="R220" s="11" t="s">
        <v>84</v>
      </c>
      <c r="S220" s="7"/>
      <c r="T220" s="21"/>
    </row>
    <row r="221" spans="1:20" ht="63.75" x14ac:dyDescent="0.2">
      <c r="A221" s="1">
        <v>220</v>
      </c>
      <c r="B221" s="38"/>
      <c r="C221" s="11" t="s">
        <v>84</v>
      </c>
      <c r="D221" s="11" t="s">
        <v>82</v>
      </c>
      <c r="E221" s="11" t="s">
        <v>82</v>
      </c>
      <c r="F221" s="11" t="s">
        <v>82</v>
      </c>
      <c r="G221" s="11" t="s">
        <v>82</v>
      </c>
      <c r="H221" s="11" t="s">
        <v>82</v>
      </c>
      <c r="I221" s="11" t="s">
        <v>82</v>
      </c>
      <c r="J221" s="11" t="s">
        <v>82</v>
      </c>
      <c r="K221" s="11"/>
      <c r="L221" s="11" t="s">
        <v>82</v>
      </c>
      <c r="M221" s="7"/>
      <c r="N221" s="21"/>
      <c r="O221" s="11" t="s">
        <v>82</v>
      </c>
      <c r="P221" s="11"/>
      <c r="Q221" s="11"/>
      <c r="R221" s="11" t="s">
        <v>82</v>
      </c>
      <c r="S221" s="7" t="s">
        <v>2668</v>
      </c>
      <c r="T221" s="21" t="s">
        <v>3452</v>
      </c>
    </row>
    <row r="222" spans="1:20" ht="25.5" x14ac:dyDescent="0.2">
      <c r="A222" s="1">
        <v>221</v>
      </c>
      <c r="B222" s="38"/>
      <c r="C222" s="11" t="s">
        <v>84</v>
      </c>
      <c r="D222" s="11" t="s">
        <v>84</v>
      </c>
      <c r="E222" s="11" t="s">
        <v>82</v>
      </c>
      <c r="F222" s="11" t="s">
        <v>84</v>
      </c>
      <c r="G222" s="11" t="s">
        <v>82</v>
      </c>
      <c r="H222" s="11" t="s">
        <v>82</v>
      </c>
      <c r="I222" s="11" t="s">
        <v>84</v>
      </c>
      <c r="J222" s="11" t="s">
        <v>84</v>
      </c>
      <c r="K222" s="11"/>
      <c r="L222" s="11" t="s">
        <v>82</v>
      </c>
      <c r="M222" s="7"/>
      <c r="N222" s="21"/>
      <c r="O222" s="11" t="s">
        <v>82</v>
      </c>
      <c r="P222" s="11"/>
      <c r="Q222" s="11"/>
      <c r="R222" s="11" t="s">
        <v>82</v>
      </c>
      <c r="S222" s="7" t="s">
        <v>2676</v>
      </c>
      <c r="T222" s="21"/>
    </row>
    <row r="223" spans="1:20" x14ac:dyDescent="0.2">
      <c r="A223" s="1">
        <v>222</v>
      </c>
      <c r="B223" s="38"/>
      <c r="C223" s="11" t="s">
        <v>84</v>
      </c>
      <c r="D223" s="11" t="s">
        <v>84</v>
      </c>
      <c r="E223" s="11" t="s">
        <v>84</v>
      </c>
      <c r="F223" s="11" t="s">
        <v>82</v>
      </c>
      <c r="G223" s="11" t="s">
        <v>84</v>
      </c>
      <c r="H223" s="11" t="s">
        <v>82</v>
      </c>
      <c r="I223" s="11" t="s">
        <v>82</v>
      </c>
      <c r="J223" s="11" t="s">
        <v>82</v>
      </c>
      <c r="K223" s="11"/>
      <c r="L223" s="11" t="s">
        <v>82</v>
      </c>
      <c r="M223" s="7"/>
      <c r="N223" s="21"/>
      <c r="O223" s="11" t="s">
        <v>82</v>
      </c>
      <c r="P223" s="11"/>
      <c r="Q223" s="11"/>
      <c r="R223" s="11" t="s">
        <v>84</v>
      </c>
      <c r="S223" s="7" t="s">
        <v>2682</v>
      </c>
      <c r="T223" s="21"/>
    </row>
    <row r="224" spans="1:20" x14ac:dyDescent="0.2">
      <c r="A224" s="1">
        <v>223</v>
      </c>
      <c r="B224" s="38"/>
      <c r="C224" s="33" t="s">
        <v>84</v>
      </c>
      <c r="D224" s="33" t="s">
        <v>84</v>
      </c>
      <c r="E224" s="33" t="s">
        <v>84</v>
      </c>
      <c r="F224" s="33" t="s">
        <v>82</v>
      </c>
      <c r="G224" s="33" t="s">
        <v>82</v>
      </c>
      <c r="H224" s="33" t="s">
        <v>82</v>
      </c>
      <c r="I224" s="33" t="s">
        <v>84</v>
      </c>
      <c r="J224" s="33" t="s">
        <v>84</v>
      </c>
      <c r="K224" s="33"/>
      <c r="L224" s="33" t="s">
        <v>82</v>
      </c>
      <c r="M224" s="52"/>
      <c r="N224" s="45"/>
      <c r="O224" s="33" t="s">
        <v>82</v>
      </c>
      <c r="P224" s="33"/>
      <c r="Q224" s="33"/>
      <c r="R224" s="33" t="s">
        <v>82</v>
      </c>
      <c r="S224" s="52"/>
      <c r="T224" s="45"/>
    </row>
    <row r="225" spans="1:20" x14ac:dyDescent="0.2">
      <c r="A225" s="1">
        <v>224</v>
      </c>
      <c r="B225" s="38"/>
      <c r="C225" s="11" t="s">
        <v>84</v>
      </c>
      <c r="D225" s="11" t="s">
        <v>84</v>
      </c>
      <c r="E225" s="11" t="s">
        <v>84</v>
      </c>
      <c r="F225" s="11" t="s">
        <v>82</v>
      </c>
      <c r="G225" s="11" t="s">
        <v>82</v>
      </c>
      <c r="H225" s="11" t="s">
        <v>82</v>
      </c>
      <c r="I225" s="11" t="s">
        <v>82</v>
      </c>
      <c r="J225" s="11" t="s">
        <v>82</v>
      </c>
      <c r="K225" s="11"/>
      <c r="L225" s="11" t="s">
        <v>82</v>
      </c>
      <c r="M225" s="7"/>
      <c r="N225" s="21"/>
      <c r="O225" s="11" t="s">
        <v>82</v>
      </c>
      <c r="P225" s="11"/>
      <c r="Q225" s="11"/>
      <c r="R225" s="11" t="s">
        <v>82</v>
      </c>
      <c r="S225" s="7"/>
      <c r="T225" s="21"/>
    </row>
    <row r="226" spans="1:20" x14ac:dyDescent="0.2">
      <c r="A226" s="1">
        <v>225</v>
      </c>
      <c r="B226" s="38"/>
      <c r="C226" s="11" t="s">
        <v>84</v>
      </c>
      <c r="D226" s="11" t="s">
        <v>84</v>
      </c>
      <c r="E226" s="11" t="s">
        <v>84</v>
      </c>
      <c r="F226" s="11" t="s">
        <v>84</v>
      </c>
      <c r="G226" s="11" t="s">
        <v>84</v>
      </c>
      <c r="H226" s="11" t="s">
        <v>82</v>
      </c>
      <c r="I226" s="11" t="s">
        <v>82</v>
      </c>
      <c r="J226" s="11" t="s">
        <v>82</v>
      </c>
      <c r="K226" s="11"/>
      <c r="L226" s="11" t="s">
        <v>82</v>
      </c>
      <c r="M226" s="7"/>
      <c r="N226" s="21"/>
      <c r="O226" s="11" t="s">
        <v>82</v>
      </c>
      <c r="P226" s="11"/>
      <c r="Q226" s="11"/>
      <c r="R226" s="11" t="s">
        <v>84</v>
      </c>
      <c r="S226" s="7"/>
      <c r="T226" s="21"/>
    </row>
    <row r="227" spans="1:20" x14ac:dyDescent="0.2">
      <c r="A227" s="1">
        <v>226</v>
      </c>
      <c r="B227" s="38"/>
      <c r="C227" s="11" t="s">
        <v>84</v>
      </c>
      <c r="D227" s="11" t="s">
        <v>84</v>
      </c>
      <c r="E227" s="11" t="s">
        <v>84</v>
      </c>
      <c r="F227" s="11" t="s">
        <v>84</v>
      </c>
      <c r="G227" s="11" t="s">
        <v>82</v>
      </c>
      <c r="H227" s="11" t="s">
        <v>82</v>
      </c>
      <c r="I227" s="11" t="s">
        <v>84</v>
      </c>
      <c r="J227" s="11" t="s">
        <v>82</v>
      </c>
      <c r="K227" s="11"/>
      <c r="L227" s="11" t="s">
        <v>82</v>
      </c>
      <c r="M227" s="7"/>
      <c r="N227" s="21"/>
      <c r="O227" s="11" t="s">
        <v>82</v>
      </c>
      <c r="P227" s="11"/>
      <c r="Q227" s="11"/>
      <c r="R227" s="11" t="s">
        <v>84</v>
      </c>
      <c r="S227" s="7" t="s">
        <v>2719</v>
      </c>
      <c r="T227" s="21" t="s">
        <v>3713</v>
      </c>
    </row>
    <row r="228" spans="1:20" x14ac:dyDescent="0.2">
      <c r="A228" s="1">
        <v>227</v>
      </c>
      <c r="B228" s="38"/>
      <c r="C228" s="11" t="s">
        <v>84</v>
      </c>
      <c r="D228" s="11" t="s">
        <v>84</v>
      </c>
      <c r="E228" s="11" t="s">
        <v>84</v>
      </c>
      <c r="F228" s="11" t="s">
        <v>84</v>
      </c>
      <c r="G228" s="11" t="s">
        <v>82</v>
      </c>
      <c r="H228" s="11" t="s">
        <v>82</v>
      </c>
      <c r="I228" s="11" t="s">
        <v>84</v>
      </c>
      <c r="J228" s="11" t="s">
        <v>84</v>
      </c>
      <c r="K228" s="11"/>
      <c r="L228" s="11" t="s">
        <v>82</v>
      </c>
      <c r="M228" s="7"/>
      <c r="N228" s="21"/>
      <c r="O228" s="11" t="s">
        <v>82</v>
      </c>
      <c r="P228" s="11"/>
      <c r="Q228" s="11"/>
      <c r="R228" s="11" t="s">
        <v>82</v>
      </c>
      <c r="S228" s="7"/>
      <c r="T228" s="21"/>
    </row>
    <row r="229" spans="1:20" x14ac:dyDescent="0.2">
      <c r="A229" s="1">
        <v>228</v>
      </c>
      <c r="B229" s="38"/>
      <c r="C229" s="11" t="s">
        <v>84</v>
      </c>
      <c r="D229" s="11" t="s">
        <v>84</v>
      </c>
      <c r="E229" s="11" t="s">
        <v>84</v>
      </c>
      <c r="F229" s="11" t="s">
        <v>84</v>
      </c>
      <c r="G229" s="11" t="s">
        <v>84</v>
      </c>
      <c r="H229" s="11" t="s">
        <v>82</v>
      </c>
      <c r="I229" s="11" t="s">
        <v>82</v>
      </c>
      <c r="J229" s="11" t="s">
        <v>82</v>
      </c>
      <c r="K229" s="11"/>
      <c r="L229" s="11" t="s">
        <v>84</v>
      </c>
      <c r="M229" s="7"/>
      <c r="N229" s="21"/>
      <c r="O229" s="11" t="s">
        <v>82</v>
      </c>
      <c r="P229" s="11"/>
      <c r="Q229" s="11"/>
      <c r="R229" s="11" t="s">
        <v>82</v>
      </c>
      <c r="S229" s="7"/>
      <c r="T229" s="21"/>
    </row>
    <row r="230" spans="1:20" x14ac:dyDescent="0.2">
      <c r="A230" s="1">
        <v>229</v>
      </c>
      <c r="B230" s="38"/>
      <c r="C230" s="11" t="s">
        <v>84</v>
      </c>
      <c r="D230" s="11" t="s">
        <v>84</v>
      </c>
      <c r="E230" s="11" t="s">
        <v>82</v>
      </c>
      <c r="F230" s="11" t="s">
        <v>82</v>
      </c>
      <c r="G230" s="11" t="s">
        <v>82</v>
      </c>
      <c r="H230" s="11" t="s">
        <v>82</v>
      </c>
      <c r="I230" s="11" t="s">
        <v>84</v>
      </c>
      <c r="J230" s="11" t="s">
        <v>82</v>
      </c>
      <c r="K230" s="11"/>
      <c r="L230" s="11" t="s">
        <v>82</v>
      </c>
      <c r="M230" s="7"/>
      <c r="N230" s="21"/>
      <c r="O230" s="11" t="s">
        <v>82</v>
      </c>
      <c r="P230" s="11"/>
      <c r="Q230" s="11"/>
      <c r="R230" s="11" t="s">
        <v>82</v>
      </c>
      <c r="S230" s="7"/>
      <c r="T230" s="21"/>
    </row>
    <row r="231" spans="1:20" x14ac:dyDescent="0.2">
      <c r="A231" s="1">
        <v>230</v>
      </c>
      <c r="B231" s="38"/>
      <c r="C231" s="11" t="s">
        <v>84</v>
      </c>
      <c r="D231" s="11" t="s">
        <v>84</v>
      </c>
      <c r="E231" s="11" t="s">
        <v>82</v>
      </c>
      <c r="F231" s="11" t="s">
        <v>84</v>
      </c>
      <c r="G231" s="11" t="s">
        <v>82</v>
      </c>
      <c r="H231" s="11" t="s">
        <v>82</v>
      </c>
      <c r="I231" s="11" t="s">
        <v>84</v>
      </c>
      <c r="J231" s="11" t="s">
        <v>84</v>
      </c>
      <c r="K231" s="11"/>
      <c r="L231" s="11" t="s">
        <v>82</v>
      </c>
      <c r="M231" s="7"/>
      <c r="N231" s="21"/>
      <c r="O231" s="11" t="s">
        <v>82</v>
      </c>
      <c r="P231" s="11"/>
      <c r="Q231" s="11"/>
      <c r="R231" s="11" t="s">
        <v>82</v>
      </c>
      <c r="S231" s="7"/>
      <c r="T231" s="21"/>
    </row>
    <row r="232" spans="1:20" ht="178.5" x14ac:dyDescent="0.2">
      <c r="A232" s="1">
        <v>231</v>
      </c>
      <c r="B232" s="38"/>
      <c r="C232" s="11" t="s">
        <v>84</v>
      </c>
      <c r="D232" s="11" t="s">
        <v>84</v>
      </c>
      <c r="E232" s="11" t="s">
        <v>82</v>
      </c>
      <c r="F232" s="11" t="s">
        <v>82</v>
      </c>
      <c r="G232" s="11" t="s">
        <v>82</v>
      </c>
      <c r="H232" s="11" t="s">
        <v>82</v>
      </c>
      <c r="I232" s="11" t="s">
        <v>84</v>
      </c>
      <c r="J232" s="11" t="s">
        <v>84</v>
      </c>
      <c r="K232" s="11" t="s">
        <v>2746</v>
      </c>
      <c r="L232" s="11" t="s">
        <v>84</v>
      </c>
      <c r="M232" s="7" t="s">
        <v>2747</v>
      </c>
      <c r="N232" s="21" t="s">
        <v>3628</v>
      </c>
      <c r="O232" s="11" t="s">
        <v>82</v>
      </c>
      <c r="P232" s="11"/>
      <c r="Q232" s="11"/>
      <c r="R232" s="11" t="s">
        <v>84</v>
      </c>
      <c r="S232" s="7" t="s">
        <v>2748</v>
      </c>
      <c r="T232" s="21" t="s">
        <v>3724</v>
      </c>
    </row>
    <row r="233" spans="1:20" ht="25.5" x14ac:dyDescent="0.2">
      <c r="A233" s="1">
        <v>232</v>
      </c>
      <c r="B233" s="38"/>
      <c r="C233" s="11" t="s">
        <v>82</v>
      </c>
      <c r="D233" s="11" t="s">
        <v>84</v>
      </c>
      <c r="E233" s="11" t="s">
        <v>84</v>
      </c>
      <c r="F233" s="11" t="s">
        <v>82</v>
      </c>
      <c r="G233" s="11" t="s">
        <v>82</v>
      </c>
      <c r="H233" s="11" t="s">
        <v>84</v>
      </c>
      <c r="I233" s="11" t="s">
        <v>82</v>
      </c>
      <c r="J233" s="11" t="s">
        <v>82</v>
      </c>
      <c r="K233" s="11"/>
      <c r="L233" s="11" t="s">
        <v>82</v>
      </c>
      <c r="M233" s="7"/>
      <c r="N233" s="21"/>
      <c r="O233" s="11" t="s">
        <v>84</v>
      </c>
      <c r="P233" s="11" t="s">
        <v>3954</v>
      </c>
      <c r="Q233" s="11" t="s">
        <v>3710</v>
      </c>
      <c r="R233" s="11" t="s">
        <v>80</v>
      </c>
      <c r="S233" s="7"/>
      <c r="T233" s="21"/>
    </row>
    <row r="234" spans="1:20" ht="38.25" x14ac:dyDescent="0.2">
      <c r="A234" s="1">
        <v>233</v>
      </c>
      <c r="B234" s="38"/>
      <c r="C234" s="11" t="s">
        <v>84</v>
      </c>
      <c r="D234" s="11" t="s">
        <v>84</v>
      </c>
      <c r="E234" s="11" t="s">
        <v>84</v>
      </c>
      <c r="F234" s="11" t="s">
        <v>82</v>
      </c>
      <c r="G234" s="11" t="s">
        <v>82</v>
      </c>
      <c r="H234" s="11" t="s">
        <v>82</v>
      </c>
      <c r="I234" s="11" t="s">
        <v>84</v>
      </c>
      <c r="J234" s="11" t="s">
        <v>84</v>
      </c>
      <c r="K234" s="11"/>
      <c r="L234" s="11" t="s">
        <v>82</v>
      </c>
      <c r="M234" s="7"/>
      <c r="N234" s="21"/>
      <c r="O234" s="11" t="s">
        <v>82</v>
      </c>
      <c r="P234" s="11"/>
      <c r="Q234" s="11"/>
      <c r="R234" s="11" t="s">
        <v>84</v>
      </c>
      <c r="S234" s="7" t="s">
        <v>2770</v>
      </c>
      <c r="T234" s="21" t="s">
        <v>3452</v>
      </c>
    </row>
    <row r="235" spans="1:20" x14ac:dyDescent="0.2">
      <c r="A235" s="1">
        <v>234</v>
      </c>
      <c r="B235" s="38"/>
      <c r="C235" s="11" t="s">
        <v>84</v>
      </c>
      <c r="D235" s="11" t="s">
        <v>84</v>
      </c>
      <c r="E235" s="11" t="s">
        <v>82</v>
      </c>
      <c r="F235" s="11" t="s">
        <v>82</v>
      </c>
      <c r="G235" s="11" t="s">
        <v>82</v>
      </c>
      <c r="H235" s="11" t="s">
        <v>82</v>
      </c>
      <c r="I235" s="11" t="s">
        <v>82</v>
      </c>
      <c r="J235" s="11" t="s">
        <v>82</v>
      </c>
      <c r="K235" s="11"/>
      <c r="L235" s="11" t="s">
        <v>82</v>
      </c>
      <c r="M235" s="7"/>
      <c r="N235" s="21"/>
      <c r="O235" s="11" t="s">
        <v>82</v>
      </c>
      <c r="P235" s="11"/>
      <c r="Q235" s="11"/>
      <c r="R235" s="11" t="s">
        <v>82</v>
      </c>
      <c r="S235" s="7"/>
      <c r="T235" s="21"/>
    </row>
    <row r="236" spans="1:20" ht="38.25" x14ac:dyDescent="0.2">
      <c r="A236" s="1">
        <v>235</v>
      </c>
      <c r="B236" s="38"/>
      <c r="C236" s="11" t="s">
        <v>84</v>
      </c>
      <c r="D236" s="11" t="s">
        <v>84</v>
      </c>
      <c r="E236" s="11" t="s">
        <v>82</v>
      </c>
      <c r="F236" s="11" t="s">
        <v>84</v>
      </c>
      <c r="G236" s="11" t="s">
        <v>82</v>
      </c>
      <c r="H236" s="11" t="s">
        <v>82</v>
      </c>
      <c r="I236" s="11" t="s">
        <v>82</v>
      </c>
      <c r="J236" s="11" t="s">
        <v>82</v>
      </c>
      <c r="K236" s="11"/>
      <c r="L236" s="11" t="s">
        <v>84</v>
      </c>
      <c r="M236" s="7" t="s">
        <v>2779</v>
      </c>
      <c r="N236" s="21" t="s">
        <v>3669</v>
      </c>
      <c r="O236" s="11" t="s">
        <v>82</v>
      </c>
      <c r="P236" s="11"/>
      <c r="Q236" s="11"/>
      <c r="R236" s="11" t="s">
        <v>84</v>
      </c>
      <c r="S236" s="7" t="s">
        <v>2780</v>
      </c>
      <c r="T236" s="21" t="s">
        <v>3717</v>
      </c>
    </row>
    <row r="237" spans="1:20" x14ac:dyDescent="0.2">
      <c r="A237" s="1">
        <v>236</v>
      </c>
      <c r="B237" s="38"/>
      <c r="C237" s="11" t="s">
        <v>84</v>
      </c>
      <c r="D237" s="11" t="s">
        <v>84</v>
      </c>
      <c r="E237" s="11" t="s">
        <v>84</v>
      </c>
      <c r="F237" s="11" t="s">
        <v>84</v>
      </c>
      <c r="G237" s="11" t="s">
        <v>82</v>
      </c>
      <c r="H237" s="11" t="s">
        <v>82</v>
      </c>
      <c r="I237" s="11" t="s">
        <v>84</v>
      </c>
      <c r="J237" s="11" t="s">
        <v>84</v>
      </c>
      <c r="K237" s="11"/>
      <c r="L237" s="11" t="s">
        <v>82</v>
      </c>
      <c r="M237" s="7"/>
      <c r="N237" s="21"/>
      <c r="O237" s="11" t="s">
        <v>82</v>
      </c>
      <c r="P237" s="11"/>
      <c r="Q237" s="11"/>
      <c r="R237" s="11" t="s">
        <v>82</v>
      </c>
      <c r="S237" s="7" t="s">
        <v>2797</v>
      </c>
      <c r="T237" s="21" t="s">
        <v>3716</v>
      </c>
    </row>
    <row r="238" spans="1:20" ht="38.25" x14ac:dyDescent="0.2">
      <c r="A238" s="1">
        <v>237</v>
      </c>
      <c r="B238" s="38"/>
      <c r="C238" s="11" t="s">
        <v>84</v>
      </c>
      <c r="D238" s="11" t="s">
        <v>84</v>
      </c>
      <c r="E238" s="11" t="s">
        <v>82</v>
      </c>
      <c r="F238" s="11" t="s">
        <v>84</v>
      </c>
      <c r="G238" s="11" t="s">
        <v>82</v>
      </c>
      <c r="H238" s="11" t="s">
        <v>84</v>
      </c>
      <c r="I238" s="11" t="s">
        <v>82</v>
      </c>
      <c r="J238" s="11" t="s">
        <v>82</v>
      </c>
      <c r="K238" s="11"/>
      <c r="L238" s="11" t="s">
        <v>84</v>
      </c>
      <c r="M238" s="7" t="s">
        <v>4215</v>
      </c>
      <c r="N238" s="21" t="s">
        <v>3670</v>
      </c>
      <c r="O238" s="11" t="s">
        <v>84</v>
      </c>
      <c r="P238" s="11" t="s">
        <v>518</v>
      </c>
      <c r="Q238" s="11" t="s">
        <v>2810</v>
      </c>
      <c r="R238" s="11" t="s">
        <v>80</v>
      </c>
      <c r="S238" s="7"/>
      <c r="T238" s="21"/>
    </row>
    <row r="239" spans="1:20" x14ac:dyDescent="0.2">
      <c r="A239" s="1">
        <v>238</v>
      </c>
      <c r="B239" s="38"/>
      <c r="C239" s="11" t="s">
        <v>84</v>
      </c>
      <c r="D239" s="11" t="s">
        <v>84</v>
      </c>
      <c r="E239" s="11" t="s">
        <v>84</v>
      </c>
      <c r="F239" s="11" t="s">
        <v>84</v>
      </c>
      <c r="G239" s="11" t="s">
        <v>82</v>
      </c>
      <c r="H239" s="39" t="s">
        <v>82</v>
      </c>
      <c r="I239" s="11" t="s">
        <v>84</v>
      </c>
      <c r="J239" s="11" t="s">
        <v>82</v>
      </c>
      <c r="K239" s="11"/>
      <c r="L239" s="11" t="s">
        <v>82</v>
      </c>
      <c r="M239" s="7"/>
      <c r="N239" s="21"/>
      <c r="O239" s="11" t="s">
        <v>82</v>
      </c>
      <c r="P239" s="11"/>
      <c r="Q239" s="11"/>
      <c r="R239" s="11" t="s">
        <v>82</v>
      </c>
      <c r="S239" s="7"/>
      <c r="T239" s="21"/>
    </row>
    <row r="240" spans="1:20" x14ac:dyDescent="0.2">
      <c r="A240" s="1">
        <v>239</v>
      </c>
      <c r="B240" s="38"/>
      <c r="C240" s="28" t="s">
        <v>84</v>
      </c>
      <c r="D240" s="28" t="s">
        <v>84</v>
      </c>
      <c r="E240" s="28" t="s">
        <v>84</v>
      </c>
      <c r="F240" s="28" t="s">
        <v>82</v>
      </c>
      <c r="G240" s="28" t="s">
        <v>82</v>
      </c>
      <c r="H240" s="43" t="s">
        <v>82</v>
      </c>
      <c r="I240" s="28" t="s">
        <v>84</v>
      </c>
      <c r="J240" s="28" t="s">
        <v>84</v>
      </c>
      <c r="K240" s="28"/>
      <c r="L240" s="28" t="s">
        <v>84</v>
      </c>
      <c r="M240" s="54" t="s">
        <v>982</v>
      </c>
      <c r="N240" s="44" t="s">
        <v>982</v>
      </c>
      <c r="O240" s="28" t="s">
        <v>82</v>
      </c>
      <c r="P240" s="28"/>
      <c r="Q240" s="28"/>
      <c r="R240" s="28" t="s">
        <v>84</v>
      </c>
      <c r="S240" s="54" t="s">
        <v>2832</v>
      </c>
      <c r="T240" s="44" t="s">
        <v>1072</v>
      </c>
    </row>
    <row r="241" spans="1:20" x14ac:dyDescent="0.2">
      <c r="A241" s="1">
        <v>240</v>
      </c>
      <c r="B241" s="24"/>
      <c r="C241" s="33" t="s">
        <v>84</v>
      </c>
      <c r="D241" s="33" t="s">
        <v>84</v>
      </c>
      <c r="E241" s="33" t="s">
        <v>84</v>
      </c>
      <c r="F241" s="33" t="s">
        <v>84</v>
      </c>
      <c r="G241" s="33" t="s">
        <v>82</v>
      </c>
      <c r="H241" s="46" t="s">
        <v>84</v>
      </c>
      <c r="I241" s="33" t="s">
        <v>82</v>
      </c>
      <c r="J241" s="33" t="s">
        <v>82</v>
      </c>
      <c r="K241" s="33"/>
      <c r="L241" s="33" t="s">
        <v>82</v>
      </c>
      <c r="M241" s="52"/>
      <c r="N241" s="45"/>
      <c r="O241" s="33" t="s">
        <v>84</v>
      </c>
      <c r="P241" s="33" t="s">
        <v>3955</v>
      </c>
      <c r="Q241" s="33"/>
      <c r="R241" s="33" t="s">
        <v>80</v>
      </c>
      <c r="S241" s="52"/>
      <c r="T241" s="45"/>
    </row>
    <row r="242" spans="1:20" ht="38.25" x14ac:dyDescent="0.2">
      <c r="A242" s="1">
        <v>241</v>
      </c>
      <c r="B242" s="24"/>
      <c r="C242" s="11" t="s">
        <v>84</v>
      </c>
      <c r="D242" s="11" t="s">
        <v>84</v>
      </c>
      <c r="E242" s="11" t="s">
        <v>84</v>
      </c>
      <c r="F242" s="11" t="s">
        <v>82</v>
      </c>
      <c r="G242" s="11" t="s">
        <v>82</v>
      </c>
      <c r="H242" s="11" t="s">
        <v>82</v>
      </c>
      <c r="I242" s="11" t="s">
        <v>82</v>
      </c>
      <c r="J242" s="11" t="s">
        <v>82</v>
      </c>
      <c r="K242" s="11"/>
      <c r="L242" s="11" t="s">
        <v>84</v>
      </c>
      <c r="M242" s="7" t="s">
        <v>2857</v>
      </c>
      <c r="N242" s="21" t="s">
        <v>2857</v>
      </c>
      <c r="O242" s="39" t="s">
        <v>84</v>
      </c>
      <c r="P242" s="39" t="s">
        <v>1114</v>
      </c>
      <c r="Q242" s="11"/>
      <c r="R242" s="11" t="s">
        <v>84</v>
      </c>
      <c r="S242" s="7" t="s">
        <v>2858</v>
      </c>
      <c r="T242" s="21" t="s">
        <v>3716</v>
      </c>
    </row>
    <row r="243" spans="1:20" ht="25.5" x14ac:dyDescent="0.2">
      <c r="A243" s="1">
        <v>242</v>
      </c>
      <c r="B243" s="24"/>
      <c r="C243" s="11" t="s">
        <v>84</v>
      </c>
      <c r="D243" s="11" t="s">
        <v>84</v>
      </c>
      <c r="E243" s="11" t="s">
        <v>84</v>
      </c>
      <c r="F243" s="11" t="s">
        <v>82</v>
      </c>
      <c r="G243" s="11" t="s">
        <v>82</v>
      </c>
      <c r="H243" s="11" t="s">
        <v>82</v>
      </c>
      <c r="I243" s="11" t="s">
        <v>82</v>
      </c>
      <c r="J243" s="11" t="s">
        <v>82</v>
      </c>
      <c r="K243" s="11"/>
      <c r="L243" s="11" t="s">
        <v>82</v>
      </c>
      <c r="M243" s="7"/>
      <c r="N243" s="21"/>
      <c r="O243" s="11" t="s">
        <v>82</v>
      </c>
      <c r="P243" s="11"/>
      <c r="Q243" s="11"/>
      <c r="R243" s="11" t="s">
        <v>84</v>
      </c>
      <c r="S243" s="7" t="s">
        <v>2874</v>
      </c>
      <c r="T243" s="21" t="s">
        <v>3713</v>
      </c>
    </row>
    <row r="244" spans="1:20" ht="25.5" x14ac:dyDescent="0.2">
      <c r="A244" s="1">
        <v>243</v>
      </c>
      <c r="B244" s="24"/>
      <c r="C244" s="11" t="s">
        <v>84</v>
      </c>
      <c r="D244" s="11" t="s">
        <v>84</v>
      </c>
      <c r="E244" s="11" t="s">
        <v>84</v>
      </c>
      <c r="F244" s="11" t="s">
        <v>84</v>
      </c>
      <c r="G244" s="11" t="s">
        <v>82</v>
      </c>
      <c r="H244" s="11" t="s">
        <v>84</v>
      </c>
      <c r="I244" s="11" t="s">
        <v>84</v>
      </c>
      <c r="J244" s="11" t="s">
        <v>82</v>
      </c>
      <c r="K244" s="11"/>
      <c r="L244" s="11" t="s">
        <v>84</v>
      </c>
      <c r="M244" s="7"/>
      <c r="N244" s="21"/>
      <c r="O244" s="11" t="s">
        <v>84</v>
      </c>
      <c r="P244" s="11" t="s">
        <v>3956</v>
      </c>
      <c r="Q244" s="19" t="s">
        <v>2891</v>
      </c>
      <c r="R244" s="11" t="s">
        <v>80</v>
      </c>
      <c r="S244" s="7"/>
      <c r="T244" s="21"/>
    </row>
    <row r="245" spans="1:20" ht="76.5" x14ac:dyDescent="0.2">
      <c r="A245" s="1">
        <v>244</v>
      </c>
      <c r="B245" s="24"/>
      <c r="C245" s="11" t="s">
        <v>84</v>
      </c>
      <c r="D245" s="11" t="s">
        <v>84</v>
      </c>
      <c r="E245" s="11" t="s">
        <v>84</v>
      </c>
      <c r="F245" s="11" t="s">
        <v>82</v>
      </c>
      <c r="G245" s="11" t="s">
        <v>82</v>
      </c>
      <c r="H245" s="11" t="s">
        <v>82</v>
      </c>
      <c r="I245" s="11" t="s">
        <v>84</v>
      </c>
      <c r="J245" s="11" t="s">
        <v>84</v>
      </c>
      <c r="K245" s="11"/>
      <c r="L245" s="11" t="s">
        <v>84</v>
      </c>
      <c r="M245" s="7" t="s">
        <v>4216</v>
      </c>
      <c r="N245" s="21" t="s">
        <v>3686</v>
      </c>
      <c r="O245" s="11" t="s">
        <v>82</v>
      </c>
      <c r="P245" s="11"/>
      <c r="Q245" s="11"/>
      <c r="R245" s="11" t="s">
        <v>84</v>
      </c>
      <c r="S245" s="7" t="s">
        <v>4217</v>
      </c>
      <c r="T245" s="21" t="s">
        <v>4024</v>
      </c>
    </row>
    <row r="246" spans="1:20" x14ac:dyDescent="0.2">
      <c r="A246" s="1">
        <v>245</v>
      </c>
      <c r="B246" s="24"/>
      <c r="C246" s="11" t="s">
        <v>84</v>
      </c>
      <c r="D246" s="11" t="s">
        <v>84</v>
      </c>
      <c r="E246" s="11" t="s">
        <v>84</v>
      </c>
      <c r="F246" s="11" t="s">
        <v>82</v>
      </c>
      <c r="G246" s="11" t="s">
        <v>82</v>
      </c>
      <c r="H246" s="11" t="s">
        <v>82</v>
      </c>
      <c r="I246" s="11" t="s">
        <v>84</v>
      </c>
      <c r="J246" s="11" t="s">
        <v>84</v>
      </c>
      <c r="K246" s="11"/>
      <c r="L246" s="11" t="s">
        <v>82</v>
      </c>
      <c r="M246" s="7"/>
      <c r="N246" s="21"/>
      <c r="O246" s="11" t="s">
        <v>82</v>
      </c>
      <c r="P246" s="11"/>
      <c r="Q246" s="11"/>
      <c r="R246" s="11" t="s">
        <v>82</v>
      </c>
      <c r="S246" s="7"/>
      <c r="T246" s="21"/>
    </row>
    <row r="247" spans="1:20" x14ac:dyDescent="0.2">
      <c r="A247" s="1">
        <v>246</v>
      </c>
      <c r="B247" s="24"/>
      <c r="C247" s="11" t="s">
        <v>84</v>
      </c>
      <c r="D247" s="11" t="s">
        <v>84</v>
      </c>
      <c r="E247" s="11" t="s">
        <v>82</v>
      </c>
      <c r="F247" s="11" t="s">
        <v>84</v>
      </c>
      <c r="G247" s="11" t="s">
        <v>82</v>
      </c>
      <c r="H247" s="11" t="s">
        <v>82</v>
      </c>
      <c r="I247" s="11" t="s">
        <v>84</v>
      </c>
      <c r="J247" s="11" t="s">
        <v>84</v>
      </c>
      <c r="K247" s="11"/>
      <c r="L247" s="11" t="s">
        <v>82</v>
      </c>
      <c r="M247" s="7"/>
      <c r="N247" s="21"/>
      <c r="O247" s="11" t="s">
        <v>82</v>
      </c>
      <c r="P247" s="11"/>
      <c r="Q247" s="11"/>
      <c r="R247" s="11" t="s">
        <v>82</v>
      </c>
      <c r="S247" s="7"/>
      <c r="T247" s="21"/>
    </row>
    <row r="248" spans="1:20" x14ac:dyDescent="0.2">
      <c r="A248" s="1">
        <v>247</v>
      </c>
      <c r="B248" s="24"/>
      <c r="C248" s="11" t="s">
        <v>84</v>
      </c>
      <c r="D248" s="11" t="s">
        <v>84</v>
      </c>
      <c r="E248" s="11" t="s">
        <v>84</v>
      </c>
      <c r="F248" s="11" t="s">
        <v>82</v>
      </c>
      <c r="G248" s="11" t="s">
        <v>82</v>
      </c>
      <c r="H248" s="11" t="s">
        <v>82</v>
      </c>
      <c r="I248" s="11" t="s">
        <v>82</v>
      </c>
      <c r="J248" s="11" t="s">
        <v>84</v>
      </c>
      <c r="K248" s="11"/>
      <c r="L248" s="11" t="s">
        <v>82</v>
      </c>
      <c r="M248" s="7"/>
      <c r="N248" s="21"/>
      <c r="O248" s="11" t="s">
        <v>82</v>
      </c>
      <c r="P248" s="11"/>
      <c r="Q248" s="11"/>
      <c r="R248" s="11" t="s">
        <v>82</v>
      </c>
      <c r="S248" s="7"/>
      <c r="T248" s="21"/>
    </row>
    <row r="249" spans="1:20" x14ac:dyDescent="0.2">
      <c r="A249" s="1">
        <v>248</v>
      </c>
      <c r="B249" s="24"/>
      <c r="C249" s="11" t="s">
        <v>84</v>
      </c>
      <c r="D249" s="11" t="s">
        <v>84</v>
      </c>
      <c r="E249" s="11" t="s">
        <v>84</v>
      </c>
      <c r="F249" s="11" t="s">
        <v>82</v>
      </c>
      <c r="G249" s="11" t="s">
        <v>82</v>
      </c>
      <c r="H249" s="11" t="s">
        <v>82</v>
      </c>
      <c r="I249" s="11" t="s">
        <v>84</v>
      </c>
      <c r="J249" s="11" t="s">
        <v>84</v>
      </c>
      <c r="K249" s="11"/>
      <c r="L249" s="11" t="s">
        <v>82</v>
      </c>
      <c r="M249" s="7"/>
      <c r="N249" s="21"/>
      <c r="O249" s="11" t="s">
        <v>82</v>
      </c>
      <c r="P249" s="11"/>
      <c r="Q249" s="11"/>
      <c r="R249" s="11" t="s">
        <v>84</v>
      </c>
      <c r="S249" s="7"/>
      <c r="T249" s="21"/>
    </row>
    <row r="250" spans="1:20" x14ac:dyDescent="0.2">
      <c r="A250" s="1">
        <v>249</v>
      </c>
      <c r="B250" s="24"/>
      <c r="C250" s="11" t="s">
        <v>84</v>
      </c>
      <c r="D250" s="11" t="s">
        <v>84</v>
      </c>
      <c r="E250" s="11" t="s">
        <v>82</v>
      </c>
      <c r="F250" s="11" t="s">
        <v>82</v>
      </c>
      <c r="G250" s="11" t="s">
        <v>82</v>
      </c>
      <c r="H250" s="11" t="s">
        <v>82</v>
      </c>
      <c r="I250" s="11" t="s">
        <v>82</v>
      </c>
      <c r="J250" s="11" t="s">
        <v>82</v>
      </c>
      <c r="K250" s="11"/>
      <c r="L250" s="11" t="s">
        <v>84</v>
      </c>
      <c r="M250" s="7"/>
      <c r="N250" s="21"/>
      <c r="O250" s="11" t="s">
        <v>82</v>
      </c>
      <c r="P250" s="11"/>
      <c r="Q250" s="11"/>
      <c r="R250" s="11" t="s">
        <v>82</v>
      </c>
      <c r="S250" s="7"/>
      <c r="T250" s="21"/>
    </row>
    <row r="251" spans="1:20" x14ac:dyDescent="0.2">
      <c r="A251" s="1">
        <v>250</v>
      </c>
      <c r="B251" s="24"/>
      <c r="C251" s="11" t="s">
        <v>84</v>
      </c>
      <c r="D251" s="11" t="s">
        <v>84</v>
      </c>
      <c r="E251" s="11" t="s">
        <v>84</v>
      </c>
      <c r="F251" s="11" t="s">
        <v>82</v>
      </c>
      <c r="G251" s="11" t="s">
        <v>82</v>
      </c>
      <c r="H251" s="11" t="s">
        <v>82</v>
      </c>
      <c r="I251" s="11" t="s">
        <v>82</v>
      </c>
      <c r="J251" s="11" t="s">
        <v>82</v>
      </c>
      <c r="K251" s="11"/>
      <c r="L251" s="11" t="s">
        <v>84</v>
      </c>
      <c r="M251" s="7"/>
      <c r="N251" s="21"/>
      <c r="O251" s="11" t="s">
        <v>82</v>
      </c>
      <c r="P251" s="11"/>
      <c r="Q251" s="11"/>
      <c r="R251" s="11" t="s">
        <v>82</v>
      </c>
      <c r="S251" s="7"/>
      <c r="T251" s="21"/>
    </row>
    <row r="252" spans="1:20" ht="25.5" x14ac:dyDescent="0.2">
      <c r="A252" s="1">
        <v>251</v>
      </c>
      <c r="B252" s="24"/>
      <c r="C252" s="11" t="s">
        <v>84</v>
      </c>
      <c r="D252" s="11" t="s">
        <v>84</v>
      </c>
      <c r="E252" s="11" t="s">
        <v>82</v>
      </c>
      <c r="F252" s="11" t="s">
        <v>82</v>
      </c>
      <c r="G252" s="11" t="s">
        <v>82</v>
      </c>
      <c r="H252" s="11" t="s">
        <v>82</v>
      </c>
      <c r="I252" s="11" t="s">
        <v>82</v>
      </c>
      <c r="J252" s="11" t="s">
        <v>82</v>
      </c>
      <c r="K252" s="11"/>
      <c r="L252" s="11" t="s">
        <v>84</v>
      </c>
      <c r="M252" s="7" t="s">
        <v>2936</v>
      </c>
      <c r="N252" s="21" t="s">
        <v>3671</v>
      </c>
      <c r="O252" s="11" t="s">
        <v>82</v>
      </c>
      <c r="P252" s="11"/>
      <c r="Q252" s="11"/>
      <c r="R252" s="11" t="s">
        <v>84</v>
      </c>
      <c r="S252" s="7" t="s">
        <v>2937</v>
      </c>
      <c r="T252" s="21"/>
    </row>
    <row r="253" spans="1:20" ht="89.25" x14ac:dyDescent="0.2">
      <c r="A253" s="1">
        <v>252</v>
      </c>
      <c r="B253" s="24"/>
      <c r="C253" s="11" t="s">
        <v>84</v>
      </c>
      <c r="D253" s="11" t="s">
        <v>84</v>
      </c>
      <c r="E253" s="11" t="s">
        <v>82</v>
      </c>
      <c r="F253" s="11" t="s">
        <v>84</v>
      </c>
      <c r="G253" s="11" t="s">
        <v>82</v>
      </c>
      <c r="H253" s="11" t="s">
        <v>82</v>
      </c>
      <c r="I253" s="11" t="s">
        <v>84</v>
      </c>
      <c r="J253" s="11" t="s">
        <v>84</v>
      </c>
      <c r="K253" s="11" t="s">
        <v>2944</v>
      </c>
      <c r="L253" s="11" t="s">
        <v>84</v>
      </c>
      <c r="M253" s="7" t="s">
        <v>3693</v>
      </c>
      <c r="N253" s="21" t="s">
        <v>3672</v>
      </c>
      <c r="O253" s="11" t="s">
        <v>82</v>
      </c>
      <c r="P253" s="11"/>
      <c r="Q253" s="11"/>
      <c r="R253" s="11" t="s">
        <v>82</v>
      </c>
      <c r="S253" s="7" t="s">
        <v>4218</v>
      </c>
      <c r="T253" s="21" t="s">
        <v>3718</v>
      </c>
    </row>
    <row r="254" spans="1:20" ht="25.5" x14ac:dyDescent="0.2">
      <c r="A254" s="1">
        <v>253</v>
      </c>
      <c r="B254" s="24"/>
      <c r="C254" s="11" t="s">
        <v>84</v>
      </c>
      <c r="D254" s="11" t="s">
        <v>84</v>
      </c>
      <c r="E254" s="11" t="s">
        <v>84</v>
      </c>
      <c r="F254" s="11" t="s">
        <v>82</v>
      </c>
      <c r="G254" s="11" t="s">
        <v>82</v>
      </c>
      <c r="H254" s="11" t="s">
        <v>82</v>
      </c>
      <c r="I254" s="11" t="s">
        <v>82</v>
      </c>
      <c r="J254" s="11" t="s">
        <v>82</v>
      </c>
      <c r="K254" s="11"/>
      <c r="L254" s="11" t="s">
        <v>82</v>
      </c>
      <c r="M254" s="7"/>
      <c r="N254" s="21"/>
      <c r="O254" s="11" t="s">
        <v>82</v>
      </c>
      <c r="P254" s="11"/>
      <c r="Q254" s="11"/>
      <c r="R254" s="11" t="s">
        <v>84</v>
      </c>
      <c r="S254" s="7" t="s">
        <v>2965</v>
      </c>
      <c r="T254" s="21" t="s">
        <v>3718</v>
      </c>
    </row>
    <row r="255" spans="1:20" ht="25.5" x14ac:dyDescent="0.2">
      <c r="A255" s="1">
        <v>254</v>
      </c>
      <c r="B255" s="24"/>
      <c r="C255" s="11" t="s">
        <v>84</v>
      </c>
      <c r="D255" s="11" t="s">
        <v>84</v>
      </c>
      <c r="E255" s="11" t="s">
        <v>84</v>
      </c>
      <c r="F255" s="11" t="s">
        <v>82</v>
      </c>
      <c r="G255" s="11" t="s">
        <v>82</v>
      </c>
      <c r="H255" s="39" t="s">
        <v>81</v>
      </c>
      <c r="I255" s="11" t="s">
        <v>82</v>
      </c>
      <c r="J255" s="11" t="s">
        <v>84</v>
      </c>
      <c r="K255" s="11"/>
      <c r="L255" s="11" t="s">
        <v>82</v>
      </c>
      <c r="M255" s="7"/>
      <c r="N255" s="21"/>
      <c r="O255" s="11" t="s">
        <v>84</v>
      </c>
      <c r="P255" s="11" t="s">
        <v>3957</v>
      </c>
      <c r="Q255" s="11" t="s">
        <v>2970</v>
      </c>
      <c r="R255" s="11" t="s">
        <v>80</v>
      </c>
      <c r="S255" s="7"/>
      <c r="T255" s="21"/>
    </row>
    <row r="256" spans="1:20" ht="51" x14ac:dyDescent="0.2">
      <c r="A256" s="1">
        <v>255</v>
      </c>
      <c r="B256" s="24"/>
      <c r="C256" s="33" t="s">
        <v>84</v>
      </c>
      <c r="D256" s="33" t="s">
        <v>84</v>
      </c>
      <c r="E256" s="33" t="s">
        <v>84</v>
      </c>
      <c r="F256" s="33" t="s">
        <v>84</v>
      </c>
      <c r="G256" s="33" t="s">
        <v>82</v>
      </c>
      <c r="H256" s="33" t="s">
        <v>84</v>
      </c>
      <c r="I256" s="33" t="s">
        <v>84</v>
      </c>
      <c r="J256" s="33" t="s">
        <v>82</v>
      </c>
      <c r="K256" s="33"/>
      <c r="L256" s="33" t="s">
        <v>82</v>
      </c>
      <c r="M256" s="52"/>
      <c r="N256" s="45"/>
      <c r="O256" s="33" t="s">
        <v>84</v>
      </c>
      <c r="P256" s="33" t="s">
        <v>1376</v>
      </c>
      <c r="Q256" s="52" t="s">
        <v>4224</v>
      </c>
      <c r="R256" s="33" t="s">
        <v>80</v>
      </c>
      <c r="S256" s="52"/>
      <c r="T256" s="45"/>
    </row>
    <row r="257" spans="1:20" ht="51" x14ac:dyDescent="0.2">
      <c r="A257" s="1">
        <v>256</v>
      </c>
      <c r="B257" s="24"/>
      <c r="C257" s="33" t="s">
        <v>84</v>
      </c>
      <c r="D257" s="33" t="s">
        <v>84</v>
      </c>
      <c r="E257" s="33" t="s">
        <v>84</v>
      </c>
      <c r="F257" s="33" t="s">
        <v>84</v>
      </c>
      <c r="G257" s="33" t="s">
        <v>82</v>
      </c>
      <c r="H257" s="33" t="s">
        <v>82</v>
      </c>
      <c r="I257" s="33" t="s">
        <v>84</v>
      </c>
      <c r="J257" s="33" t="s">
        <v>82</v>
      </c>
      <c r="K257" s="33"/>
      <c r="L257" s="33" t="s">
        <v>84</v>
      </c>
      <c r="M257" s="52" t="s">
        <v>2982</v>
      </c>
      <c r="N257" s="45" t="s">
        <v>3673</v>
      </c>
      <c r="O257" s="33" t="s">
        <v>82</v>
      </c>
      <c r="P257" s="33"/>
      <c r="Q257" s="33"/>
      <c r="R257" s="33" t="s">
        <v>84</v>
      </c>
      <c r="S257" s="52" t="s">
        <v>4219</v>
      </c>
      <c r="T257" s="45"/>
    </row>
    <row r="258" spans="1:20" x14ac:dyDescent="0.2">
      <c r="A258" s="1">
        <v>257</v>
      </c>
      <c r="B258" s="24"/>
      <c r="C258" s="11" t="s">
        <v>84</v>
      </c>
      <c r="D258" s="11" t="s">
        <v>84</v>
      </c>
      <c r="E258" s="11" t="s">
        <v>84</v>
      </c>
      <c r="F258" s="11" t="s">
        <v>82</v>
      </c>
      <c r="G258" s="11" t="s">
        <v>82</v>
      </c>
      <c r="H258" s="11" t="s">
        <v>82</v>
      </c>
      <c r="I258" s="11" t="s">
        <v>84</v>
      </c>
      <c r="J258" s="11" t="s">
        <v>82</v>
      </c>
      <c r="K258" s="11"/>
      <c r="L258" s="11" t="s">
        <v>82</v>
      </c>
      <c r="M258" s="7"/>
      <c r="N258" s="21"/>
      <c r="O258" s="11" t="s">
        <v>82</v>
      </c>
      <c r="P258" s="11"/>
      <c r="Q258" s="11"/>
      <c r="R258" s="11" t="s">
        <v>82</v>
      </c>
      <c r="S258" s="7"/>
      <c r="T258" s="21"/>
    </row>
    <row r="259" spans="1:20" x14ac:dyDescent="0.2">
      <c r="A259" s="1">
        <v>258</v>
      </c>
      <c r="B259" s="24"/>
      <c r="C259" s="11" t="s">
        <v>84</v>
      </c>
      <c r="D259" s="11" t="s">
        <v>84</v>
      </c>
      <c r="E259" s="11" t="s">
        <v>84</v>
      </c>
      <c r="F259" s="11" t="s">
        <v>84</v>
      </c>
      <c r="G259" s="11" t="s">
        <v>82</v>
      </c>
      <c r="H259" s="11" t="s">
        <v>82</v>
      </c>
      <c r="I259" s="11" t="s">
        <v>82</v>
      </c>
      <c r="J259" s="11" t="s">
        <v>82</v>
      </c>
      <c r="K259" s="11"/>
      <c r="L259" s="11" t="s">
        <v>84</v>
      </c>
      <c r="M259" s="7" t="s">
        <v>2991</v>
      </c>
      <c r="N259" s="21" t="s">
        <v>427</v>
      </c>
      <c r="O259" s="11" t="s">
        <v>82</v>
      </c>
      <c r="P259" s="11"/>
      <c r="Q259" s="11"/>
      <c r="R259" s="11" t="s">
        <v>82</v>
      </c>
      <c r="S259" s="7"/>
      <c r="T259" s="21"/>
    </row>
    <row r="260" spans="1:20" x14ac:dyDescent="0.2">
      <c r="A260" s="1">
        <v>259</v>
      </c>
      <c r="B260" s="24"/>
      <c r="C260" s="11" t="s">
        <v>84</v>
      </c>
      <c r="D260" s="11" t="s">
        <v>84</v>
      </c>
      <c r="E260" s="11" t="s">
        <v>84</v>
      </c>
      <c r="F260" s="11" t="s">
        <v>84</v>
      </c>
      <c r="G260" s="11" t="s">
        <v>82</v>
      </c>
      <c r="H260" s="11" t="s">
        <v>82</v>
      </c>
      <c r="I260" s="11" t="s">
        <v>84</v>
      </c>
      <c r="J260" s="11" t="s">
        <v>82</v>
      </c>
      <c r="K260" s="11"/>
      <c r="L260" s="11" t="s">
        <v>82</v>
      </c>
      <c r="M260" s="7"/>
      <c r="N260" s="21"/>
      <c r="O260" s="39" t="s">
        <v>84</v>
      </c>
      <c r="P260" s="39" t="s">
        <v>1114</v>
      </c>
      <c r="Q260" s="11"/>
      <c r="R260" s="11" t="s">
        <v>82</v>
      </c>
      <c r="S260" s="7"/>
      <c r="T260" s="21"/>
    </row>
    <row r="261" spans="1:20" ht="51" x14ac:dyDescent="0.2">
      <c r="A261" s="1">
        <v>260</v>
      </c>
      <c r="B261" s="24"/>
      <c r="C261" s="11" t="s">
        <v>84</v>
      </c>
      <c r="D261" s="11" t="s">
        <v>84</v>
      </c>
      <c r="E261" s="11" t="s">
        <v>84</v>
      </c>
      <c r="F261" s="11" t="s">
        <v>84</v>
      </c>
      <c r="G261" s="11" t="s">
        <v>82</v>
      </c>
      <c r="H261" s="11" t="s">
        <v>82</v>
      </c>
      <c r="I261" s="11" t="s">
        <v>84</v>
      </c>
      <c r="J261" s="11" t="s">
        <v>82</v>
      </c>
      <c r="K261" s="11"/>
      <c r="L261" s="11" t="s">
        <v>84</v>
      </c>
      <c r="M261" s="7" t="s">
        <v>3063</v>
      </c>
      <c r="N261" s="21" t="s">
        <v>3674</v>
      </c>
      <c r="O261" s="11" t="s">
        <v>82</v>
      </c>
      <c r="P261" s="11"/>
      <c r="Q261" s="11"/>
      <c r="R261" s="11" t="s">
        <v>84</v>
      </c>
      <c r="S261" s="7" t="s">
        <v>3064</v>
      </c>
      <c r="T261" s="21" t="s">
        <v>3718</v>
      </c>
    </row>
    <row r="262" spans="1:20" ht="25.5" x14ac:dyDescent="0.2">
      <c r="A262" s="1">
        <v>261</v>
      </c>
      <c r="B262" s="24"/>
      <c r="C262" s="11" t="s">
        <v>84</v>
      </c>
      <c r="D262" s="11" t="s">
        <v>84</v>
      </c>
      <c r="E262" s="11" t="s">
        <v>84</v>
      </c>
      <c r="F262" s="11" t="s">
        <v>82</v>
      </c>
      <c r="G262" s="11" t="s">
        <v>82</v>
      </c>
      <c r="H262" s="39" t="s">
        <v>84</v>
      </c>
      <c r="I262" s="11" t="s">
        <v>84</v>
      </c>
      <c r="J262" s="11" t="s">
        <v>82</v>
      </c>
      <c r="K262" s="11"/>
      <c r="L262" s="11" t="s">
        <v>82</v>
      </c>
      <c r="M262" s="7"/>
      <c r="N262" s="21"/>
      <c r="O262" s="11" t="s">
        <v>84</v>
      </c>
      <c r="P262" s="11" t="s">
        <v>1114</v>
      </c>
      <c r="Q262" s="7" t="s">
        <v>3711</v>
      </c>
      <c r="R262" s="11" t="s">
        <v>80</v>
      </c>
      <c r="S262" s="7"/>
      <c r="T262" s="21"/>
    </row>
    <row r="263" spans="1:20" ht="102" x14ac:dyDescent="0.2">
      <c r="A263" s="1">
        <v>262</v>
      </c>
      <c r="B263" s="24"/>
      <c r="C263" s="11" t="s">
        <v>84</v>
      </c>
      <c r="D263" s="11" t="s">
        <v>84</v>
      </c>
      <c r="E263" s="11" t="s">
        <v>84</v>
      </c>
      <c r="F263" s="11" t="s">
        <v>84</v>
      </c>
      <c r="G263" s="11" t="s">
        <v>82</v>
      </c>
      <c r="H263" s="39" t="s">
        <v>82</v>
      </c>
      <c r="I263" s="11" t="s">
        <v>84</v>
      </c>
      <c r="J263" s="11" t="s">
        <v>84</v>
      </c>
      <c r="K263" s="11"/>
      <c r="L263" s="11" t="s">
        <v>84</v>
      </c>
      <c r="M263" s="7" t="s">
        <v>3093</v>
      </c>
      <c r="N263" s="21" t="s">
        <v>3687</v>
      </c>
      <c r="O263" s="11" t="s">
        <v>82</v>
      </c>
      <c r="P263" s="11"/>
      <c r="Q263" s="11"/>
      <c r="R263" s="11" t="s">
        <v>84</v>
      </c>
      <c r="S263" s="7"/>
      <c r="T263" s="21"/>
    </row>
    <row r="264" spans="1:20" x14ac:dyDescent="0.2">
      <c r="A264" s="1">
        <v>263</v>
      </c>
      <c r="B264" s="24"/>
      <c r="C264" s="11" t="s">
        <v>84</v>
      </c>
      <c r="D264" s="11" t="s">
        <v>84</v>
      </c>
      <c r="E264" s="11" t="s">
        <v>84</v>
      </c>
      <c r="F264" s="11" t="s">
        <v>82</v>
      </c>
      <c r="G264" s="11" t="s">
        <v>82</v>
      </c>
      <c r="H264" s="11" t="s">
        <v>82</v>
      </c>
      <c r="I264" s="11" t="s">
        <v>84</v>
      </c>
      <c r="J264" s="11" t="s">
        <v>82</v>
      </c>
      <c r="K264" s="11"/>
      <c r="L264" s="11" t="s">
        <v>84</v>
      </c>
      <c r="M264" s="7"/>
      <c r="N264" s="21"/>
      <c r="O264" s="11" t="s">
        <v>82</v>
      </c>
      <c r="P264" s="11"/>
      <c r="Q264" s="11"/>
      <c r="R264" s="11" t="s">
        <v>84</v>
      </c>
      <c r="S264" s="7"/>
      <c r="T264" s="21"/>
    </row>
    <row r="265" spans="1:20" x14ac:dyDescent="0.2">
      <c r="A265" s="1">
        <v>264</v>
      </c>
      <c r="B265" s="24"/>
      <c r="C265" s="11" t="s">
        <v>84</v>
      </c>
      <c r="D265" s="11" t="s">
        <v>84</v>
      </c>
      <c r="E265" s="11" t="s">
        <v>84</v>
      </c>
      <c r="F265" s="11" t="s">
        <v>82</v>
      </c>
      <c r="G265" s="11" t="s">
        <v>82</v>
      </c>
      <c r="H265" s="39" t="s">
        <v>82</v>
      </c>
      <c r="I265" s="11" t="s">
        <v>82</v>
      </c>
      <c r="J265" s="11" t="s">
        <v>82</v>
      </c>
      <c r="K265" s="11"/>
      <c r="L265" s="11" t="s">
        <v>82</v>
      </c>
      <c r="M265" s="7"/>
      <c r="N265" s="21"/>
      <c r="O265" s="11" t="s">
        <v>82</v>
      </c>
      <c r="P265" s="11"/>
      <c r="Q265" s="11"/>
      <c r="R265" s="11" t="s">
        <v>84</v>
      </c>
      <c r="S265" s="7"/>
      <c r="T265" s="21"/>
    </row>
    <row r="266" spans="1:20" x14ac:dyDescent="0.2">
      <c r="A266" s="1">
        <v>265</v>
      </c>
      <c r="B266" s="24"/>
      <c r="C266" s="11" t="s">
        <v>84</v>
      </c>
      <c r="D266" s="11" t="s">
        <v>84</v>
      </c>
      <c r="E266" s="11" t="s">
        <v>84</v>
      </c>
      <c r="F266" s="11" t="s">
        <v>84</v>
      </c>
      <c r="G266" s="11" t="s">
        <v>84</v>
      </c>
      <c r="H266" s="11" t="s">
        <v>82</v>
      </c>
      <c r="I266" s="11" t="s">
        <v>84</v>
      </c>
      <c r="J266" s="11" t="s">
        <v>84</v>
      </c>
      <c r="K266" s="11"/>
      <c r="L266" s="11" t="s">
        <v>82</v>
      </c>
      <c r="M266" s="7"/>
      <c r="N266" s="21"/>
      <c r="O266" s="11" t="s">
        <v>82</v>
      </c>
      <c r="P266" s="11"/>
      <c r="Q266" s="11"/>
      <c r="R266" s="11" t="s">
        <v>82</v>
      </c>
      <c r="S266" s="7"/>
      <c r="T266" s="21"/>
    </row>
    <row r="267" spans="1:20" x14ac:dyDescent="0.2">
      <c r="A267" s="1">
        <v>266</v>
      </c>
      <c r="B267" s="24"/>
      <c r="C267" s="11" t="s">
        <v>84</v>
      </c>
      <c r="D267" s="11" t="s">
        <v>84</v>
      </c>
      <c r="E267" s="11" t="s">
        <v>84</v>
      </c>
      <c r="F267" s="11" t="s">
        <v>82</v>
      </c>
      <c r="G267" s="11" t="s">
        <v>82</v>
      </c>
      <c r="H267" s="39" t="s">
        <v>82</v>
      </c>
      <c r="I267" s="11" t="s">
        <v>84</v>
      </c>
      <c r="J267" s="11" t="s">
        <v>82</v>
      </c>
      <c r="K267" s="11"/>
      <c r="L267" s="11" t="s">
        <v>82</v>
      </c>
      <c r="M267" s="7"/>
      <c r="N267" s="21"/>
      <c r="O267" s="11" t="s">
        <v>82</v>
      </c>
      <c r="P267" s="11"/>
      <c r="Q267" s="11"/>
      <c r="R267" s="11" t="s">
        <v>84</v>
      </c>
      <c r="S267" s="7"/>
      <c r="T267" s="21"/>
    </row>
    <row r="268" spans="1:20" ht="38.25" x14ac:dyDescent="0.2">
      <c r="A268" s="1">
        <v>267</v>
      </c>
      <c r="B268" s="24"/>
      <c r="C268" s="11" t="s">
        <v>84</v>
      </c>
      <c r="D268" s="11" t="s">
        <v>84</v>
      </c>
      <c r="E268" s="11" t="s">
        <v>84</v>
      </c>
      <c r="F268" s="11" t="s">
        <v>82</v>
      </c>
      <c r="G268" s="11" t="s">
        <v>82</v>
      </c>
      <c r="H268" s="11" t="s">
        <v>82</v>
      </c>
      <c r="I268" s="11" t="s">
        <v>84</v>
      </c>
      <c r="J268" s="11" t="s">
        <v>84</v>
      </c>
      <c r="K268" s="11"/>
      <c r="L268" s="11" t="s">
        <v>82</v>
      </c>
      <c r="M268" s="7"/>
      <c r="N268" s="21"/>
      <c r="O268" s="11" t="s">
        <v>82</v>
      </c>
      <c r="P268" s="11"/>
      <c r="Q268" s="11"/>
      <c r="R268" s="11" t="s">
        <v>82</v>
      </c>
      <c r="S268" s="7" t="s">
        <v>3120</v>
      </c>
      <c r="T268" s="21"/>
    </row>
    <row r="269" spans="1:20" ht="63.75" x14ac:dyDescent="0.2">
      <c r="A269" s="1">
        <v>268</v>
      </c>
      <c r="B269" s="24"/>
      <c r="C269" s="11" t="s">
        <v>84</v>
      </c>
      <c r="D269" s="11" t="s">
        <v>84</v>
      </c>
      <c r="E269" s="11" t="s">
        <v>84</v>
      </c>
      <c r="F269" s="11" t="s">
        <v>82</v>
      </c>
      <c r="G269" s="11" t="s">
        <v>82</v>
      </c>
      <c r="H269" s="11" t="s">
        <v>82</v>
      </c>
      <c r="I269" s="11" t="s">
        <v>82</v>
      </c>
      <c r="J269" s="11" t="s">
        <v>82</v>
      </c>
      <c r="K269" s="11"/>
      <c r="L269" s="11" t="s">
        <v>84</v>
      </c>
      <c r="M269" s="7" t="s">
        <v>3133</v>
      </c>
      <c r="N269" s="21" t="s">
        <v>3675</v>
      </c>
      <c r="O269" s="11" t="s">
        <v>82</v>
      </c>
      <c r="P269" s="11"/>
      <c r="Q269" s="11"/>
      <c r="R269" s="11" t="s">
        <v>84</v>
      </c>
      <c r="S269" s="7" t="s">
        <v>147</v>
      </c>
      <c r="T269" s="21"/>
    </row>
    <row r="270" spans="1:20" x14ac:dyDescent="0.2">
      <c r="A270" s="1">
        <v>269</v>
      </c>
      <c r="B270" s="24"/>
      <c r="C270" s="11" t="s">
        <v>84</v>
      </c>
      <c r="D270" s="11" t="s">
        <v>84</v>
      </c>
      <c r="E270" s="11" t="s">
        <v>84</v>
      </c>
      <c r="F270" s="11" t="s">
        <v>82</v>
      </c>
      <c r="G270" s="11" t="s">
        <v>82</v>
      </c>
      <c r="H270" s="11" t="s">
        <v>82</v>
      </c>
      <c r="I270" s="11" t="s">
        <v>82</v>
      </c>
      <c r="J270" s="11" t="s">
        <v>82</v>
      </c>
      <c r="K270" s="11"/>
      <c r="L270" s="11" t="s">
        <v>82</v>
      </c>
      <c r="M270" s="7"/>
      <c r="N270" s="21"/>
      <c r="O270" s="11" t="s">
        <v>82</v>
      </c>
      <c r="P270" s="11"/>
      <c r="Q270" s="11"/>
      <c r="R270" s="11" t="s">
        <v>82</v>
      </c>
      <c r="S270" s="7" t="s">
        <v>82</v>
      </c>
      <c r="T270" s="21"/>
    </row>
    <row r="271" spans="1:20" ht="38.25" x14ac:dyDescent="0.2">
      <c r="A271" s="1">
        <v>270</v>
      </c>
      <c r="B271" s="24"/>
      <c r="C271" s="11" t="s">
        <v>84</v>
      </c>
      <c r="D271" s="11" t="s">
        <v>84</v>
      </c>
      <c r="E271" s="11" t="s">
        <v>84</v>
      </c>
      <c r="F271" s="11" t="s">
        <v>84</v>
      </c>
      <c r="G271" s="11" t="s">
        <v>82</v>
      </c>
      <c r="H271" s="11" t="s">
        <v>82</v>
      </c>
      <c r="I271" s="11" t="s">
        <v>82</v>
      </c>
      <c r="J271" s="11" t="s">
        <v>82</v>
      </c>
      <c r="K271" s="11"/>
      <c r="L271" s="11" t="s">
        <v>84</v>
      </c>
      <c r="M271" s="7" t="s">
        <v>4220</v>
      </c>
      <c r="N271" s="21"/>
      <c r="O271" s="11" t="s">
        <v>82</v>
      </c>
      <c r="P271" s="11"/>
      <c r="Q271" s="11"/>
      <c r="R271" s="11" t="s">
        <v>84</v>
      </c>
      <c r="S271" s="7" t="s">
        <v>3151</v>
      </c>
      <c r="T271" s="21" t="s">
        <v>3726</v>
      </c>
    </row>
    <row r="272" spans="1:20" x14ac:dyDescent="0.2">
      <c r="A272" s="1">
        <v>271</v>
      </c>
      <c r="B272" s="24"/>
      <c r="C272" s="11" t="s">
        <v>84</v>
      </c>
      <c r="D272" s="11" t="s">
        <v>84</v>
      </c>
      <c r="E272" s="11" t="s">
        <v>82</v>
      </c>
      <c r="F272" s="11" t="s">
        <v>82</v>
      </c>
      <c r="G272" s="11" t="s">
        <v>82</v>
      </c>
      <c r="H272" s="11" t="s">
        <v>82</v>
      </c>
      <c r="I272" s="11" t="s">
        <v>82</v>
      </c>
      <c r="J272" s="11" t="s">
        <v>82</v>
      </c>
      <c r="K272" s="11"/>
      <c r="L272" s="11" t="s">
        <v>82</v>
      </c>
      <c r="M272" s="7"/>
      <c r="N272" s="21"/>
      <c r="O272" s="11" t="s">
        <v>82</v>
      </c>
      <c r="P272" s="11"/>
      <c r="Q272" s="11"/>
      <c r="R272" s="11" t="s">
        <v>84</v>
      </c>
      <c r="S272" s="7"/>
      <c r="T272" s="21"/>
    </row>
    <row r="273" spans="1:20" ht="63.75" x14ac:dyDescent="0.2">
      <c r="A273" s="1">
        <v>272</v>
      </c>
      <c r="B273" s="24"/>
      <c r="C273" s="11" t="s">
        <v>84</v>
      </c>
      <c r="D273" s="11" t="s">
        <v>84</v>
      </c>
      <c r="E273" s="11" t="s">
        <v>84</v>
      </c>
      <c r="F273" s="11" t="s">
        <v>82</v>
      </c>
      <c r="G273" s="11" t="s">
        <v>82</v>
      </c>
      <c r="H273" s="11" t="s">
        <v>84</v>
      </c>
      <c r="I273" s="11" t="s">
        <v>82</v>
      </c>
      <c r="J273" s="11" t="s">
        <v>84</v>
      </c>
      <c r="K273" s="11"/>
      <c r="L273" s="11" t="s">
        <v>82</v>
      </c>
      <c r="M273" s="7"/>
      <c r="N273" s="21"/>
      <c r="O273" s="11" t="s">
        <v>84</v>
      </c>
      <c r="P273" s="11" t="s">
        <v>3958</v>
      </c>
      <c r="Q273" s="11"/>
      <c r="R273" s="11" t="s">
        <v>80</v>
      </c>
      <c r="S273" s="7"/>
      <c r="T273" s="21"/>
    </row>
    <row r="274" spans="1:20" x14ac:dyDescent="0.2">
      <c r="A274" s="1">
        <v>273</v>
      </c>
      <c r="B274" s="24"/>
      <c r="C274" s="11" t="s">
        <v>84</v>
      </c>
      <c r="D274" s="11" t="s">
        <v>84</v>
      </c>
      <c r="E274" s="11" t="s">
        <v>84</v>
      </c>
      <c r="F274" s="11" t="s">
        <v>82</v>
      </c>
      <c r="G274" s="11" t="s">
        <v>82</v>
      </c>
      <c r="H274" s="11" t="s">
        <v>82</v>
      </c>
      <c r="I274" s="11" t="s">
        <v>82</v>
      </c>
      <c r="J274" s="11" t="s">
        <v>84</v>
      </c>
      <c r="K274" s="11"/>
      <c r="L274" s="11" t="s">
        <v>82</v>
      </c>
      <c r="M274" s="7"/>
      <c r="N274" s="21"/>
      <c r="O274" s="11" t="s">
        <v>82</v>
      </c>
      <c r="P274" s="11"/>
      <c r="Q274" s="11"/>
      <c r="R274" s="11" t="s">
        <v>82</v>
      </c>
      <c r="S274" s="7"/>
      <c r="T274" s="21"/>
    </row>
    <row r="275" spans="1:20" x14ac:dyDescent="0.2">
      <c r="A275" s="1">
        <v>274</v>
      </c>
      <c r="B275" s="24"/>
      <c r="C275" s="11" t="s">
        <v>84</v>
      </c>
      <c r="D275" s="11" t="s">
        <v>84</v>
      </c>
      <c r="E275" s="11" t="s">
        <v>84</v>
      </c>
      <c r="F275" s="11" t="s">
        <v>82</v>
      </c>
      <c r="G275" s="11" t="s">
        <v>82</v>
      </c>
      <c r="H275" s="11" t="s">
        <v>82</v>
      </c>
      <c r="I275" s="11" t="s">
        <v>84</v>
      </c>
      <c r="J275" s="11" t="s">
        <v>82</v>
      </c>
      <c r="K275" s="11"/>
      <c r="L275" s="11" t="s">
        <v>82</v>
      </c>
      <c r="M275" s="7"/>
      <c r="N275" s="21"/>
      <c r="O275" s="11" t="s">
        <v>82</v>
      </c>
      <c r="P275" s="11"/>
      <c r="Q275" s="11"/>
      <c r="R275" s="11" t="s">
        <v>82</v>
      </c>
      <c r="S275" s="7"/>
      <c r="T275" s="21"/>
    </row>
    <row r="276" spans="1:20" ht="89.25" x14ac:dyDescent="0.2">
      <c r="A276" s="1">
        <v>275</v>
      </c>
      <c r="B276" s="24"/>
      <c r="C276" s="11" t="s">
        <v>84</v>
      </c>
      <c r="D276" s="11" t="s">
        <v>84</v>
      </c>
      <c r="E276" s="11" t="s">
        <v>82</v>
      </c>
      <c r="F276" s="11" t="s">
        <v>82</v>
      </c>
      <c r="G276" s="11" t="s">
        <v>82</v>
      </c>
      <c r="H276" s="11" t="s">
        <v>82</v>
      </c>
      <c r="I276" s="11" t="s">
        <v>84</v>
      </c>
      <c r="J276" s="11" t="s">
        <v>84</v>
      </c>
      <c r="K276" s="11"/>
      <c r="L276" s="11" t="s">
        <v>84</v>
      </c>
      <c r="M276" s="7" t="s">
        <v>3594</v>
      </c>
      <c r="N276" s="21"/>
      <c r="O276" s="11" t="s">
        <v>82</v>
      </c>
      <c r="P276" s="11"/>
      <c r="Q276" s="11"/>
      <c r="R276" s="11" t="s">
        <v>84</v>
      </c>
      <c r="S276" s="7"/>
      <c r="T276" s="21"/>
    </row>
    <row r="277" spans="1:20" x14ac:dyDescent="0.2">
      <c r="A277" s="1">
        <v>276</v>
      </c>
      <c r="B277" s="24"/>
      <c r="C277" s="11" t="s">
        <v>84</v>
      </c>
      <c r="D277" s="11" t="s">
        <v>84</v>
      </c>
      <c r="E277" s="11" t="s">
        <v>84</v>
      </c>
      <c r="F277" s="11" t="s">
        <v>82</v>
      </c>
      <c r="G277" s="11" t="s">
        <v>82</v>
      </c>
      <c r="H277" s="11" t="s">
        <v>82</v>
      </c>
      <c r="I277" s="11" t="s">
        <v>84</v>
      </c>
      <c r="J277" s="11" t="s">
        <v>82</v>
      </c>
      <c r="K277" s="11"/>
      <c r="L277" s="11" t="s">
        <v>82</v>
      </c>
      <c r="M277" s="11"/>
      <c r="N277" s="11"/>
      <c r="O277" s="11" t="s">
        <v>82</v>
      </c>
      <c r="P277" s="11"/>
      <c r="Q277" s="11"/>
      <c r="R277" s="11" t="s">
        <v>82</v>
      </c>
      <c r="S277" s="14"/>
      <c r="T277" s="69"/>
    </row>
    <row r="278" spans="1:20" x14ac:dyDescent="0.2">
      <c r="A278" s="1"/>
      <c r="H278" s="28"/>
      <c r="M278" s="14"/>
      <c r="N278" s="69"/>
      <c r="S278" s="14"/>
      <c r="T278" s="69"/>
    </row>
    <row r="279" spans="1:20" x14ac:dyDescent="0.2">
      <c r="A279" s="1"/>
      <c r="H279" s="28"/>
      <c r="M279" s="14"/>
      <c r="N279" s="69"/>
      <c r="S279" s="14"/>
      <c r="T279" s="69"/>
    </row>
    <row r="280" spans="1:20" x14ac:dyDescent="0.2">
      <c r="A280" s="1"/>
      <c r="H280" s="28"/>
      <c r="M280" s="14"/>
      <c r="N280" s="69"/>
      <c r="S280" s="14"/>
      <c r="T280" s="69"/>
    </row>
    <row r="281" spans="1:20" x14ac:dyDescent="0.2">
      <c r="A281" s="1"/>
      <c r="H281" s="28"/>
      <c r="M281" s="14"/>
      <c r="N281" s="69"/>
      <c r="S281" s="14"/>
      <c r="T281" s="69"/>
    </row>
    <row r="282" spans="1:20" x14ac:dyDescent="0.2">
      <c r="A282" s="1"/>
      <c r="H282" s="28"/>
      <c r="N282" s="69"/>
      <c r="S282" s="14"/>
      <c r="T282" s="69"/>
    </row>
    <row r="283" spans="1:20" x14ac:dyDescent="0.2">
      <c r="A283" s="1"/>
      <c r="H283" s="28"/>
      <c r="N283" s="69"/>
      <c r="S283" s="14"/>
      <c r="T283" s="69"/>
    </row>
    <row r="284" spans="1:20" x14ac:dyDescent="0.2">
      <c r="A284" s="1"/>
      <c r="H284" s="28"/>
      <c r="N284" s="69"/>
      <c r="S284" s="14"/>
      <c r="T284" s="69"/>
    </row>
    <row r="285" spans="1:20" x14ac:dyDescent="0.2">
      <c r="A285" s="1"/>
      <c r="H285" s="28"/>
      <c r="N285" s="69"/>
      <c r="S285" s="14"/>
      <c r="T285" s="69"/>
    </row>
    <row r="286" spans="1:20" x14ac:dyDescent="0.2">
      <c r="A286" s="1"/>
      <c r="H286" s="28"/>
      <c r="N286" s="69"/>
      <c r="S286" s="14"/>
      <c r="T286" s="69"/>
    </row>
    <row r="287" spans="1:20" x14ac:dyDescent="0.2">
      <c r="A287" s="1"/>
      <c r="H287" s="28"/>
      <c r="N287" s="69"/>
      <c r="S287" s="14"/>
      <c r="T287" s="69"/>
    </row>
    <row r="288" spans="1:20" x14ac:dyDescent="0.2">
      <c r="A288" s="1"/>
      <c r="H288" s="28"/>
      <c r="N288" s="69"/>
      <c r="S288" s="14"/>
      <c r="T288" s="69"/>
    </row>
    <row r="289" spans="1:20" x14ac:dyDescent="0.2">
      <c r="A289" s="1"/>
      <c r="H289" s="28"/>
      <c r="N289" s="69"/>
      <c r="S289" s="14"/>
      <c r="T289" s="69"/>
    </row>
    <row r="290" spans="1:20" x14ac:dyDescent="0.2">
      <c r="A290" s="1"/>
      <c r="H290" s="28"/>
      <c r="N290" s="69"/>
      <c r="S290" s="14"/>
      <c r="T290" s="69"/>
    </row>
    <row r="291" spans="1:20" x14ac:dyDescent="0.2">
      <c r="A291" s="1"/>
      <c r="H291" s="28"/>
      <c r="N291" s="69"/>
      <c r="S291" s="14"/>
      <c r="T291" s="69"/>
    </row>
    <row r="292" spans="1:20" x14ac:dyDescent="0.2">
      <c r="A292" s="1"/>
      <c r="H292" s="28"/>
      <c r="N292" s="69"/>
      <c r="S292" s="14"/>
      <c r="T292" s="69"/>
    </row>
    <row r="293" spans="1:20" x14ac:dyDescent="0.2">
      <c r="A293" s="1"/>
      <c r="H293" s="28"/>
      <c r="N293" s="69"/>
      <c r="S293" s="14"/>
      <c r="T293" s="69"/>
    </row>
    <row r="294" spans="1:20" x14ac:dyDescent="0.2">
      <c r="A294" s="1"/>
      <c r="H294" s="28"/>
      <c r="N294" s="69"/>
      <c r="S294" s="14"/>
      <c r="T294" s="69"/>
    </row>
    <row r="295" spans="1:20" x14ac:dyDescent="0.2">
      <c r="A295" s="1"/>
      <c r="H295" s="28"/>
      <c r="N295" s="69"/>
      <c r="S295" s="14"/>
      <c r="T295" s="69"/>
    </row>
    <row r="296" spans="1:20" x14ac:dyDescent="0.2">
      <c r="A296" s="1"/>
      <c r="H296" s="28"/>
      <c r="N296" s="69"/>
      <c r="S296" s="14"/>
      <c r="T296" s="69"/>
    </row>
    <row r="297" spans="1:20" x14ac:dyDescent="0.2">
      <c r="A297" s="1"/>
      <c r="H297" s="28"/>
      <c r="N297" s="69"/>
      <c r="S297" s="14"/>
      <c r="T297" s="69"/>
    </row>
    <row r="298" spans="1:20" x14ac:dyDescent="0.2">
      <c r="A298" s="1"/>
      <c r="H298" s="28"/>
      <c r="N298" s="69"/>
      <c r="S298" s="14"/>
      <c r="T298" s="69"/>
    </row>
    <row r="299" spans="1:20" x14ac:dyDescent="0.2">
      <c r="A299" s="1"/>
      <c r="H299" s="28"/>
      <c r="N299" s="69"/>
      <c r="S299" s="14"/>
      <c r="T299" s="69"/>
    </row>
    <row r="300" spans="1:20" x14ac:dyDescent="0.2">
      <c r="A300" s="1"/>
      <c r="H300" s="28"/>
      <c r="N300" s="69"/>
      <c r="S300" s="14"/>
      <c r="T300" s="69"/>
    </row>
    <row r="301" spans="1:20" x14ac:dyDescent="0.2">
      <c r="A301" s="1"/>
      <c r="H301" s="28"/>
      <c r="N301" s="69"/>
      <c r="S301" s="14"/>
      <c r="T301" s="69"/>
    </row>
    <row r="302" spans="1:20" x14ac:dyDescent="0.2">
      <c r="A302" s="1"/>
      <c r="H302" s="28"/>
      <c r="N302" s="69"/>
      <c r="S302" s="14"/>
      <c r="T302" s="69"/>
    </row>
    <row r="303" spans="1:20" x14ac:dyDescent="0.2">
      <c r="A303" s="1"/>
      <c r="H303" s="28"/>
      <c r="N303" s="69"/>
      <c r="S303" s="14"/>
      <c r="T303" s="69"/>
    </row>
    <row r="304" spans="1:20" x14ac:dyDescent="0.2">
      <c r="A304" s="1"/>
      <c r="H304" s="28"/>
      <c r="N304" s="69"/>
      <c r="S304" s="14"/>
      <c r="T304" s="69"/>
    </row>
    <row r="305" spans="1:20" x14ac:dyDescent="0.2">
      <c r="A305" s="1"/>
      <c r="H305" s="28"/>
      <c r="N305" s="69"/>
      <c r="S305" s="14"/>
      <c r="T305" s="69"/>
    </row>
    <row r="306" spans="1:20" x14ac:dyDescent="0.2">
      <c r="A306" s="1"/>
      <c r="H306" s="28"/>
      <c r="N306" s="69"/>
      <c r="S306" s="14"/>
      <c r="T306" s="69"/>
    </row>
    <row r="307" spans="1:20" x14ac:dyDescent="0.2">
      <c r="A307" s="1"/>
      <c r="H307" s="28"/>
      <c r="N307" s="69"/>
      <c r="S307" s="14"/>
      <c r="T307" s="69"/>
    </row>
    <row r="308" spans="1:20" x14ac:dyDescent="0.2">
      <c r="A308" s="1"/>
      <c r="H308" s="28"/>
      <c r="N308" s="69"/>
      <c r="T308" s="69"/>
    </row>
    <row r="309" spans="1:20" x14ac:dyDescent="0.2">
      <c r="A309" s="1"/>
      <c r="H309" s="28"/>
      <c r="N309" s="69"/>
      <c r="T309" s="69"/>
    </row>
    <row r="310" spans="1:20" x14ac:dyDescent="0.2">
      <c r="A310" s="1"/>
      <c r="H310" s="28"/>
      <c r="N310" s="69"/>
      <c r="T310" s="69"/>
    </row>
    <row r="311" spans="1:20" x14ac:dyDescent="0.2">
      <c r="A311" s="1"/>
      <c r="H311" s="28"/>
      <c r="N311" s="69"/>
      <c r="T311" s="69"/>
    </row>
    <row r="312" spans="1:20" x14ac:dyDescent="0.2">
      <c r="A312" s="1"/>
      <c r="H312" s="28"/>
      <c r="N312" s="69"/>
      <c r="T312" s="69"/>
    </row>
    <row r="313" spans="1:20" x14ac:dyDescent="0.2">
      <c r="A313" s="1"/>
      <c r="H313" s="28"/>
      <c r="T313" s="69"/>
    </row>
    <row r="314" spans="1:20" x14ac:dyDescent="0.2">
      <c r="A314" s="1"/>
      <c r="H314" s="28"/>
      <c r="T314" s="69"/>
    </row>
    <row r="315" spans="1:20" x14ac:dyDescent="0.2">
      <c r="A315" s="1"/>
      <c r="H315" s="28"/>
      <c r="T315" s="69"/>
    </row>
    <row r="316" spans="1:20" x14ac:dyDescent="0.2">
      <c r="A316" s="1"/>
      <c r="H316" s="28"/>
      <c r="T316" s="69"/>
    </row>
    <row r="317" spans="1:20" x14ac:dyDescent="0.2">
      <c r="A317" s="1"/>
      <c r="H317" s="28"/>
      <c r="T317" s="69"/>
    </row>
    <row r="318" spans="1:20" x14ac:dyDescent="0.2">
      <c r="A318" s="1"/>
      <c r="H318" s="28"/>
      <c r="T318" s="69"/>
    </row>
    <row r="319" spans="1:20" x14ac:dyDescent="0.2">
      <c r="A319" s="1"/>
      <c r="H319" s="28"/>
      <c r="T319" s="69"/>
    </row>
    <row r="320" spans="1:20" x14ac:dyDescent="0.2">
      <c r="A320" s="1"/>
      <c r="H320" s="28"/>
      <c r="T320" s="69"/>
    </row>
    <row r="321" spans="1:20" x14ac:dyDescent="0.2">
      <c r="A321" s="1"/>
      <c r="H321" s="28"/>
      <c r="T321" s="69"/>
    </row>
    <row r="322" spans="1:20" x14ac:dyDescent="0.2">
      <c r="A322" s="1"/>
      <c r="H322" s="28"/>
      <c r="T322" s="69"/>
    </row>
    <row r="323" spans="1:20" x14ac:dyDescent="0.2">
      <c r="A323" s="1"/>
      <c r="H323" s="28"/>
      <c r="T323" s="69"/>
    </row>
    <row r="324" spans="1:20" x14ac:dyDescent="0.2">
      <c r="A324" s="1"/>
      <c r="H324" s="28"/>
      <c r="T324" s="69"/>
    </row>
    <row r="325" spans="1:20" x14ac:dyDescent="0.2">
      <c r="A325" s="1"/>
      <c r="H325" s="28"/>
      <c r="T325" s="69"/>
    </row>
    <row r="326" spans="1:20" x14ac:dyDescent="0.2">
      <c r="A326" s="1"/>
      <c r="H326" s="28"/>
      <c r="T326" s="69"/>
    </row>
    <row r="327" spans="1:20" x14ac:dyDescent="0.2">
      <c r="A327" s="1"/>
      <c r="H327" s="28"/>
      <c r="T327" s="69"/>
    </row>
    <row r="328" spans="1:20" x14ac:dyDescent="0.2">
      <c r="A328" s="1"/>
      <c r="H328" s="28"/>
      <c r="T328" s="69"/>
    </row>
    <row r="329" spans="1:20" x14ac:dyDescent="0.2">
      <c r="A329" s="1"/>
      <c r="H329" s="28"/>
      <c r="T329" s="69"/>
    </row>
    <row r="330" spans="1:20" x14ac:dyDescent="0.2">
      <c r="A330" s="1"/>
      <c r="H330" s="28"/>
      <c r="T330" s="69"/>
    </row>
    <row r="331" spans="1:20" x14ac:dyDescent="0.2">
      <c r="A331" s="1"/>
      <c r="H331" s="28"/>
      <c r="T331" s="69"/>
    </row>
    <row r="332" spans="1:20" x14ac:dyDescent="0.2">
      <c r="A332" s="1"/>
      <c r="H332" s="28"/>
      <c r="T332" s="69"/>
    </row>
    <row r="333" spans="1:20" x14ac:dyDescent="0.2">
      <c r="A333" s="1"/>
      <c r="H333" s="28"/>
      <c r="T333" s="69"/>
    </row>
    <row r="334" spans="1:20" x14ac:dyDescent="0.2">
      <c r="A334" s="1"/>
      <c r="H334" s="28"/>
      <c r="T334" s="69"/>
    </row>
    <row r="335" spans="1:20" x14ac:dyDescent="0.2">
      <c r="A335" s="1"/>
      <c r="H335" s="28"/>
      <c r="T335" s="69"/>
    </row>
    <row r="336" spans="1:20" x14ac:dyDescent="0.2">
      <c r="A336" s="1"/>
      <c r="H336" s="28"/>
      <c r="T336" s="69"/>
    </row>
    <row r="337" spans="1:20" x14ac:dyDescent="0.2">
      <c r="A337" s="1"/>
      <c r="H337" s="28"/>
      <c r="T337" s="69"/>
    </row>
    <row r="338" spans="1:20" x14ac:dyDescent="0.2">
      <c r="A338" s="1"/>
      <c r="H338" s="28"/>
      <c r="T338" s="69"/>
    </row>
    <row r="339" spans="1:20" x14ac:dyDescent="0.2">
      <c r="A339" s="1"/>
      <c r="H339" s="28"/>
      <c r="T339" s="69"/>
    </row>
    <row r="340" spans="1:20" x14ac:dyDescent="0.2">
      <c r="A340" s="1"/>
      <c r="H340" s="28"/>
      <c r="T340" s="69"/>
    </row>
    <row r="341" spans="1:20" x14ac:dyDescent="0.2">
      <c r="A341" s="1"/>
      <c r="H341" s="28"/>
      <c r="T341" s="69"/>
    </row>
    <row r="342" spans="1:20" x14ac:dyDescent="0.2">
      <c r="A342" s="1"/>
      <c r="H342" s="28"/>
      <c r="T342" s="69"/>
    </row>
    <row r="343" spans="1:20" x14ac:dyDescent="0.2">
      <c r="A343" s="1"/>
      <c r="H343" s="28"/>
      <c r="T343" s="69"/>
    </row>
    <row r="344" spans="1:20" x14ac:dyDescent="0.2">
      <c r="A344" s="1"/>
      <c r="H344" s="28"/>
      <c r="T344" s="69"/>
    </row>
    <row r="345" spans="1:20" x14ac:dyDescent="0.2">
      <c r="A345" s="1"/>
      <c r="H345" s="28"/>
      <c r="T345" s="69"/>
    </row>
    <row r="346" spans="1:20" x14ac:dyDescent="0.2">
      <c r="A346" s="1"/>
      <c r="H346" s="28"/>
      <c r="T346" s="69"/>
    </row>
    <row r="347" spans="1:20" x14ac:dyDescent="0.2">
      <c r="A347" s="1"/>
      <c r="H347" s="28"/>
      <c r="T347" s="69"/>
    </row>
    <row r="348" spans="1:20" x14ac:dyDescent="0.2">
      <c r="A348" s="1"/>
      <c r="H348" s="28"/>
      <c r="T348" s="69"/>
    </row>
    <row r="349" spans="1:20" x14ac:dyDescent="0.2">
      <c r="A349" s="1"/>
      <c r="H349" s="28"/>
      <c r="T349" s="69"/>
    </row>
    <row r="350" spans="1:20" x14ac:dyDescent="0.2">
      <c r="A350" s="1"/>
      <c r="H350" s="28"/>
      <c r="T350" s="69"/>
    </row>
    <row r="351" spans="1:20" x14ac:dyDescent="0.2">
      <c r="A351" s="1"/>
      <c r="H351" s="28"/>
      <c r="T351" s="69"/>
    </row>
    <row r="352" spans="1:20" x14ac:dyDescent="0.2">
      <c r="A352" s="1"/>
      <c r="H352" s="28"/>
      <c r="T352" s="69"/>
    </row>
    <row r="353" spans="1:20" x14ac:dyDescent="0.2">
      <c r="A353" s="1"/>
      <c r="H353" s="28"/>
      <c r="T353" s="69"/>
    </row>
    <row r="354" spans="1:20" x14ac:dyDescent="0.2">
      <c r="A354" s="1"/>
      <c r="H354" s="28"/>
      <c r="T354" s="69"/>
    </row>
    <row r="355" spans="1:20" x14ac:dyDescent="0.2">
      <c r="A355" s="1"/>
      <c r="H355" s="28"/>
      <c r="T355" s="69"/>
    </row>
    <row r="356" spans="1:20" x14ac:dyDescent="0.2">
      <c r="A356" s="1"/>
      <c r="H356" s="28"/>
      <c r="T356" s="69"/>
    </row>
    <row r="357" spans="1:20" x14ac:dyDescent="0.2">
      <c r="A357" s="1"/>
      <c r="H357" s="28"/>
      <c r="T357" s="69"/>
    </row>
    <row r="358" spans="1:20" x14ac:dyDescent="0.2">
      <c r="A358" s="1"/>
      <c r="H358" s="28"/>
      <c r="T358" s="69"/>
    </row>
    <row r="359" spans="1:20" x14ac:dyDescent="0.2">
      <c r="A359" s="1"/>
      <c r="H359" s="28"/>
      <c r="T359" s="69"/>
    </row>
    <row r="360" spans="1:20" x14ac:dyDescent="0.2">
      <c r="A360" s="1"/>
      <c r="H360" s="28"/>
      <c r="T360" s="69"/>
    </row>
    <row r="361" spans="1:20" x14ac:dyDescent="0.2">
      <c r="A361" s="1"/>
      <c r="H361" s="28"/>
      <c r="T361" s="69"/>
    </row>
    <row r="362" spans="1:20" x14ac:dyDescent="0.2">
      <c r="A362" s="1"/>
      <c r="H362" s="28"/>
      <c r="T362" s="69"/>
    </row>
    <row r="363" spans="1:20" x14ac:dyDescent="0.2">
      <c r="A363" s="1"/>
      <c r="H363" s="28"/>
      <c r="T363" s="69"/>
    </row>
    <row r="364" spans="1:20" x14ac:dyDescent="0.2">
      <c r="A364" s="1"/>
      <c r="H364" s="28"/>
      <c r="T364" s="69"/>
    </row>
    <row r="365" spans="1:20" x14ac:dyDescent="0.2">
      <c r="A365" s="1"/>
      <c r="H365" s="28"/>
      <c r="T365" s="69"/>
    </row>
    <row r="366" spans="1:20" x14ac:dyDescent="0.2">
      <c r="A366" s="1"/>
      <c r="H366" s="28"/>
      <c r="T366" s="69"/>
    </row>
    <row r="367" spans="1:20" x14ac:dyDescent="0.2">
      <c r="A367" s="1"/>
      <c r="H367" s="28"/>
      <c r="T367" s="69"/>
    </row>
    <row r="368" spans="1:20" x14ac:dyDescent="0.2">
      <c r="A368" s="1"/>
      <c r="H368" s="28"/>
      <c r="T368" s="69"/>
    </row>
    <row r="369" spans="1:20" x14ac:dyDescent="0.2">
      <c r="A369" s="1"/>
      <c r="H369" s="28"/>
      <c r="T369" s="69"/>
    </row>
    <row r="370" spans="1:20" x14ac:dyDescent="0.2">
      <c r="A370" s="1"/>
      <c r="H370" s="28"/>
      <c r="T370" s="69"/>
    </row>
    <row r="371" spans="1:20" x14ac:dyDescent="0.2">
      <c r="A371" s="1"/>
      <c r="H371" s="28"/>
      <c r="T371" s="69"/>
    </row>
    <row r="372" spans="1:20" x14ac:dyDescent="0.2">
      <c r="A372" s="1"/>
      <c r="H372" s="28"/>
      <c r="T372" s="69"/>
    </row>
    <row r="373" spans="1:20" x14ac:dyDescent="0.2">
      <c r="A373" s="1"/>
      <c r="H373" s="28"/>
      <c r="T373" s="69"/>
    </row>
    <row r="374" spans="1:20" x14ac:dyDescent="0.2">
      <c r="A374" s="1"/>
      <c r="H374" s="28"/>
      <c r="T374" s="69"/>
    </row>
    <row r="375" spans="1:20" x14ac:dyDescent="0.2">
      <c r="A375" s="1"/>
      <c r="H375" s="28"/>
      <c r="T375" s="69"/>
    </row>
    <row r="376" spans="1:20" x14ac:dyDescent="0.2">
      <c r="A376" s="1"/>
      <c r="H376" s="28"/>
      <c r="T376" s="69"/>
    </row>
    <row r="377" spans="1:20" x14ac:dyDescent="0.2">
      <c r="A377" s="1"/>
      <c r="H377" s="28"/>
      <c r="T377" s="69"/>
    </row>
    <row r="378" spans="1:20" x14ac:dyDescent="0.2">
      <c r="A378" s="1"/>
      <c r="H378" s="28"/>
      <c r="T378" s="69"/>
    </row>
    <row r="379" spans="1:20" x14ac:dyDescent="0.2">
      <c r="A379" s="1"/>
      <c r="H379" s="28"/>
      <c r="T379" s="69"/>
    </row>
    <row r="380" spans="1:20" x14ac:dyDescent="0.2">
      <c r="A380" s="1"/>
      <c r="H380" s="28"/>
      <c r="T380" s="69"/>
    </row>
    <row r="381" spans="1:20" x14ac:dyDescent="0.2">
      <c r="A381" s="1"/>
      <c r="H381" s="28"/>
      <c r="T381" s="69"/>
    </row>
    <row r="382" spans="1:20" x14ac:dyDescent="0.2">
      <c r="A382" s="1"/>
      <c r="H382" s="28"/>
      <c r="T382" s="69"/>
    </row>
    <row r="383" spans="1:20" x14ac:dyDescent="0.2">
      <c r="A383" s="1"/>
      <c r="H383" s="28"/>
      <c r="T383" s="69"/>
    </row>
    <row r="384" spans="1:20" x14ac:dyDescent="0.2">
      <c r="A384" s="1"/>
      <c r="H384" s="28"/>
      <c r="T384" s="69"/>
    </row>
    <row r="385" spans="1:20" x14ac:dyDescent="0.2">
      <c r="A385" s="1"/>
      <c r="H385" s="28"/>
      <c r="T385" s="69"/>
    </row>
    <row r="386" spans="1:20" x14ac:dyDescent="0.2">
      <c r="A386" s="1"/>
      <c r="H386" s="28"/>
      <c r="T386" s="69"/>
    </row>
    <row r="387" spans="1:20" x14ac:dyDescent="0.2">
      <c r="A387" s="1"/>
      <c r="H387" s="28"/>
      <c r="T387" s="69"/>
    </row>
    <row r="388" spans="1:20" x14ac:dyDescent="0.2">
      <c r="A388" s="1"/>
      <c r="H388" s="28"/>
      <c r="T388" s="69"/>
    </row>
    <row r="389" spans="1:20" x14ac:dyDescent="0.2">
      <c r="A389" s="1"/>
      <c r="H389" s="28"/>
      <c r="T389" s="69"/>
    </row>
    <row r="390" spans="1:20" x14ac:dyDescent="0.2">
      <c r="A390" s="1"/>
      <c r="H390" s="28"/>
      <c r="T390" s="69"/>
    </row>
    <row r="391" spans="1:20" x14ac:dyDescent="0.2">
      <c r="A391" s="1"/>
      <c r="H391" s="28"/>
      <c r="T391" s="69"/>
    </row>
    <row r="392" spans="1:20" x14ac:dyDescent="0.2">
      <c r="A392" s="1"/>
      <c r="H392" s="28"/>
      <c r="T392" s="69"/>
    </row>
    <row r="393" spans="1:20" x14ac:dyDescent="0.2">
      <c r="A393" s="1"/>
      <c r="H393" s="28"/>
      <c r="T393" s="69"/>
    </row>
    <row r="394" spans="1:20" x14ac:dyDescent="0.2">
      <c r="A394" s="1"/>
      <c r="H394" s="28"/>
      <c r="T394" s="69"/>
    </row>
    <row r="395" spans="1:20" x14ac:dyDescent="0.2">
      <c r="A395" s="1"/>
      <c r="H395" s="28"/>
      <c r="T395" s="69"/>
    </row>
    <row r="396" spans="1:20" x14ac:dyDescent="0.2">
      <c r="A396" s="1"/>
      <c r="H396" s="28"/>
      <c r="T396" s="69"/>
    </row>
    <row r="397" spans="1:20" x14ac:dyDescent="0.2">
      <c r="A397" s="1"/>
      <c r="H397" s="28"/>
      <c r="T397" s="69"/>
    </row>
    <row r="398" spans="1:20" x14ac:dyDescent="0.2">
      <c r="A398" s="1"/>
      <c r="H398" s="28"/>
      <c r="T398" s="69"/>
    </row>
    <row r="399" spans="1:20" x14ac:dyDescent="0.2">
      <c r="A399" s="1"/>
      <c r="H399" s="28"/>
      <c r="T399" s="69"/>
    </row>
    <row r="400" spans="1:20" x14ac:dyDescent="0.2">
      <c r="A400" s="1"/>
      <c r="H400" s="28"/>
      <c r="T400" s="69"/>
    </row>
    <row r="401" spans="1:20" x14ac:dyDescent="0.2">
      <c r="A401" s="1"/>
      <c r="H401" s="28"/>
      <c r="T401" s="69"/>
    </row>
    <row r="402" spans="1:20" x14ac:dyDescent="0.2">
      <c r="A402" s="1"/>
      <c r="H402" s="28"/>
      <c r="T402" s="69"/>
    </row>
    <row r="403" spans="1:20" x14ac:dyDescent="0.2">
      <c r="A403" s="1"/>
      <c r="H403" s="28"/>
      <c r="T403" s="69"/>
    </row>
    <row r="404" spans="1:20" x14ac:dyDescent="0.2">
      <c r="A404" s="1"/>
      <c r="H404" s="28"/>
      <c r="T404" s="69"/>
    </row>
    <row r="405" spans="1:20" x14ac:dyDescent="0.2">
      <c r="A405" s="1"/>
      <c r="H405" s="28"/>
      <c r="T405" s="69"/>
    </row>
    <row r="406" spans="1:20" x14ac:dyDescent="0.2">
      <c r="A406" s="1"/>
      <c r="H406" s="28"/>
      <c r="T406" s="69"/>
    </row>
    <row r="407" spans="1:20" x14ac:dyDescent="0.2">
      <c r="A407" s="1"/>
      <c r="H407" s="28"/>
      <c r="T407" s="69"/>
    </row>
    <row r="408" spans="1:20" x14ac:dyDescent="0.2">
      <c r="A408" s="1"/>
      <c r="H408" s="28"/>
      <c r="T408" s="69"/>
    </row>
    <row r="409" spans="1:20" x14ac:dyDescent="0.2">
      <c r="A409" s="1"/>
      <c r="H409" s="28"/>
      <c r="T409" s="69"/>
    </row>
    <row r="410" spans="1:20" x14ac:dyDescent="0.2">
      <c r="A410" s="1"/>
      <c r="H410" s="28"/>
      <c r="T410" s="69"/>
    </row>
    <row r="411" spans="1:20" x14ac:dyDescent="0.2">
      <c r="A411" s="1"/>
      <c r="H411" s="28"/>
      <c r="T411" s="69"/>
    </row>
    <row r="412" spans="1:20" x14ac:dyDescent="0.2">
      <c r="A412" s="1"/>
      <c r="H412" s="28"/>
      <c r="T412" s="69"/>
    </row>
    <row r="413" spans="1:20" x14ac:dyDescent="0.2">
      <c r="A413" s="1"/>
      <c r="H413" s="28"/>
      <c r="T413" s="69"/>
    </row>
    <row r="414" spans="1:20" x14ac:dyDescent="0.2">
      <c r="A414" s="1"/>
      <c r="H414" s="28"/>
      <c r="T414" s="69"/>
    </row>
    <row r="415" spans="1:20" x14ac:dyDescent="0.2">
      <c r="A415" s="1"/>
      <c r="H415" s="28"/>
      <c r="T415" s="69"/>
    </row>
    <row r="416" spans="1:20" x14ac:dyDescent="0.2">
      <c r="A416" s="1"/>
      <c r="H416" s="28"/>
      <c r="T416" s="69"/>
    </row>
    <row r="417" spans="1:20" x14ac:dyDescent="0.2">
      <c r="A417" s="1"/>
      <c r="H417" s="28"/>
      <c r="T417" s="69"/>
    </row>
    <row r="418" spans="1:20" x14ac:dyDescent="0.2">
      <c r="A418" s="1"/>
      <c r="H418" s="28"/>
      <c r="T418" s="69"/>
    </row>
    <row r="419" spans="1:20" x14ac:dyDescent="0.2">
      <c r="A419" s="1"/>
      <c r="H419" s="28"/>
      <c r="T419" s="69"/>
    </row>
    <row r="420" spans="1:20" x14ac:dyDescent="0.2">
      <c r="A420" s="1"/>
      <c r="H420" s="28"/>
      <c r="T420" s="69"/>
    </row>
    <row r="421" spans="1:20" x14ac:dyDescent="0.2">
      <c r="A421" s="1"/>
      <c r="H421" s="28"/>
      <c r="T421" s="69"/>
    </row>
    <row r="422" spans="1:20" x14ac:dyDescent="0.2">
      <c r="A422" s="1"/>
      <c r="H422" s="28"/>
      <c r="T422" s="69"/>
    </row>
    <row r="423" spans="1:20" x14ac:dyDescent="0.2">
      <c r="A423" s="1"/>
      <c r="H423" s="28"/>
      <c r="T423" s="69"/>
    </row>
    <row r="424" spans="1:20" x14ac:dyDescent="0.2">
      <c r="A424" s="1"/>
      <c r="H424" s="28"/>
      <c r="T424" s="69"/>
    </row>
    <row r="425" spans="1:20" x14ac:dyDescent="0.2">
      <c r="A425" s="1"/>
      <c r="H425" s="28"/>
      <c r="T425" s="69"/>
    </row>
    <row r="426" spans="1:20" x14ac:dyDescent="0.2">
      <c r="A426" s="1"/>
      <c r="H426" s="28"/>
      <c r="T426" s="69"/>
    </row>
    <row r="427" spans="1:20" x14ac:dyDescent="0.2">
      <c r="A427" s="1"/>
      <c r="H427" s="28"/>
      <c r="T427" s="69"/>
    </row>
    <row r="428" spans="1:20" x14ac:dyDescent="0.2">
      <c r="A428" s="1"/>
      <c r="H428" s="28"/>
      <c r="T428" s="69"/>
    </row>
    <row r="429" spans="1:20" x14ac:dyDescent="0.2">
      <c r="A429" s="1"/>
      <c r="H429" s="28"/>
      <c r="T429" s="69"/>
    </row>
    <row r="430" spans="1:20" x14ac:dyDescent="0.2">
      <c r="A430" s="1"/>
      <c r="H430" s="28"/>
      <c r="T430" s="69"/>
    </row>
    <row r="431" spans="1:20" x14ac:dyDescent="0.2">
      <c r="A431" s="1"/>
      <c r="H431" s="28"/>
      <c r="T431" s="69"/>
    </row>
    <row r="432" spans="1:20" x14ac:dyDescent="0.2">
      <c r="A432" s="1"/>
      <c r="H432" s="28"/>
      <c r="T432" s="69"/>
    </row>
    <row r="433" spans="1:20" x14ac:dyDescent="0.2">
      <c r="A433" s="1"/>
      <c r="H433" s="28"/>
      <c r="T433" s="69"/>
    </row>
    <row r="434" spans="1:20" x14ac:dyDescent="0.2">
      <c r="A434" s="1"/>
      <c r="H434" s="28"/>
      <c r="T434" s="69"/>
    </row>
    <row r="435" spans="1:20" x14ac:dyDescent="0.2">
      <c r="A435" s="1"/>
      <c r="H435" s="28"/>
      <c r="T435" s="69"/>
    </row>
    <row r="436" spans="1:20" x14ac:dyDescent="0.2">
      <c r="A436" s="1"/>
      <c r="H436" s="28"/>
      <c r="T436" s="69"/>
    </row>
    <row r="437" spans="1:20" x14ac:dyDescent="0.2">
      <c r="A437" s="1"/>
      <c r="H437" s="28"/>
      <c r="T437" s="69"/>
    </row>
    <row r="438" spans="1:20" x14ac:dyDescent="0.2">
      <c r="A438" s="1"/>
      <c r="H438" s="28"/>
      <c r="T438" s="69"/>
    </row>
    <row r="439" spans="1:20" x14ac:dyDescent="0.2">
      <c r="A439" s="1"/>
      <c r="H439" s="28"/>
      <c r="T439" s="69"/>
    </row>
    <row r="440" spans="1:20" x14ac:dyDescent="0.2">
      <c r="A440" s="1"/>
      <c r="H440" s="28"/>
      <c r="T440" s="69"/>
    </row>
    <row r="441" spans="1:20" x14ac:dyDescent="0.2">
      <c r="A441" s="1"/>
      <c r="H441" s="28"/>
      <c r="T441" s="69"/>
    </row>
    <row r="442" spans="1:20" x14ac:dyDescent="0.2">
      <c r="A442" s="1"/>
      <c r="H442" s="28"/>
      <c r="T442" s="69"/>
    </row>
    <row r="443" spans="1:20" x14ac:dyDescent="0.2">
      <c r="A443" s="1"/>
      <c r="H443" s="28"/>
      <c r="T443" s="69"/>
    </row>
    <row r="444" spans="1:20" x14ac:dyDescent="0.2">
      <c r="A444" s="1"/>
      <c r="H444" s="28"/>
      <c r="T444" s="69"/>
    </row>
    <row r="445" spans="1:20" x14ac:dyDescent="0.2">
      <c r="A445" s="1"/>
      <c r="H445" s="28"/>
      <c r="T445" s="69"/>
    </row>
    <row r="446" spans="1:20" x14ac:dyDescent="0.2">
      <c r="A446" s="1"/>
      <c r="H446" s="28"/>
      <c r="T446" s="69"/>
    </row>
    <row r="447" spans="1:20" x14ac:dyDescent="0.2">
      <c r="A447" s="1"/>
      <c r="H447" s="28"/>
      <c r="T447" s="69"/>
    </row>
    <row r="448" spans="1:20" x14ac:dyDescent="0.2">
      <c r="A448" s="1"/>
      <c r="H448" s="28"/>
      <c r="T448" s="69"/>
    </row>
    <row r="449" spans="1:20" x14ac:dyDescent="0.2">
      <c r="A449" s="1"/>
      <c r="H449" s="28"/>
      <c r="T449" s="69"/>
    </row>
    <row r="450" spans="1:20" x14ac:dyDescent="0.2">
      <c r="A450" s="1"/>
      <c r="H450" s="28"/>
      <c r="T450" s="69"/>
    </row>
    <row r="451" spans="1:20" x14ac:dyDescent="0.2">
      <c r="A451" s="1"/>
      <c r="H451" s="28"/>
      <c r="T451" s="69"/>
    </row>
    <row r="452" spans="1:20" x14ac:dyDescent="0.2">
      <c r="A452" s="1"/>
      <c r="H452" s="28"/>
      <c r="T452" s="69"/>
    </row>
    <row r="453" spans="1:20" x14ac:dyDescent="0.2">
      <c r="A453" s="1"/>
      <c r="H453" s="28"/>
      <c r="T453" s="69"/>
    </row>
    <row r="454" spans="1:20" x14ac:dyDescent="0.2">
      <c r="A454" s="1"/>
      <c r="H454" s="28"/>
      <c r="T454" s="69"/>
    </row>
    <row r="455" spans="1:20" x14ac:dyDescent="0.2">
      <c r="A455" s="1"/>
      <c r="H455" s="28"/>
      <c r="T455" s="69"/>
    </row>
    <row r="456" spans="1:20" x14ac:dyDescent="0.2">
      <c r="A456" s="1"/>
      <c r="H456" s="28"/>
      <c r="T456" s="69"/>
    </row>
    <row r="457" spans="1:20" x14ac:dyDescent="0.2">
      <c r="A457" s="1"/>
      <c r="H457" s="28"/>
      <c r="T457" s="69"/>
    </row>
    <row r="458" spans="1:20" x14ac:dyDescent="0.2">
      <c r="A458" s="1"/>
      <c r="H458" s="28"/>
      <c r="T458" s="69"/>
    </row>
    <row r="459" spans="1:20" x14ac:dyDescent="0.2">
      <c r="A459" s="1"/>
      <c r="H459" s="28"/>
      <c r="T459" s="69"/>
    </row>
    <row r="460" spans="1:20" x14ac:dyDescent="0.2">
      <c r="A460" s="1"/>
      <c r="H460" s="28"/>
      <c r="T460" s="69"/>
    </row>
    <row r="461" spans="1:20" x14ac:dyDescent="0.2">
      <c r="A461" s="1"/>
      <c r="H461" s="28"/>
      <c r="T461" s="69"/>
    </row>
    <row r="462" spans="1:20" x14ac:dyDescent="0.2">
      <c r="A462" s="1"/>
      <c r="H462" s="28"/>
      <c r="T462" s="69"/>
    </row>
    <row r="463" spans="1:20" x14ac:dyDescent="0.2">
      <c r="A463" s="1"/>
      <c r="H463" s="28"/>
      <c r="T463" s="69"/>
    </row>
    <row r="464" spans="1:20" x14ac:dyDescent="0.2">
      <c r="A464" s="1"/>
      <c r="H464" s="28"/>
      <c r="T464" s="69"/>
    </row>
    <row r="465" spans="1:20" x14ac:dyDescent="0.2">
      <c r="A465" s="1"/>
      <c r="H465" s="28"/>
      <c r="T465" s="69"/>
    </row>
    <row r="466" spans="1:20" x14ac:dyDescent="0.2">
      <c r="A466" s="1"/>
      <c r="H466" s="28"/>
      <c r="T466" s="69"/>
    </row>
    <row r="467" spans="1:20" x14ac:dyDescent="0.2">
      <c r="A467" s="1"/>
      <c r="H467" s="28"/>
      <c r="T467" s="69"/>
    </row>
    <row r="468" spans="1:20" x14ac:dyDescent="0.2">
      <c r="A468" s="1"/>
      <c r="H468" s="28"/>
      <c r="T468" s="69"/>
    </row>
    <row r="469" spans="1:20" x14ac:dyDescent="0.2">
      <c r="A469" s="1"/>
      <c r="H469" s="28"/>
      <c r="T469" s="69"/>
    </row>
    <row r="470" spans="1:20" x14ac:dyDescent="0.2">
      <c r="A470" s="1"/>
      <c r="H470" s="28"/>
      <c r="T470" s="69"/>
    </row>
    <row r="471" spans="1:20" x14ac:dyDescent="0.2">
      <c r="A471" s="1"/>
      <c r="H471" s="28"/>
      <c r="T471" s="69"/>
    </row>
    <row r="472" spans="1:20" x14ac:dyDescent="0.2">
      <c r="A472" s="1"/>
      <c r="H472" s="28"/>
      <c r="T472" s="69"/>
    </row>
    <row r="473" spans="1:20" x14ac:dyDescent="0.2">
      <c r="A473" s="1"/>
      <c r="H473" s="28"/>
      <c r="T473" s="69"/>
    </row>
    <row r="474" spans="1:20" x14ac:dyDescent="0.2">
      <c r="A474" s="1"/>
      <c r="H474" s="28"/>
      <c r="T474" s="69"/>
    </row>
    <row r="475" spans="1:20" x14ac:dyDescent="0.2">
      <c r="A475" s="1"/>
      <c r="H475" s="28"/>
      <c r="T475" s="69"/>
    </row>
    <row r="476" spans="1:20" x14ac:dyDescent="0.2">
      <c r="A476" s="1"/>
      <c r="H476" s="28"/>
      <c r="T476" s="69"/>
    </row>
    <row r="477" spans="1:20" x14ac:dyDescent="0.2">
      <c r="A477" s="1"/>
      <c r="H477" s="28"/>
      <c r="T477" s="69"/>
    </row>
    <row r="478" spans="1:20" x14ac:dyDescent="0.2">
      <c r="A478" s="1"/>
      <c r="H478" s="28"/>
      <c r="T478" s="69"/>
    </row>
    <row r="479" spans="1:20" x14ac:dyDescent="0.2">
      <c r="A479" s="1"/>
      <c r="H479" s="28"/>
      <c r="T479" s="69"/>
    </row>
    <row r="480" spans="1:20" x14ac:dyDescent="0.2">
      <c r="A480" s="1"/>
      <c r="H480" s="28"/>
      <c r="T480" s="69"/>
    </row>
    <row r="481" spans="1:20" x14ac:dyDescent="0.2">
      <c r="A481" s="1"/>
      <c r="H481" s="28"/>
      <c r="T481" s="69"/>
    </row>
    <row r="482" spans="1:20" x14ac:dyDescent="0.2">
      <c r="A482" s="1"/>
      <c r="H482" s="28"/>
      <c r="T482" s="69"/>
    </row>
    <row r="483" spans="1:20" x14ac:dyDescent="0.2">
      <c r="A483" s="1"/>
      <c r="H483" s="28"/>
      <c r="T483" s="69"/>
    </row>
    <row r="484" spans="1:20" x14ac:dyDescent="0.2">
      <c r="A484" s="1"/>
      <c r="H484" s="28"/>
      <c r="T484" s="69"/>
    </row>
    <row r="485" spans="1:20" x14ac:dyDescent="0.2">
      <c r="A485" s="1"/>
      <c r="H485" s="28"/>
      <c r="T485" s="69"/>
    </row>
    <row r="486" spans="1:20" x14ac:dyDescent="0.2">
      <c r="A486" s="1"/>
      <c r="H486" s="28"/>
      <c r="T486" s="69"/>
    </row>
    <row r="487" spans="1:20" x14ac:dyDescent="0.2">
      <c r="A487" s="1"/>
      <c r="H487" s="28"/>
      <c r="T487" s="69"/>
    </row>
    <row r="488" spans="1:20" x14ac:dyDescent="0.2">
      <c r="A488" s="1"/>
      <c r="H488" s="28"/>
      <c r="T488" s="69"/>
    </row>
    <row r="489" spans="1:20" x14ac:dyDescent="0.2">
      <c r="A489" s="1"/>
      <c r="H489" s="28"/>
      <c r="T489" s="69"/>
    </row>
    <row r="490" spans="1:20" x14ac:dyDescent="0.2">
      <c r="A490" s="1"/>
      <c r="H490" s="28"/>
      <c r="T490" s="69"/>
    </row>
    <row r="491" spans="1:20" x14ac:dyDescent="0.2">
      <c r="A491" s="1"/>
      <c r="H491" s="28"/>
      <c r="T491" s="69"/>
    </row>
    <row r="492" spans="1:20" x14ac:dyDescent="0.2">
      <c r="A492" s="1"/>
      <c r="H492" s="28"/>
      <c r="T492" s="69"/>
    </row>
    <row r="493" spans="1:20" x14ac:dyDescent="0.2">
      <c r="A493" s="1"/>
      <c r="H493" s="28"/>
      <c r="T493" s="69"/>
    </row>
    <row r="494" spans="1:20" x14ac:dyDescent="0.2">
      <c r="A494" s="1"/>
      <c r="H494" s="28"/>
      <c r="T494" s="69"/>
    </row>
    <row r="495" spans="1:20" x14ac:dyDescent="0.2">
      <c r="A495" s="1"/>
      <c r="H495" s="28"/>
      <c r="T495" s="69"/>
    </row>
    <row r="496" spans="1:20" x14ac:dyDescent="0.2">
      <c r="A496" s="1"/>
      <c r="H496" s="28"/>
      <c r="T496" s="69"/>
    </row>
    <row r="497" spans="1:8" x14ac:dyDescent="0.2">
      <c r="A497" s="1"/>
      <c r="H497" s="28"/>
    </row>
    <row r="498" spans="1:8" x14ac:dyDescent="0.2">
      <c r="A498" s="1"/>
      <c r="H498" s="28"/>
    </row>
    <row r="499" spans="1:8" x14ac:dyDescent="0.2">
      <c r="A499" s="1"/>
      <c r="H499" s="28"/>
    </row>
    <row r="500" spans="1:8" x14ac:dyDescent="0.2">
      <c r="A500" s="1"/>
      <c r="H500" s="28"/>
    </row>
    <row r="501" spans="1:8" x14ac:dyDescent="0.2">
      <c r="A501" s="1"/>
      <c r="H501" s="28"/>
    </row>
    <row r="502" spans="1:8" x14ac:dyDescent="0.2">
      <c r="A502" s="1"/>
      <c r="H502" s="28"/>
    </row>
    <row r="503" spans="1:8" x14ac:dyDescent="0.2">
      <c r="A503" s="1"/>
      <c r="H503" s="28"/>
    </row>
    <row r="504" spans="1:8" x14ac:dyDescent="0.2">
      <c r="A504" s="1"/>
      <c r="H504" s="28"/>
    </row>
    <row r="505" spans="1:8" x14ac:dyDescent="0.2">
      <c r="A505" s="1"/>
      <c r="H505" s="28"/>
    </row>
    <row r="506" spans="1:8" x14ac:dyDescent="0.2">
      <c r="A506" s="1"/>
      <c r="H506" s="28"/>
    </row>
    <row r="507" spans="1:8" x14ac:dyDescent="0.2">
      <c r="A507" s="1"/>
      <c r="H507" s="28"/>
    </row>
    <row r="508" spans="1:8" x14ac:dyDescent="0.2">
      <c r="A508" s="1"/>
      <c r="H508" s="28"/>
    </row>
    <row r="509" spans="1:8" x14ac:dyDescent="0.2">
      <c r="A509" s="1"/>
      <c r="H509" s="28"/>
    </row>
    <row r="510" spans="1:8" x14ac:dyDescent="0.2">
      <c r="A510" s="1"/>
      <c r="H510" s="28"/>
    </row>
    <row r="511" spans="1:8" x14ac:dyDescent="0.2">
      <c r="A511" s="1"/>
      <c r="H511" s="28"/>
    </row>
    <row r="512" spans="1:8" x14ac:dyDescent="0.2">
      <c r="A512" s="1"/>
      <c r="H512" s="28"/>
    </row>
    <row r="513" spans="1:8" x14ac:dyDescent="0.2">
      <c r="A513" s="1"/>
      <c r="H513" s="28"/>
    </row>
    <row r="514" spans="1:8" x14ac:dyDescent="0.2">
      <c r="A514" s="1"/>
      <c r="H514" s="28"/>
    </row>
    <row r="515" spans="1:8" x14ac:dyDescent="0.2">
      <c r="A515" s="1"/>
      <c r="H515" s="28"/>
    </row>
    <row r="516" spans="1:8" x14ac:dyDescent="0.2">
      <c r="A516" s="1"/>
      <c r="H516" s="28"/>
    </row>
    <row r="517" spans="1:8" x14ac:dyDescent="0.2">
      <c r="A517" s="1"/>
      <c r="H517" s="28"/>
    </row>
    <row r="518" spans="1:8" x14ac:dyDescent="0.2">
      <c r="A518" s="1"/>
      <c r="H518" s="28"/>
    </row>
    <row r="519" spans="1:8" x14ac:dyDescent="0.2">
      <c r="A519" s="1"/>
      <c r="H519" s="28"/>
    </row>
    <row r="520" spans="1:8" x14ac:dyDescent="0.2">
      <c r="A520" s="1"/>
      <c r="H520" s="28"/>
    </row>
    <row r="521" spans="1:8" x14ac:dyDescent="0.2">
      <c r="A521" s="1"/>
      <c r="H521" s="28"/>
    </row>
    <row r="522" spans="1:8" x14ac:dyDescent="0.2">
      <c r="A522" s="1"/>
      <c r="H522" s="28"/>
    </row>
    <row r="523" spans="1:8" x14ac:dyDescent="0.2">
      <c r="A523" s="1"/>
      <c r="H523" s="28"/>
    </row>
    <row r="524" spans="1:8" x14ac:dyDescent="0.2">
      <c r="A524" s="1"/>
      <c r="H524" s="28"/>
    </row>
    <row r="525" spans="1:8" x14ac:dyDescent="0.2">
      <c r="A525" s="1"/>
      <c r="H525" s="28"/>
    </row>
    <row r="526" spans="1:8" x14ac:dyDescent="0.2">
      <c r="A526" s="1"/>
      <c r="H526" s="28"/>
    </row>
    <row r="527" spans="1:8" x14ac:dyDescent="0.2">
      <c r="A527" s="1"/>
      <c r="H527" s="28"/>
    </row>
    <row r="528" spans="1:8" x14ac:dyDescent="0.2">
      <c r="A528" s="1"/>
      <c r="H528" s="28"/>
    </row>
    <row r="529" spans="1:8" x14ac:dyDescent="0.2">
      <c r="A529" s="1"/>
      <c r="H529" s="28"/>
    </row>
    <row r="530" spans="1:8" x14ac:dyDescent="0.2">
      <c r="A530" s="1"/>
      <c r="H530" s="28"/>
    </row>
    <row r="531" spans="1:8" x14ac:dyDescent="0.2">
      <c r="A531" s="1"/>
      <c r="H531" s="28"/>
    </row>
    <row r="532" spans="1:8" x14ac:dyDescent="0.2">
      <c r="A532" s="1"/>
      <c r="H532" s="28"/>
    </row>
    <row r="533" spans="1:8" x14ac:dyDescent="0.2">
      <c r="A533" s="1"/>
      <c r="H533" s="28"/>
    </row>
    <row r="534" spans="1:8" x14ac:dyDescent="0.2">
      <c r="A534" s="1"/>
      <c r="H534" s="28"/>
    </row>
    <row r="535" spans="1:8" x14ac:dyDescent="0.2">
      <c r="A535" s="1"/>
      <c r="H535" s="28"/>
    </row>
    <row r="536" spans="1:8" x14ac:dyDescent="0.2">
      <c r="A536" s="1"/>
      <c r="H536" s="28"/>
    </row>
    <row r="537" spans="1:8" x14ac:dyDescent="0.2">
      <c r="A537" s="1"/>
      <c r="H537" s="28"/>
    </row>
    <row r="538" spans="1:8" x14ac:dyDescent="0.2">
      <c r="A538" s="1"/>
      <c r="H538" s="28"/>
    </row>
    <row r="539" spans="1:8" x14ac:dyDescent="0.2">
      <c r="A539" s="1"/>
      <c r="H539" s="28"/>
    </row>
    <row r="540" spans="1:8" x14ac:dyDescent="0.2">
      <c r="A540" s="1"/>
      <c r="H540" s="28"/>
    </row>
    <row r="541" spans="1:8" x14ac:dyDescent="0.2">
      <c r="A541" s="1"/>
      <c r="H541" s="28"/>
    </row>
    <row r="542" spans="1:8" x14ac:dyDescent="0.2">
      <c r="A542" s="1"/>
      <c r="H542" s="28"/>
    </row>
    <row r="543" spans="1:8" x14ac:dyDescent="0.2">
      <c r="A543" s="1"/>
      <c r="H543" s="28"/>
    </row>
    <row r="544" spans="1:8" x14ac:dyDescent="0.2">
      <c r="A544" s="1"/>
      <c r="H544" s="28"/>
    </row>
    <row r="545" spans="1:8" x14ac:dyDescent="0.2">
      <c r="A545" s="1"/>
      <c r="H545" s="28"/>
    </row>
    <row r="546" spans="1:8" x14ac:dyDescent="0.2">
      <c r="A546" s="1"/>
      <c r="H546" s="28"/>
    </row>
    <row r="547" spans="1:8" x14ac:dyDescent="0.2">
      <c r="A547" s="1"/>
      <c r="H547" s="28"/>
    </row>
    <row r="548" spans="1:8" x14ac:dyDescent="0.2">
      <c r="A548" s="1"/>
      <c r="H548" s="28"/>
    </row>
    <row r="549" spans="1:8" x14ac:dyDescent="0.2">
      <c r="A549" s="1"/>
      <c r="H549" s="28"/>
    </row>
    <row r="550" spans="1:8" x14ac:dyDescent="0.2">
      <c r="A550" s="1"/>
      <c r="H550" s="28"/>
    </row>
    <row r="551" spans="1:8" x14ac:dyDescent="0.2">
      <c r="A551" s="1"/>
      <c r="H551" s="28"/>
    </row>
    <row r="552" spans="1:8" x14ac:dyDescent="0.2">
      <c r="A552" s="1"/>
      <c r="H552" s="28"/>
    </row>
    <row r="553" spans="1:8" x14ac:dyDescent="0.2">
      <c r="A553" s="1"/>
      <c r="H553" s="28"/>
    </row>
    <row r="554" spans="1:8" x14ac:dyDescent="0.2">
      <c r="A554" s="1"/>
      <c r="H554" s="28"/>
    </row>
    <row r="555" spans="1:8" x14ac:dyDescent="0.2">
      <c r="A555" s="1"/>
      <c r="H555" s="28"/>
    </row>
    <row r="556" spans="1:8" x14ac:dyDescent="0.2">
      <c r="H556" s="28"/>
    </row>
    <row r="557" spans="1:8" x14ac:dyDescent="0.2">
      <c r="H557" s="28"/>
    </row>
    <row r="558" spans="1:8" x14ac:dyDescent="0.2">
      <c r="H558" s="28"/>
    </row>
    <row r="559" spans="1:8" x14ac:dyDescent="0.2">
      <c r="H559" s="28"/>
    </row>
    <row r="560" spans="1:8" x14ac:dyDescent="0.2">
      <c r="H560" s="28"/>
    </row>
    <row r="561" spans="8:8" x14ac:dyDescent="0.2">
      <c r="H561" s="28"/>
    </row>
    <row r="562" spans="8:8" x14ac:dyDescent="0.2">
      <c r="H562" s="28"/>
    </row>
    <row r="563" spans="8:8" x14ac:dyDescent="0.2">
      <c r="H563" s="28"/>
    </row>
    <row r="564" spans="8:8" x14ac:dyDescent="0.2">
      <c r="H564" s="28"/>
    </row>
    <row r="565" spans="8:8" x14ac:dyDescent="0.2">
      <c r="H565" s="28"/>
    </row>
    <row r="566" spans="8:8" x14ac:dyDescent="0.2">
      <c r="H566" s="28"/>
    </row>
    <row r="567" spans="8:8" x14ac:dyDescent="0.2">
      <c r="H567" s="28"/>
    </row>
    <row r="568" spans="8:8" x14ac:dyDescent="0.2">
      <c r="H568" s="28"/>
    </row>
    <row r="569" spans="8:8" x14ac:dyDescent="0.2">
      <c r="H569" s="28"/>
    </row>
    <row r="570" spans="8:8" x14ac:dyDescent="0.2">
      <c r="H570" s="28"/>
    </row>
    <row r="571" spans="8:8" x14ac:dyDescent="0.2">
      <c r="H571" s="28"/>
    </row>
    <row r="572" spans="8:8" x14ac:dyDescent="0.2">
      <c r="H572" s="28"/>
    </row>
    <row r="573" spans="8:8" x14ac:dyDescent="0.2">
      <c r="H573" s="28"/>
    </row>
    <row r="574" spans="8:8" x14ac:dyDescent="0.2">
      <c r="H574" s="28"/>
    </row>
    <row r="575" spans="8:8" x14ac:dyDescent="0.2">
      <c r="H575" s="28"/>
    </row>
    <row r="576" spans="8:8" x14ac:dyDescent="0.2">
      <c r="H576" s="28"/>
    </row>
    <row r="577" spans="8:8" x14ac:dyDescent="0.2">
      <c r="H577" s="28"/>
    </row>
    <row r="578" spans="8:8" x14ac:dyDescent="0.2">
      <c r="H578" s="28"/>
    </row>
    <row r="579" spans="8:8" x14ac:dyDescent="0.2">
      <c r="H579" s="28"/>
    </row>
    <row r="580" spans="8:8" x14ac:dyDescent="0.2">
      <c r="H580" s="28"/>
    </row>
    <row r="581" spans="8:8" x14ac:dyDescent="0.2">
      <c r="H581" s="28"/>
    </row>
    <row r="582" spans="8:8" x14ac:dyDescent="0.2">
      <c r="H582" s="28"/>
    </row>
    <row r="583" spans="8:8" x14ac:dyDescent="0.2">
      <c r="H583" s="28"/>
    </row>
    <row r="584" spans="8:8" x14ac:dyDescent="0.2">
      <c r="H584" s="28"/>
    </row>
    <row r="585" spans="8:8" x14ac:dyDescent="0.2">
      <c r="H585" s="28"/>
    </row>
    <row r="586" spans="8:8" x14ac:dyDescent="0.2">
      <c r="H586" s="28"/>
    </row>
    <row r="587" spans="8:8" x14ac:dyDescent="0.2">
      <c r="H587" s="28"/>
    </row>
    <row r="588" spans="8:8" x14ac:dyDescent="0.2">
      <c r="H588" s="28"/>
    </row>
    <row r="589" spans="8:8" x14ac:dyDescent="0.2">
      <c r="H589" s="28"/>
    </row>
    <row r="590" spans="8:8" x14ac:dyDescent="0.2">
      <c r="H590" s="28"/>
    </row>
    <row r="591" spans="8:8" x14ac:dyDescent="0.2">
      <c r="H591" s="28"/>
    </row>
    <row r="592" spans="8:8" x14ac:dyDescent="0.2">
      <c r="H592" s="28"/>
    </row>
    <row r="593" spans="8:8" x14ac:dyDescent="0.2">
      <c r="H593" s="28"/>
    </row>
    <row r="594" spans="8:8" x14ac:dyDescent="0.2">
      <c r="H594" s="28"/>
    </row>
    <row r="595" spans="8:8" x14ac:dyDescent="0.2">
      <c r="H595" s="28"/>
    </row>
    <row r="596" spans="8:8" x14ac:dyDescent="0.2">
      <c r="H596" s="28"/>
    </row>
    <row r="597" spans="8:8" x14ac:dyDescent="0.2">
      <c r="H597" s="28"/>
    </row>
    <row r="598" spans="8:8" x14ac:dyDescent="0.2">
      <c r="H598" s="28"/>
    </row>
    <row r="599" spans="8:8" x14ac:dyDescent="0.2">
      <c r="H599" s="28"/>
    </row>
    <row r="600" spans="8:8" x14ac:dyDescent="0.2">
      <c r="H600" s="28"/>
    </row>
    <row r="601" spans="8:8" x14ac:dyDescent="0.2">
      <c r="H601" s="28"/>
    </row>
    <row r="602" spans="8:8" x14ac:dyDescent="0.2">
      <c r="H602" s="28"/>
    </row>
    <row r="603" spans="8:8" x14ac:dyDescent="0.2">
      <c r="H603" s="28"/>
    </row>
    <row r="604" spans="8:8" x14ac:dyDescent="0.2">
      <c r="H604" s="28"/>
    </row>
    <row r="605" spans="8:8" x14ac:dyDescent="0.2">
      <c r="H605" s="28"/>
    </row>
    <row r="606" spans="8:8" x14ac:dyDescent="0.2">
      <c r="H606" s="28"/>
    </row>
    <row r="607" spans="8:8" x14ac:dyDescent="0.2">
      <c r="H607" s="28"/>
    </row>
    <row r="608" spans="8:8" x14ac:dyDescent="0.2">
      <c r="H608" s="28"/>
    </row>
    <row r="609" spans="8:8" x14ac:dyDescent="0.2">
      <c r="H609" s="28"/>
    </row>
    <row r="610" spans="8:8" x14ac:dyDescent="0.2">
      <c r="H610" s="28"/>
    </row>
    <row r="611" spans="8:8" x14ac:dyDescent="0.2">
      <c r="H611" s="28"/>
    </row>
    <row r="612" spans="8:8" x14ac:dyDescent="0.2">
      <c r="H612" s="28"/>
    </row>
    <row r="613" spans="8:8" x14ac:dyDescent="0.2">
      <c r="H613" s="28"/>
    </row>
    <row r="614" spans="8:8" x14ac:dyDescent="0.2">
      <c r="H614" s="28"/>
    </row>
    <row r="615" spans="8:8" x14ac:dyDescent="0.2">
      <c r="H615" s="28"/>
    </row>
    <row r="616" spans="8:8" x14ac:dyDescent="0.2">
      <c r="H616" s="28"/>
    </row>
    <row r="617" spans="8:8" x14ac:dyDescent="0.2">
      <c r="H617" s="28"/>
    </row>
    <row r="618" spans="8:8" x14ac:dyDescent="0.2">
      <c r="H618" s="28"/>
    </row>
    <row r="619" spans="8:8" x14ac:dyDescent="0.2">
      <c r="H619" s="28"/>
    </row>
    <row r="620" spans="8:8" x14ac:dyDescent="0.2">
      <c r="H620" s="28"/>
    </row>
    <row r="621" spans="8:8" x14ac:dyDescent="0.2">
      <c r="H621" s="28"/>
    </row>
    <row r="622" spans="8:8" x14ac:dyDescent="0.2">
      <c r="H622" s="28"/>
    </row>
    <row r="623" spans="8:8" x14ac:dyDescent="0.2">
      <c r="H623" s="28"/>
    </row>
    <row r="624" spans="8:8" x14ac:dyDescent="0.2">
      <c r="H624" s="28"/>
    </row>
    <row r="625" spans="8:8" x14ac:dyDescent="0.2">
      <c r="H625" s="28"/>
    </row>
    <row r="626" spans="8:8" x14ac:dyDescent="0.2">
      <c r="H626" s="28"/>
    </row>
    <row r="627" spans="8:8" x14ac:dyDescent="0.2">
      <c r="H627" s="28"/>
    </row>
    <row r="628" spans="8:8" x14ac:dyDescent="0.2">
      <c r="H628" s="28"/>
    </row>
    <row r="629" spans="8:8" x14ac:dyDescent="0.2">
      <c r="H629" s="28"/>
    </row>
    <row r="630" spans="8:8" x14ac:dyDescent="0.2">
      <c r="H630" s="28"/>
    </row>
    <row r="631" spans="8:8" x14ac:dyDescent="0.2">
      <c r="H631" s="28"/>
    </row>
    <row r="632" spans="8:8" x14ac:dyDescent="0.2">
      <c r="H632" s="28"/>
    </row>
    <row r="633" spans="8:8" x14ac:dyDescent="0.2">
      <c r="H633" s="28"/>
    </row>
    <row r="634" spans="8:8" x14ac:dyDescent="0.2">
      <c r="H634" s="28"/>
    </row>
    <row r="635" spans="8:8" x14ac:dyDescent="0.2">
      <c r="H635" s="28"/>
    </row>
  </sheetData>
  <conditionalFormatting sqref="O2:O276">
    <cfRule type="cellIs" dxfId="1" priority="1" operator="equal">
      <formula>#REF!</formula>
    </cfRule>
  </conditionalFormatting>
  <pageMargins left="0.5" right="0.5" top="1" bottom="1" header="0.5" footer="0.5"/>
  <pageSetup orientation="portrait" useFirstPageNumber="1" r:id="rId1"/>
  <headerFooter>
    <oddHeader>&amp;C&amp;"Times New Roman,Regular"&amp;12&amp;A</oddHeader>
    <oddFooter>&amp;C&amp;"Times New Roman,Regular"&amp;12Page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8D1A9-5AB9-4059-AFBC-D2720D0E3ABE}">
  <dimension ref="A1:CQ635"/>
  <sheetViews>
    <sheetView topLeftCell="T1" zoomScale="70" zoomScaleNormal="70" workbookViewId="0">
      <pane ySplit="1" topLeftCell="A2" activePane="bottomLeft" state="frozen"/>
      <selection pane="bottomLeft" activeCell="U1" sqref="U1"/>
    </sheetView>
  </sheetViews>
  <sheetFormatPr defaultRowHeight="12.75" x14ac:dyDescent="0.2"/>
  <cols>
    <col min="1" max="1" width="7.5703125" customWidth="1"/>
    <col min="2" max="2" width="54.85546875" customWidth="1"/>
    <col min="3" max="3" width="10.7109375" customWidth="1"/>
    <col min="4" max="4" width="8.140625" customWidth="1"/>
    <col min="5" max="5" width="9" customWidth="1"/>
    <col min="6" max="6" width="8" bestFit="1" customWidth="1"/>
    <col min="7" max="7" width="10.5703125" customWidth="1"/>
    <col min="8" max="8" width="16.140625" customWidth="1"/>
    <col min="9" max="10" width="9.7109375" customWidth="1"/>
    <col min="11" max="11" width="10" customWidth="1"/>
    <col min="12" max="12" width="15.42578125" customWidth="1"/>
    <col min="13" max="14" width="20.7109375" customWidth="1"/>
    <col min="15" max="15" width="15" customWidth="1"/>
    <col min="16" max="16" width="21.140625" customWidth="1"/>
    <col min="17" max="17" width="38.7109375" customWidth="1"/>
    <col min="18" max="18" width="18.140625" customWidth="1"/>
    <col min="19" max="19" width="53.85546875" customWidth="1"/>
    <col min="20" max="20" width="32.5703125" customWidth="1"/>
    <col min="21" max="21" width="27" customWidth="1"/>
    <col min="22" max="22" width="30.7109375" customWidth="1"/>
    <col min="23" max="23" width="14.140625" customWidth="1"/>
    <col min="24" max="31" width="6.85546875" customWidth="1"/>
    <col min="32" max="32" width="5.5703125" customWidth="1"/>
    <col min="33" max="33" width="10.85546875" customWidth="1"/>
    <col min="34" max="34" width="11" customWidth="1"/>
    <col min="35" max="35" width="10.42578125" customWidth="1"/>
    <col min="36" max="36" width="10.28515625" customWidth="1"/>
    <col min="37" max="37" width="10.5703125" customWidth="1"/>
    <col min="38" max="38" width="8.28515625" customWidth="1"/>
    <col min="39" max="39" width="9.7109375" customWidth="1"/>
    <col min="40" max="40" width="8.7109375" customWidth="1"/>
    <col min="41" max="41" width="10.85546875" customWidth="1"/>
    <col min="42" max="42" width="9.42578125" customWidth="1"/>
    <col min="43" max="43" width="8.85546875" customWidth="1"/>
    <col min="44" max="44" width="9.28515625" customWidth="1"/>
    <col min="45" max="45" width="8.7109375" customWidth="1"/>
    <col min="46" max="46" width="15" customWidth="1"/>
    <col min="47" max="47" width="13.28515625" customWidth="1"/>
    <col min="48" max="55" width="7.5703125" customWidth="1"/>
    <col min="56" max="56" width="8" customWidth="1"/>
    <col min="57" max="58" width="9.85546875" customWidth="1"/>
    <col min="59" max="59" width="9.28515625" customWidth="1"/>
    <col min="60" max="60" width="8.7109375" customWidth="1"/>
    <col min="61" max="61" width="12.28515625" customWidth="1"/>
    <col min="62" max="62" width="7.42578125" customWidth="1"/>
    <col min="63" max="63" width="10.85546875" customWidth="1"/>
    <col min="64" max="64" width="10.28515625" customWidth="1"/>
    <col min="65" max="65" width="10.7109375" customWidth="1"/>
    <col min="66" max="66" width="9.85546875" customWidth="1"/>
    <col min="67" max="67" width="10.28515625" customWidth="1"/>
    <col min="68" max="68" width="10.42578125" customWidth="1"/>
    <col min="69" max="69" width="8" customWidth="1"/>
    <col min="70" max="70" width="24.28515625" customWidth="1"/>
    <col min="71" max="71" width="17.28515625" customWidth="1"/>
    <col min="73" max="73" width="25.140625" customWidth="1"/>
    <col min="75" max="82" width="7.28515625" customWidth="1"/>
  </cols>
  <sheetData>
    <row r="1" spans="1:95" s="2" customFormat="1" ht="51" x14ac:dyDescent="0.2">
      <c r="B1" s="22" t="s">
        <v>624</v>
      </c>
      <c r="C1" s="37" t="s">
        <v>1927</v>
      </c>
      <c r="D1" s="37" t="s">
        <v>478</v>
      </c>
      <c r="E1" s="37" t="s">
        <v>978</v>
      </c>
      <c r="F1" s="37" t="s">
        <v>980</v>
      </c>
      <c r="G1" s="37" t="s">
        <v>982</v>
      </c>
      <c r="H1" s="37" t="s">
        <v>1925</v>
      </c>
      <c r="I1" s="37" t="s">
        <v>1926</v>
      </c>
      <c r="J1" s="37" t="s">
        <v>979</v>
      </c>
      <c r="K1" s="37" t="s">
        <v>702</v>
      </c>
      <c r="L1" s="2" t="s">
        <v>625</v>
      </c>
      <c r="M1" s="22" t="s">
        <v>3604</v>
      </c>
      <c r="N1" s="8" t="s">
        <v>3624</v>
      </c>
      <c r="O1" s="37" t="s">
        <v>3605</v>
      </c>
      <c r="P1" s="22" t="s">
        <v>3606</v>
      </c>
      <c r="Q1" s="22" t="s">
        <v>627</v>
      </c>
      <c r="R1" s="2" t="s">
        <v>985</v>
      </c>
      <c r="S1" s="22" t="s">
        <v>628</v>
      </c>
      <c r="T1" s="8" t="s">
        <v>628</v>
      </c>
      <c r="V1" s="8" t="s">
        <v>624</v>
      </c>
      <c r="W1" s="8" t="s">
        <v>3570</v>
      </c>
      <c r="X1" s="8" t="s">
        <v>105</v>
      </c>
      <c r="Y1" s="8" t="s">
        <v>324</v>
      </c>
      <c r="Z1" s="8" t="s">
        <v>309</v>
      </c>
      <c r="AA1" s="8" t="s">
        <v>443</v>
      </c>
      <c r="AB1" s="8" t="s">
        <v>107</v>
      </c>
      <c r="AC1" s="8" t="s">
        <v>3959</v>
      </c>
      <c r="AD1" s="8" t="s">
        <v>377</v>
      </c>
      <c r="AE1" s="8" t="s">
        <v>161</v>
      </c>
      <c r="AF1" s="8"/>
      <c r="AG1" s="71" t="s">
        <v>87</v>
      </c>
      <c r="AH1" s="71" t="s">
        <v>253</v>
      </c>
      <c r="AI1" s="71" t="s">
        <v>290</v>
      </c>
      <c r="AJ1" s="71" t="s">
        <v>632</v>
      </c>
      <c r="AK1" s="71" t="s">
        <v>195</v>
      </c>
      <c r="AL1" s="71"/>
      <c r="AM1" s="71" t="s">
        <v>619</v>
      </c>
      <c r="AN1" s="71" t="s">
        <v>620</v>
      </c>
      <c r="AO1" s="71" t="s">
        <v>621</v>
      </c>
      <c r="AP1" s="71" t="s">
        <v>622</v>
      </c>
      <c r="AQ1" s="71" t="s">
        <v>633</v>
      </c>
      <c r="AR1" s="8" t="s">
        <v>1924</v>
      </c>
      <c r="AS1" s="8"/>
      <c r="AT1" s="8" t="s">
        <v>625</v>
      </c>
      <c r="AU1" s="8" t="s">
        <v>3570</v>
      </c>
      <c r="AV1" s="8" t="s">
        <v>105</v>
      </c>
      <c r="AW1" s="8" t="s">
        <v>324</v>
      </c>
      <c r="AX1" s="8" t="s">
        <v>309</v>
      </c>
      <c r="AY1" s="8" t="s">
        <v>443</v>
      </c>
      <c r="AZ1" s="8" t="s">
        <v>107</v>
      </c>
      <c r="BA1" s="8" t="s">
        <v>3959</v>
      </c>
      <c r="BB1" s="8" t="s">
        <v>377</v>
      </c>
      <c r="BC1" s="8" t="s">
        <v>161</v>
      </c>
      <c r="BD1" s="8"/>
      <c r="BE1" s="71" t="s">
        <v>87</v>
      </c>
      <c r="BF1" s="71" t="s">
        <v>253</v>
      </c>
      <c r="BG1" s="71" t="s">
        <v>290</v>
      </c>
      <c r="BH1" s="71" t="s">
        <v>632</v>
      </c>
      <c r="BI1" s="71" t="s">
        <v>195</v>
      </c>
      <c r="BJ1" s="71"/>
      <c r="BK1" s="71" t="s">
        <v>619</v>
      </c>
      <c r="BL1" s="71" t="s">
        <v>620</v>
      </c>
      <c r="BM1" s="71" t="s">
        <v>621</v>
      </c>
      <c r="BN1" s="71" t="s">
        <v>622</v>
      </c>
      <c r="BO1" s="71" t="s">
        <v>633</v>
      </c>
      <c r="BP1" s="8" t="s">
        <v>1924</v>
      </c>
      <c r="BQ1" s="8"/>
      <c r="BR1" s="8" t="s">
        <v>3624</v>
      </c>
      <c r="BS1" s="8" t="s">
        <v>3570</v>
      </c>
      <c r="BT1" s="8"/>
      <c r="BU1" s="8" t="s">
        <v>635</v>
      </c>
      <c r="BV1" s="8" t="s">
        <v>3570</v>
      </c>
      <c r="BW1" s="8" t="s">
        <v>105</v>
      </c>
      <c r="BX1" s="8" t="s">
        <v>324</v>
      </c>
      <c r="BY1" s="8" t="s">
        <v>309</v>
      </c>
      <c r="BZ1" s="8" t="s">
        <v>443</v>
      </c>
      <c r="CA1" s="8" t="s">
        <v>107</v>
      </c>
      <c r="CB1" s="8" t="s">
        <v>3959</v>
      </c>
      <c r="CC1" s="8" t="s">
        <v>377</v>
      </c>
      <c r="CD1" s="8" t="s">
        <v>161</v>
      </c>
      <c r="CE1" s="8"/>
      <c r="CF1" s="71" t="s">
        <v>87</v>
      </c>
      <c r="CG1" s="71" t="s">
        <v>253</v>
      </c>
      <c r="CH1" s="71" t="s">
        <v>290</v>
      </c>
      <c r="CI1" s="71" t="s">
        <v>632</v>
      </c>
      <c r="CJ1" s="71" t="s">
        <v>195</v>
      </c>
      <c r="CK1" s="71"/>
      <c r="CL1" s="71" t="s">
        <v>619</v>
      </c>
      <c r="CM1" s="71" t="s">
        <v>620</v>
      </c>
      <c r="CN1" s="71" t="s">
        <v>621</v>
      </c>
      <c r="CO1" s="71" t="s">
        <v>622</v>
      </c>
      <c r="CP1" s="71" t="s">
        <v>633</v>
      </c>
      <c r="CQ1" s="8" t="s">
        <v>1924</v>
      </c>
    </row>
    <row r="2" spans="1:95" s="1" customFormat="1" ht="25.5" x14ac:dyDescent="0.2">
      <c r="A2" s="1">
        <v>1</v>
      </c>
      <c r="B2" s="1" t="s">
        <v>88</v>
      </c>
      <c r="C2" s="39" t="s">
        <v>84</v>
      </c>
      <c r="D2" s="39" t="s">
        <v>84</v>
      </c>
      <c r="E2" s="39" t="s">
        <v>84</v>
      </c>
      <c r="F2" s="39" t="s">
        <v>84</v>
      </c>
      <c r="G2" s="39"/>
      <c r="H2" s="39" t="s">
        <v>82</v>
      </c>
      <c r="I2" s="39"/>
      <c r="J2" s="39"/>
      <c r="K2" s="39"/>
      <c r="L2" s="1" t="s">
        <v>82</v>
      </c>
      <c r="N2" s="21"/>
      <c r="O2" s="1" t="s">
        <v>82</v>
      </c>
      <c r="R2" s="1" t="s">
        <v>82</v>
      </c>
      <c r="S2" s="7" t="s">
        <v>89</v>
      </c>
      <c r="T2" s="21" t="s">
        <v>3712</v>
      </c>
      <c r="V2" s="1" t="s">
        <v>478</v>
      </c>
      <c r="W2" s="1">
        <f>COUNTIF($D$2:$D$496,"Yes")</f>
        <v>266</v>
      </c>
      <c r="X2" s="1">
        <f>COUNTIFS($D$2:$D$496,"Yes",'1'!$B$2:$B$496,"*flow cytometry*")</f>
        <v>49</v>
      </c>
      <c r="Y2" s="1">
        <f>COUNTIFS($D$2:$D$496,"Yes",'1'!$B$2:$B$496,"*genomics*")</f>
        <v>33</v>
      </c>
      <c r="Z2" s="1">
        <f>COUNTIFS($D$2:$D$496,"Yes",'1'!$B$2:$B$496,"*histology*")</f>
        <v>11</v>
      </c>
      <c r="AA2" s="1">
        <f>COUNTIFS($D$2:$D$496,"Yes",'1'!$B$2:$B$496,"*metabolomics*")</f>
        <v>8</v>
      </c>
      <c r="AB2" s="1">
        <f>COUNTIFS($D$2:$D$496,"Yes",'1'!$B$2:$B$496,"*microscopy*")</f>
        <v>60</v>
      </c>
      <c r="AC2" s="1">
        <f>COUNTIFS($D$2:$D$496,"Yes",'1'!$B$2:$B$496,"*mouse*")</f>
        <v>15</v>
      </c>
      <c r="AD2" s="1">
        <f>COUNTIFS($D$2:$D$496,"Yes",'1'!$B$2:$B$496,"*protein expression*")</f>
        <v>8</v>
      </c>
      <c r="AE2" s="1">
        <f>COUNTIFS($D$2:$D$496,"Yes",'1'!$B$2:$B$496,"*proteomics*")</f>
        <v>32</v>
      </c>
      <c r="AG2">
        <f>COUNTIFS($D$2:$D$496,"Yes",'1'!$I$2:$I$496,"*1-4*")</f>
        <v>174</v>
      </c>
      <c r="AH2">
        <f>COUNTIFS($D$2:$D$496,"Yes",'1'!$I$2:$I$496,"*5-8*")</f>
        <v>54</v>
      </c>
      <c r="AI2">
        <f>COUNTIFS($D$2:$D$496,"Yes",'1'!$I$2:$I$496,"*9-12*")</f>
        <v>17</v>
      </c>
      <c r="AJ2">
        <f>COUNTIFS($D$2:$D$496,"Yes",'1'!$I$2:$I$496,"*13-16*")</f>
        <v>8</v>
      </c>
      <c r="AK2">
        <f>COUNTIFS($D$2:$D$496,"Yes",'1'!$I$2:$I$496,"*&gt;16*")</f>
        <v>13</v>
      </c>
      <c r="AM2">
        <f>COUNTIFS($D$2:$D$496,"Yes",'1'!$J$2:$J$496,"*1-20*")</f>
        <v>122</v>
      </c>
      <c r="AN2">
        <f>COUNTIFS($D$2:$D$496,"Yes",'1'!$J$2:$J$496,"*21-40*")</f>
        <v>62</v>
      </c>
      <c r="AO2">
        <f>COUNTIFS($D$2:$D$496,"Yes",'1'!$J$2:$J$496,"*41-60*")</f>
        <v>33</v>
      </c>
      <c r="AP2">
        <f>COUNTIFS($D$2:$D$496,"Yes",'1'!$J$2:$J$496,"*61-80*")</f>
        <v>12</v>
      </c>
      <c r="AQ2">
        <f>COUNTIFS($D$2:$D$496,"Yes",'1'!$J$2:$J$496,"*81-100*")</f>
        <v>10</v>
      </c>
      <c r="AR2">
        <f>COUNTIFS($D$2:$D$496,"Yes",'1'!$J$2:$J$496,"*&gt; 100*")</f>
        <v>27</v>
      </c>
      <c r="AT2" t="s">
        <v>81</v>
      </c>
      <c r="AU2">
        <f>COUNTIF($L$2:$L$496,"Yes")</f>
        <v>103</v>
      </c>
      <c r="AV2">
        <f>COUNTIFS($L$2:$L$496,"Yes",'1'!$B$2:$B$496,"*flow cytometry*")</f>
        <v>20</v>
      </c>
      <c r="AW2">
        <f>COUNTIFS($L$2:$L$496,"Yes",'1'!$B$2:$B$496,"*genomics*")</f>
        <v>19</v>
      </c>
      <c r="AX2">
        <f>COUNTIFS($L$2:$L$496,"Yes",'1'!$B$2:$B$496,"*histology*")</f>
        <v>5</v>
      </c>
      <c r="AY2">
        <f>COUNTIFS($L$2:$L$496,"Yes",'1'!$B$2:$B$496,"*metabolomics*")</f>
        <v>2</v>
      </c>
      <c r="AZ2">
        <f>COUNTIFS($L$2:$L$496,"Yes",'1'!$B$2:$B$496,"*microscopy*")</f>
        <v>21</v>
      </c>
      <c r="BA2">
        <f>COUNTIFS($L$2:$L$496,"Yes",'1'!$B$2:$B$496,"*mouse*")</f>
        <v>6</v>
      </c>
      <c r="BB2">
        <f>COUNTIFS($L$2:$L$496,"Yes",'1'!$B$2:$B$496,"*protein expression*")</f>
        <v>4</v>
      </c>
      <c r="BC2">
        <f>COUNTIFS($L$2:$L$496,"Yes",'1'!$B$2:$B$496,"*proteomics*")</f>
        <v>16</v>
      </c>
      <c r="BD2"/>
      <c r="BE2">
        <f>COUNTIFS($L$2:$L$496,"Yes",'1'!$I$2:$I$496,"*1-4*")</f>
        <v>63</v>
      </c>
      <c r="BF2">
        <f>COUNTIFS($L$2:$L$496,"Yes",'1'!$I$2:$I$496,"*5-8*")</f>
        <v>25</v>
      </c>
      <c r="BG2">
        <f>COUNTIFS($L$2:$L$496,"Yes",'1'!$I$2:$I$496,"*9-12*")</f>
        <v>6</v>
      </c>
      <c r="BH2">
        <f>COUNTIFS($L$2:$L$496,"Yes",'1'!$I$2:$I$496,"*13-16*")</f>
        <v>3</v>
      </c>
      <c r="BI2">
        <f>COUNTIFS($L$2:$L$496,"Yes",'1'!$I$2:$I$496,"*&gt;16*")</f>
        <v>6</v>
      </c>
      <c r="BK2">
        <f>COUNTIFS($L$2:$L$496,"Yes",'1'!$J$2:$J$496,"*1-20*")</f>
        <v>40</v>
      </c>
      <c r="BL2">
        <f>COUNTIFS($L$2:$L$496,"Yes",'1'!$J$2:$J$496,"*21-40*")</f>
        <v>28</v>
      </c>
      <c r="BM2">
        <f>COUNTIFS($L$2:$L$496,"Yes",'1'!$J$2:$J$496,"*41-60*")</f>
        <v>10</v>
      </c>
      <c r="BN2">
        <f>COUNTIFS($L$2:$L$496,"Yes",'1'!$J$2:$J$496,"*61-80*")</f>
        <v>4</v>
      </c>
      <c r="BO2">
        <f>COUNTIFS($L$2:$L$496,"Yes",'1'!$J$2:$J$496,"*81-100*")</f>
        <v>4</v>
      </c>
      <c r="BP2">
        <f>COUNTIFS($L$2:$L$496,"Yes",'1'!$J$2:$J$496,"*&gt; 100*")</f>
        <v>17</v>
      </c>
      <c r="BQ2"/>
      <c r="BR2" t="s">
        <v>1113</v>
      </c>
      <c r="BS2">
        <f>COUNTIF(N$2:N$496,"*management*")</f>
        <v>20</v>
      </c>
      <c r="BU2" s="9" t="s">
        <v>81</v>
      </c>
      <c r="BV2" s="9">
        <f>COUNTIF(O$2:O$496,"Yes")</f>
        <v>80</v>
      </c>
      <c r="BW2">
        <f>COUNTIFS($O$2:$O$496,"Yes",'1'!$B$2:$B$496,"*flow cytometry*")</f>
        <v>13</v>
      </c>
      <c r="BX2">
        <f>COUNTIFS($O$2:$O$496,"Yes",'1'!$B$2:$B$496,"*genomics*")</f>
        <v>16</v>
      </c>
      <c r="BY2">
        <f>COUNTIFS($O$2:$O$496,"Yes",'1'!$B$2:$B$496,"*histology*")</f>
        <v>4</v>
      </c>
      <c r="BZ2">
        <f>COUNTIFS($O$2:$O$496,"Yes",'1'!$B$2:$B$496,"*metabolomics*")</f>
        <v>4</v>
      </c>
      <c r="CA2">
        <f>COUNTIFS($O$2:$O$496,"Yes",'1'!$B$2:$B$496,"*microscopy*")</f>
        <v>13</v>
      </c>
      <c r="CB2">
        <f>COUNTIFS($O$2:$O$496,"Yes",'1'!$B$2:$B$496,"*mouse*")</f>
        <v>2</v>
      </c>
      <c r="CC2">
        <f>COUNTIFS($O$2:$O$496,"Yes",'1'!$B$2:$B$496,"*protein expression*")</f>
        <v>3</v>
      </c>
      <c r="CD2">
        <f>COUNTIFS($O$2:$O$496,"Yes",'1'!$B$2:$B$496,"*proteomics*")</f>
        <v>11</v>
      </c>
      <c r="CF2">
        <f>COUNTIFS($O$2:$O$496,"Yes",'1'!$I$2:$I$496,"*1-4*")</f>
        <v>44</v>
      </c>
      <c r="CG2">
        <f>COUNTIFS($O$2:$O$496,"Yes",'1'!$I$2:$I$496,"*5-8*")</f>
        <v>16</v>
      </c>
      <c r="CH2">
        <f>COUNTIFS($O$2:$O$496,"Yes",'1'!$I$2:$I$496,"*9-12*")</f>
        <v>9</v>
      </c>
      <c r="CI2">
        <f>COUNTIFS($O$2:$O$496,"Yes",'1'!$I$2:$I$496,"*13-16*")</f>
        <v>5</v>
      </c>
      <c r="CJ2">
        <f>COUNTIFS($O$2:$O$496,"Yes",'1'!$I$2:$I$496,"*&gt;16*")</f>
        <v>6</v>
      </c>
      <c r="CL2">
        <f>COUNTIFS($O$2:$O$496,"Yes",'1'!$J$2:$J$496,"*1-20*")</f>
        <v>27</v>
      </c>
      <c r="CM2">
        <f>COUNTIFS($O$2:$O$496,"Yes",'1'!$J$2:$J$496,"*21-40*")</f>
        <v>19</v>
      </c>
      <c r="CN2">
        <f>COUNTIFS($O$2:$O$496,"Yes",'1'!$J$2:$J$496,"*41-60*")</f>
        <v>12</v>
      </c>
      <c r="CO2">
        <f>COUNTIFS($O$2:$O$496,"Yes",'1'!$J$2:$J$496,"*61-80*")</f>
        <v>7</v>
      </c>
      <c r="CP2">
        <f>COUNTIFS($O$2:$O$496,"Yes",'1'!$J$2:$J$496,"*81-100*")</f>
        <v>3</v>
      </c>
      <c r="CQ2">
        <f>COUNTIFS($O$2:$O$496,"Yes",'1'!$J$2:$J$496,"*&gt; 100*")</f>
        <v>12</v>
      </c>
    </row>
    <row r="3" spans="1:95" s="1" customFormat="1" ht="25.5" x14ac:dyDescent="0.2">
      <c r="A3" s="1">
        <v>2</v>
      </c>
      <c r="B3" s="1" t="s">
        <v>110</v>
      </c>
      <c r="C3" s="39" t="s">
        <v>84</v>
      </c>
      <c r="D3" s="39"/>
      <c r="E3" s="39"/>
      <c r="F3" s="39"/>
      <c r="G3" s="39"/>
      <c r="H3" s="39" t="s">
        <v>82</v>
      </c>
      <c r="I3" s="39"/>
      <c r="J3" s="39"/>
      <c r="K3" s="39"/>
      <c r="L3" s="1" t="s">
        <v>82</v>
      </c>
      <c r="N3" s="21"/>
      <c r="O3" s="1" t="s">
        <v>82</v>
      </c>
      <c r="R3" s="1" t="s">
        <v>82</v>
      </c>
      <c r="S3" s="7"/>
      <c r="T3" s="21"/>
      <c r="V3" s="1" t="s">
        <v>977</v>
      </c>
      <c r="W3" s="1">
        <f>COUNTIF($C$2:$C$496,"Yes")</f>
        <v>255</v>
      </c>
      <c r="X3" s="1">
        <f>COUNTIFS($C$2:$C$496,"Yes",'1'!$B$2:$B$496,"*flow cytometry*")</f>
        <v>44</v>
      </c>
      <c r="Y3" s="1">
        <f>COUNTIFS($C$2:$C$496,"Yes",'1'!$B$2:$B$496,"*genomics*")</f>
        <v>31</v>
      </c>
      <c r="Z3" s="1">
        <f>COUNTIFS($C$2:$C$496,"Yes",'1'!$B$2:$B$496,"*histology*")</f>
        <v>10</v>
      </c>
      <c r="AA3" s="1">
        <f>COUNTIFS($C$2:$C$496,"Yes",'1'!$B$2:$B$496,"*metabolomics*")</f>
        <v>8</v>
      </c>
      <c r="AB3" s="1">
        <f>COUNTIFS($C$2:$C$496,"Yes",'1'!$B$2:$B$496,"*microscopy*")</f>
        <v>60</v>
      </c>
      <c r="AC3" s="1">
        <f>COUNTIFS($C$2:$C$496,"Yes",'1'!$B$2:$B$496,"*mouse*")</f>
        <v>14</v>
      </c>
      <c r="AD3" s="1">
        <f>COUNTIFS($C$2:$C$496,"Yes",'1'!$B$2:$B$496,"*protein expression*")</f>
        <v>8</v>
      </c>
      <c r="AE3" s="1">
        <f>COUNTIFS($C$2:$C$496,"Yes",'1'!$B$2:$B$496,"*proteomics*")</f>
        <v>31</v>
      </c>
      <c r="AG3">
        <f>COUNTIFS($C$2:$C$496,"Yes",'1'!$I$2:$I$496,"*1-4*")</f>
        <v>168</v>
      </c>
      <c r="AH3">
        <f>COUNTIFS($C$2:$C$496,"Yes",'1'!$I$2:$I$496,"*5-8*")</f>
        <v>51</v>
      </c>
      <c r="AI3">
        <f>COUNTIFS($C$2:$C$496,"Yes",'1'!$I$2:$I$496,"*9-12*")</f>
        <v>15</v>
      </c>
      <c r="AJ3">
        <f>COUNTIFS($C$2:$C$496,"Yes",'1'!$I$2:$I$496,"*13-16*")</f>
        <v>8</v>
      </c>
      <c r="AK3">
        <f>COUNTIFS($C$2:$C$496,"Yes",'1'!$I$2:$I$496,"*&gt;16*")</f>
        <v>13</v>
      </c>
      <c r="AM3">
        <f>COUNTIFS($C$2:$C$496,"Yes",'1'!$J$2:$J$496,"*1-20*")</f>
        <v>121</v>
      </c>
      <c r="AN3">
        <f>COUNTIFS($C$2:$C$496,"Yes",'1'!$J$2:$J$496,"*21-40*")</f>
        <v>60</v>
      </c>
      <c r="AO3">
        <f>COUNTIFS($C$2:$C$496,"Yes",'1'!$J$2:$J$496,"*41-60*")</f>
        <v>28</v>
      </c>
      <c r="AP3">
        <f>COUNTIFS($C$2:$C$496,"Yes",'1'!$J$2:$J$496,"*61-80*")</f>
        <v>10</v>
      </c>
      <c r="AQ3">
        <f>COUNTIFS($C$2:$C$496,"Yes",'1'!$J$2:$J$496,"*81-100*")</f>
        <v>10</v>
      </c>
      <c r="AR3">
        <f>COUNTIFS($C$2:$C$496,"Yes",'1'!$J$2:$J$496,"*&gt; 100*")</f>
        <v>26</v>
      </c>
      <c r="AT3" t="s">
        <v>246</v>
      </c>
      <c r="AU3">
        <f>COUNTIF($L$2:$L$496,"No")</f>
        <v>173</v>
      </c>
      <c r="AV3">
        <f>COUNTIFS($L$2:$L$496,"No",'1'!$B$2:$B$496,"*flow cytometry*")</f>
        <v>30</v>
      </c>
      <c r="AW3">
        <f>COUNTIFS($L$2:$L$496,"No",'1'!$B$2:$B$496,"*genomics*")</f>
        <v>14</v>
      </c>
      <c r="AX3">
        <f>COUNTIFS($L$2:$L$496,"No",'1'!$B$2:$B$496,"*histology*")</f>
        <v>6</v>
      </c>
      <c r="AY3">
        <f>COUNTIFS($L$2:$L$496,"No",'1'!$B$2:$B$496,"*metabolomics*")</f>
        <v>6</v>
      </c>
      <c r="AZ3">
        <f>COUNTIFS($L$2:$L$496,"No",'1'!$B$2:$B$496,"*microscopy*")</f>
        <v>42</v>
      </c>
      <c r="BA3">
        <f>COUNTIFS($L$2:$L$496,"No",'1'!$B$2:$B$496,"*mouse*")</f>
        <v>10</v>
      </c>
      <c r="BB3">
        <f>COUNTIFS($L$2:$L$496,"No",'1'!$B$2:$B$496,"*protein expression*")</f>
        <v>4</v>
      </c>
      <c r="BC3">
        <f>COUNTIFS($L$2:$L$496,"No",'1'!$B$2:$B$496,"*proteomics*")</f>
        <v>19</v>
      </c>
      <c r="BD3"/>
      <c r="BE3">
        <f>COUNTIFS($L$2:$L$496,"No",'1'!$I$2:$I$496,"*1-4*")</f>
        <v>119</v>
      </c>
      <c r="BF3">
        <f>COUNTIFS($L$2:$L$496,"No",'1'!$I$2:$I$496,"*5-8*")</f>
        <v>29</v>
      </c>
      <c r="BG3">
        <f>COUNTIFS($L$2:$L$496,"No",'1'!$I$2:$I$496,"*9-12*")</f>
        <v>11</v>
      </c>
      <c r="BH3">
        <f>COUNTIFS($L$2:$L$496,"No",'1'!$I$2:$I$496,"*13-16*")</f>
        <v>5</v>
      </c>
      <c r="BI3">
        <f>COUNTIFS($L$2:$L$496,"No",'1'!$I$2:$I$496,"*&gt;16*")</f>
        <v>9</v>
      </c>
      <c r="BK3">
        <f>COUNTIFS($L$2:$L$496,"No",'1'!$J$2:$J$496,"*1-20*")</f>
        <v>88</v>
      </c>
      <c r="BL3">
        <f>COUNTIFS($L$2:$L$496,"No",'1'!$J$2:$J$496,"*21-40*")</f>
        <v>36</v>
      </c>
      <c r="BM3">
        <f>COUNTIFS($L$2:$L$496,"No",'1'!$J$2:$J$496,"*41-60*")</f>
        <v>24</v>
      </c>
      <c r="BN3">
        <f>COUNTIFS($L$2:$L$496,"No",'1'!$J$2:$J$496,"*61-80*")</f>
        <v>8</v>
      </c>
      <c r="BO3">
        <f>COUNTIFS($L$2:$L$496,"No",'1'!$J$2:$J$496,"*81-100*")</f>
        <v>6</v>
      </c>
      <c r="BP3">
        <f>COUNTIFS($L$2:$L$496,"No",'1'!$J$2:$J$496,"*&gt; 100*")</f>
        <v>11</v>
      </c>
      <c r="BQ3"/>
      <c r="BR3" s="1" t="s">
        <v>3689</v>
      </c>
      <c r="BS3">
        <f>COUNTIF(N$2:N$496,"*chat*")+COUNTIF(N$2:N$496,"*social*")+COUNTIF(N$2:N$496,"*platform*")</f>
        <v>14</v>
      </c>
      <c r="BU3" s="9" t="s">
        <v>3961</v>
      </c>
      <c r="BV3" s="9">
        <f>COUNTIFS(O$2:O$496,"No",R$2:R$496,"Yes")</f>
        <v>93</v>
      </c>
      <c r="BW3">
        <f>COUNTIFS($O$2:$O$496,"No",$R$2:$R$496,"Yes",'1'!$B$2:$B$496,"*flow cytometry*")</f>
        <v>19</v>
      </c>
      <c r="BX3">
        <f>COUNTIFS($O$2:$O$496,"No",$R$2:$R$496,"Yes",'1'!$B$2:$B$496,"*genomics*")</f>
        <v>11</v>
      </c>
      <c r="BY3">
        <f>COUNTIFS($O$2:$O$496,"No",$R$2:$R$496,"Yes",'1'!$B$2:$B$496,"*histology*")</f>
        <v>3</v>
      </c>
      <c r="BZ3">
        <f>COUNTIFS($O$2:$O$496,"No",$R$2:$R$496,"Yes",'1'!$B$2:$B$496,"*metabolomics*")</f>
        <v>0</v>
      </c>
      <c r="CA3">
        <f>COUNTIFS($O$2:$O$496,"No",$R$2:$R$496,"Yes",'1'!$B$2:$B$496,"*microscopy*")</f>
        <v>20</v>
      </c>
      <c r="CB3">
        <f>COUNTIFS($O$2:$O$496,"No",$R$2:$R$496,"Yes",'1'!$B$2:$B$496,"*mouse*")</f>
        <v>6</v>
      </c>
      <c r="CC3">
        <f>COUNTIFS($O$2:$O$496,"No",$R$2:$R$496,"Yes",'1'!$B$2:$B$496,"*protein expression*")</f>
        <v>3</v>
      </c>
      <c r="CD3">
        <f>COUNTIFS($O$2:$O$496,"No",$R$2:$R$496,"Yes",'1'!$B$2:$B$496,"*proteomics*")</f>
        <v>19</v>
      </c>
      <c r="CF3">
        <f>COUNTIFS($O$2:$O$496,"No",$R$2:$R$496,"Yes",'1'!$I$2:$I$496,"*1-4*")</f>
        <v>63</v>
      </c>
      <c r="CG3">
        <f>COUNTIFS($O$2:$O$496,"No",$R$2:$R$496,"Yes",'1'!$I$2:$I$496,"*5-8*")</f>
        <v>21</v>
      </c>
      <c r="CH3">
        <f>COUNTIFS($O$2:$O$496,"No",$R$2:$R$496,"Yes",'1'!$I$2:$I$496,"*9-12*")</f>
        <v>5</v>
      </c>
      <c r="CI3">
        <f>COUNTIFS($O$2:$O$496,"No",$R$2:$R$496,"Yes",'1'!$I$2:$I$496,"*13-16*")</f>
        <v>1</v>
      </c>
      <c r="CJ3">
        <f>COUNTIFS($O$2:$O$496,"No",$R$2:$R$496,"Yes",'1'!$I$2:$I$496,"*&gt;16*")</f>
        <v>3</v>
      </c>
      <c r="CL3">
        <f>COUNTIFS($O$2:$O$496,"No",$R$2:$R$496,"Yes",'1'!$J$2:$J$496,"*1-20*")</f>
        <v>46</v>
      </c>
      <c r="CM3">
        <f>COUNTIFS($O$2:$O$496,"No",$R$2:$R$496,"Yes",'1'!$J$2:$J$496,"*21-40*")</f>
        <v>20</v>
      </c>
      <c r="CN3">
        <f>COUNTIFS($O$2:$O$496,"No",$R$2:$R$496,"Yes",'1'!$J$2:$J$496,"*41-60*")</f>
        <v>12</v>
      </c>
      <c r="CO3">
        <f>COUNTIFS($O$2:$O$496,"No",$R$2:$R$496,"Yes",'1'!$J$2:$J$496,"*61-80*")</f>
        <v>0</v>
      </c>
      <c r="CP3">
        <f>COUNTIFS($O$2:$O$496,"No",$R$2:$R$496,"Yes",'1'!$J$2:$J$496,"*81-100*")</f>
        <v>4</v>
      </c>
      <c r="CQ3">
        <f>COUNTIFS($O$2:$O$496,"No",$R$2:$R$496,"Yes",'1'!$J$2:$J$496,"*&gt; 100*")</f>
        <v>11</v>
      </c>
    </row>
    <row r="4" spans="1:95" s="1" customFormat="1" x14ac:dyDescent="0.2">
      <c r="A4" s="1">
        <v>3</v>
      </c>
      <c r="B4" s="1" t="s">
        <v>122</v>
      </c>
      <c r="C4" s="39" t="s">
        <v>84</v>
      </c>
      <c r="D4" s="39" t="s">
        <v>84</v>
      </c>
      <c r="E4" s="39"/>
      <c r="F4" s="39"/>
      <c r="G4" s="39"/>
      <c r="H4" s="39" t="s">
        <v>82</v>
      </c>
      <c r="I4" s="39"/>
      <c r="J4" s="39"/>
      <c r="K4" s="39"/>
      <c r="L4" s="1" t="s">
        <v>82</v>
      </c>
      <c r="N4" s="21"/>
      <c r="O4" s="1" t="s">
        <v>82</v>
      </c>
      <c r="R4" s="1" t="s">
        <v>84</v>
      </c>
      <c r="S4" s="7" t="s">
        <v>123</v>
      </c>
      <c r="T4" s="21"/>
      <c r="V4" s="1" t="s">
        <v>978</v>
      </c>
      <c r="W4" s="1">
        <f>COUNTIF($E$2:$E$496,"Yes")</f>
        <v>176</v>
      </c>
      <c r="X4" s="1">
        <f>COUNTIFS($E$2:$E$496,"Yes",'1'!$B$2:$B$496,"*flow cytometry*")</f>
        <v>29</v>
      </c>
      <c r="Y4" s="1">
        <f>COUNTIFS($E$2:$E$496,"Yes",'1'!$B$2:$B$496,"*genomics*")</f>
        <v>24</v>
      </c>
      <c r="Z4" s="1">
        <f>COUNTIFS($E$2:$E$496,"Yes",'1'!$B$2:$B$496,"*histology*")</f>
        <v>6</v>
      </c>
      <c r="AA4" s="1">
        <f>COUNTIFS($E$2:$E$496,"Yes",'1'!$B$2:$B$496,"*metabolomics*")</f>
        <v>4</v>
      </c>
      <c r="AB4" s="1">
        <f>COUNTIFS($E$2:$E$496,"Yes",'1'!$B$2:$B$496,"*microscopy*")</f>
        <v>36</v>
      </c>
      <c r="AC4" s="1">
        <f>COUNTIFS($E$2:$E$496,"Yes",'1'!$B$2:$B$496,"*mouse*")</f>
        <v>9</v>
      </c>
      <c r="AD4" s="1">
        <f>COUNTIFS($E$2:$E$496,"Yes",'1'!$B$2:$B$496,"*protein expression*")</f>
        <v>7</v>
      </c>
      <c r="AE4" s="1">
        <f>COUNTIFS($E$2:$E$496,"Yes",'1'!$B$2:$B$496,"*proteomics*")</f>
        <v>26</v>
      </c>
      <c r="AG4">
        <f>COUNTIFS($E$2:$E$496,"Yes",'1'!$I$2:$I$496,"*1-4*")</f>
        <v>112</v>
      </c>
      <c r="AH4">
        <f>COUNTIFS($E$2:$E$496,"Yes",'1'!$I$2:$I$496,"*5-8*")</f>
        <v>38</v>
      </c>
      <c r="AI4">
        <f>COUNTIFS($E$2:$E$496,"Yes",'1'!$I$2:$I$496,"*9-12*")</f>
        <v>10</v>
      </c>
      <c r="AJ4">
        <f>COUNTIFS($E$2:$E$496,"Yes",'1'!$I$2:$I$496,"*13-16*")</f>
        <v>7</v>
      </c>
      <c r="AK4">
        <f>COUNTIFS($E$2:$E$496,"Yes",'1'!$I$2:$I$496,"*&gt;16*")</f>
        <v>9</v>
      </c>
      <c r="AM4">
        <f>COUNTIFS($E$2:$E$496,"Yes",'1'!$J$2:$J$496,"*1-20*")</f>
        <v>91</v>
      </c>
      <c r="AN4">
        <f>COUNTIFS($E$2:$E$496,"Yes",'1'!$J$2:$J$496,"*21-40*")</f>
        <v>42</v>
      </c>
      <c r="AO4">
        <f>COUNTIFS($E$2:$E$496,"Yes",'1'!$J$2:$J$496,"*41-60*")</f>
        <v>18</v>
      </c>
      <c r="AP4">
        <f>COUNTIFS($E$2:$E$496,"Yes",'1'!$J$2:$J$496,"*61-80*")</f>
        <v>7</v>
      </c>
      <c r="AQ4">
        <f>COUNTIFS($E$2:$E$496,"Yes",'1'!$J$2:$J$496,"*81-100*")</f>
        <v>5</v>
      </c>
      <c r="AR4">
        <f>COUNTIFS($E$2:$E$496,"Yes",'1'!$J$2:$J$496,"*&gt; 100*")</f>
        <v>13</v>
      </c>
      <c r="AT4"/>
      <c r="AU4">
        <f>SUM(AU2:AU3)</f>
        <v>276</v>
      </c>
      <c r="AV4"/>
      <c r="AW4"/>
      <c r="AX4"/>
      <c r="AY4"/>
      <c r="AZ4"/>
      <c r="BA4"/>
      <c r="BB4"/>
      <c r="BC4"/>
      <c r="BD4"/>
      <c r="BE4"/>
      <c r="BF4"/>
      <c r="BG4"/>
      <c r="BH4"/>
      <c r="BI4"/>
      <c r="BK4"/>
      <c r="BL4"/>
      <c r="BM4"/>
      <c r="BN4"/>
      <c r="BO4"/>
      <c r="BP4"/>
      <c r="BQ4"/>
      <c r="BR4" t="s">
        <v>3688</v>
      </c>
      <c r="BS4">
        <f>COUNTIF(N$2:N$496,"*read*")+COUNTIF(N$2:N$496,"*cooperation*")</f>
        <v>13</v>
      </c>
      <c r="BU4" s="11" t="s">
        <v>4231</v>
      </c>
      <c r="BV4" s="9">
        <f>COUNTIFS(O$2:O$496,"No",R$2:R$496,"No")</f>
        <v>102</v>
      </c>
      <c r="BW4">
        <f>COUNTIFS($O$2:$O$496,"No",$R$2:$R$496,"No",'1'!$B$2:$B$496,"*flow cytometry*")</f>
        <v>18</v>
      </c>
      <c r="BX4">
        <f>COUNTIFS($O$2:$O$496,"No",$R$2:$R$496,"No",'1'!$B$2:$B$496,"*genomics*")</f>
        <v>6</v>
      </c>
      <c r="BY4">
        <f>COUNTIFS($O$2:$O$496,"No",$R$2:$R$496,"No",'1'!$B$2:$B$496,"*histology*")</f>
        <v>4</v>
      </c>
      <c r="BZ4">
        <f>COUNTIFS($O$2:$O$496,"No",$R$2:$R$496,"No",'1'!$B$2:$B$496,"*metabolomics*")</f>
        <v>4</v>
      </c>
      <c r="CA4">
        <f>COUNTIFS($O$2:$O$496,"No",$R$2:$R$496,"No",'1'!$B$2:$B$496,"*microscopy*")</f>
        <v>30</v>
      </c>
      <c r="CB4">
        <f>COUNTIFS($O$2:$O$496,"No",$R$2:$R$496,"No",'1'!$B$2:$B$496,"*mouse*")</f>
        <v>8</v>
      </c>
      <c r="CC4">
        <f>COUNTIFS($O$2:$O$496,"No",$R$2:$R$496,"No",'1'!$B$2:$B$496,"*protein expression*")</f>
        <v>2</v>
      </c>
      <c r="CD4">
        <f>COUNTIFS($O$2:$O$496,"No",$R$2:$R$496,"No",'1'!$B$2:$B$496,"*proteomics*")</f>
        <v>5</v>
      </c>
      <c r="CF4">
        <f>COUNTIFS($O$2:$O$496,"No",$R$2:$R$496,"No",'1'!$I$2:$I$496,"*1-4*")</f>
        <v>74</v>
      </c>
      <c r="CG4">
        <f>COUNTIFS($O$2:$O$496,"No",$R$2:$R$496,"No",'1'!$I$2:$I$496,"*5-8*")</f>
        <v>17</v>
      </c>
      <c r="CH4">
        <f>COUNTIFS($O$2:$O$496,"No",$R$2:$R$496,"No",'1'!$I$2:$I$496,"*9-12*")</f>
        <v>3</v>
      </c>
      <c r="CI4">
        <f>COUNTIFS($O$2:$O$496,"No",$R$2:$R$496,"No",'1'!$I$2:$I$496,"*13-16*")</f>
        <v>2</v>
      </c>
      <c r="CJ4">
        <f>COUNTIFS($O$2:$O$496,"No",$R$2:$R$496,"No",'1'!$I$2:$I$496,"*&gt;16*")</f>
        <v>6</v>
      </c>
      <c r="CL4">
        <f>COUNTIFS($O$2:$O$496,"No",$R$2:$R$496,"No",'1'!$J$2:$J$496,"*1-20*")</f>
        <v>54</v>
      </c>
      <c r="CM4">
        <f>COUNTIFS($O$2:$O$496,"No",$R$2:$R$496,"No",'1'!$J$2:$J$496,"*21-40*")</f>
        <v>25</v>
      </c>
      <c r="CN4">
        <f>COUNTIFS($O$2:$O$496,"No",$R$2:$R$496,"No",'1'!$J$2:$J$496,"*41-60*")</f>
        <v>10</v>
      </c>
      <c r="CO4">
        <f>COUNTIFS($O$2:$O$496,"No",$R$2:$R$496,"No",'1'!$J$2:$J$496,"*61-80*")</f>
        <v>5</v>
      </c>
      <c r="CP4">
        <f>COUNTIFS($O$2:$O$496,"No",$R$2:$R$496,"No",'1'!$J$2:$J$496,"*81-100*")</f>
        <v>3</v>
      </c>
      <c r="CQ4">
        <f>COUNTIFS($O$2:$O$496,"No",$R$2:$R$496,"No",'1'!$J$2:$J$496,"*&gt; 100*")</f>
        <v>5</v>
      </c>
    </row>
    <row r="5" spans="1:95" s="1" customFormat="1" x14ac:dyDescent="0.2">
      <c r="A5" s="1">
        <v>4</v>
      </c>
      <c r="B5" s="1" t="s">
        <v>139</v>
      </c>
      <c r="C5" s="39" t="s">
        <v>84</v>
      </c>
      <c r="D5" s="39" t="s">
        <v>84</v>
      </c>
      <c r="E5" s="39" t="s">
        <v>84</v>
      </c>
      <c r="F5" s="39" t="s">
        <v>84</v>
      </c>
      <c r="G5" s="39" t="s">
        <v>84</v>
      </c>
      <c r="H5" s="39" t="s">
        <v>82</v>
      </c>
      <c r="I5" s="39"/>
      <c r="J5" s="39"/>
      <c r="K5" s="39"/>
      <c r="L5" s="1" t="s">
        <v>82</v>
      </c>
      <c r="N5" s="21"/>
      <c r="O5" s="1" t="s">
        <v>82</v>
      </c>
      <c r="R5" s="1" t="s">
        <v>82</v>
      </c>
      <c r="S5" s="7"/>
      <c r="T5" s="21"/>
      <c r="V5" s="1" t="s">
        <v>981</v>
      </c>
      <c r="W5" s="1">
        <f>COUNTIF($I$2:$I$496,"Yes")</f>
        <v>122</v>
      </c>
      <c r="X5" s="1">
        <f>COUNTIFS($I$2:$I$496,"Yes",'1'!$B$2:$B$496,"*flow cytometry*")</f>
        <v>27</v>
      </c>
      <c r="Y5" s="1">
        <f>COUNTIFS($I$2:$I$496,"Yes",'1'!$B$2:$B$496,"*genomics*")</f>
        <v>17</v>
      </c>
      <c r="Z5" s="1">
        <f>COUNTIFS($I$2:$I$496,"Yes",'1'!$B$2:$B$496,"*histology*")</f>
        <v>5</v>
      </c>
      <c r="AA5" s="1">
        <f>COUNTIFS($I$2:$I$496,"Yes",'1'!$B$2:$B$496,"*metabolomics*")</f>
        <v>4</v>
      </c>
      <c r="AB5" s="1">
        <f>COUNTIFS($I$2:$I$496,"Yes",'1'!$B$2:$B$496,"*microscopy*")</f>
        <v>31</v>
      </c>
      <c r="AC5" s="1">
        <f>COUNTIFS($I$2:$I$496,"Yes",'1'!$B$2:$B$496,"*mouse*")</f>
        <v>3</v>
      </c>
      <c r="AD5" s="1">
        <f>COUNTIFS($I$2:$I$496,"Yes",'1'!$B$2:$B$496,"*protein expression*")</f>
        <v>6</v>
      </c>
      <c r="AE5" s="1">
        <f>COUNTIFS($I$2:$I$496,"Yes",'1'!$B$2:$B$496,"*proteomics*")</f>
        <v>10</v>
      </c>
      <c r="AG5">
        <f>COUNTIFS($I$2:$I$496,"Yes",'1'!$I$2:$I$496,"*1-4*")</f>
        <v>73</v>
      </c>
      <c r="AH5">
        <f>COUNTIFS($I$2:$I$496,"Yes",'1'!$I$2:$I$496,"*5-8*")</f>
        <v>28</v>
      </c>
      <c r="AI5">
        <f>COUNTIFS($I$2:$I$496,"Yes",'1'!$I$2:$I$496,"*9-12*")</f>
        <v>10</v>
      </c>
      <c r="AJ5">
        <f>COUNTIFS($I$2:$I$496,"Yes",'1'!$I$2:$I$496,"*13-16*")</f>
        <v>3</v>
      </c>
      <c r="AK5">
        <f>COUNTIFS($I$2:$I$496,"Yes",'1'!$I$2:$I$496,"*&gt;16*")</f>
        <v>8</v>
      </c>
      <c r="AM5">
        <f>COUNTIFS($I$2:$I$496,"Yes",'1'!$J$2:$J$496,"*1-20*")</f>
        <v>44</v>
      </c>
      <c r="AN5">
        <f>COUNTIFS($I$2:$I$496,"Yes",'1'!$J$2:$J$496,"*21-40*")</f>
        <v>28</v>
      </c>
      <c r="AO5">
        <f>COUNTIFS($I$2:$I$496,"Yes",'1'!$J$2:$J$496,"*41-60*")</f>
        <v>20</v>
      </c>
      <c r="AP5">
        <f>COUNTIFS($I$2:$I$496,"Yes",'1'!$J$2:$J$496,"*61-80*")</f>
        <v>7</v>
      </c>
      <c r="AQ5">
        <f>COUNTIFS($I$2:$I$496,"Yes",'1'!$J$2:$J$496,"*81-100*")</f>
        <v>9</v>
      </c>
      <c r="AR5">
        <f>COUNTIFS($I$2:$I$496,"Yes",'1'!$J$2:$J$496,"*&gt; 100*")</f>
        <v>14</v>
      </c>
      <c r="AT5"/>
      <c r="AU5"/>
      <c r="AV5"/>
      <c r="AW5"/>
      <c r="AX5"/>
      <c r="AY5"/>
      <c r="AZ5"/>
      <c r="BA5"/>
      <c r="BB5"/>
      <c r="BC5"/>
      <c r="BD5"/>
      <c r="BE5"/>
      <c r="BF5"/>
      <c r="BG5"/>
      <c r="BH5"/>
      <c r="BI5"/>
      <c r="BJ5"/>
      <c r="BK5"/>
      <c r="BL5"/>
      <c r="BM5"/>
      <c r="BN5"/>
      <c r="BO5"/>
      <c r="BP5"/>
      <c r="BQ5"/>
      <c r="BR5" s="1" t="s">
        <v>3680</v>
      </c>
      <c r="BS5">
        <f>COUNTIF(N$2:N$496,"*seminar*")</f>
        <v>7</v>
      </c>
      <c r="BU5" s="11"/>
      <c r="BV5" s="11">
        <f>SUM(BV2:BV4)</f>
        <v>275</v>
      </c>
    </row>
    <row r="6" spans="1:95" s="1" customFormat="1" x14ac:dyDescent="0.2">
      <c r="A6" s="1">
        <v>5</v>
      </c>
      <c r="B6" s="1" t="s">
        <v>152</v>
      </c>
      <c r="C6" s="39" t="s">
        <v>84</v>
      </c>
      <c r="D6" s="39" t="s">
        <v>84</v>
      </c>
      <c r="E6" s="39"/>
      <c r="F6" s="39"/>
      <c r="G6" s="39"/>
      <c r="H6" s="39" t="s">
        <v>82</v>
      </c>
      <c r="I6" s="39"/>
      <c r="J6" s="39"/>
      <c r="K6" s="39"/>
      <c r="L6" s="1" t="s">
        <v>82</v>
      </c>
      <c r="N6" s="21"/>
      <c r="O6" s="1" t="s">
        <v>82</v>
      </c>
      <c r="R6" s="1" t="s">
        <v>82</v>
      </c>
      <c r="S6" s="7"/>
      <c r="T6" s="21"/>
      <c r="V6" s="1" t="s">
        <v>980</v>
      </c>
      <c r="W6" s="1">
        <f>COUNTIF($F$2:$F$496,"Yes")</f>
        <v>110</v>
      </c>
      <c r="X6" s="1">
        <f>COUNTIFS($F$2:$F$496,"Yes",'1'!$B$2:$B$496,"*flow cytometry*")</f>
        <v>18</v>
      </c>
      <c r="Y6" s="1">
        <f>COUNTIFS($F$2:$F$496,"Yes",'1'!$B$2:$B$496,"*genomics*")</f>
        <v>18</v>
      </c>
      <c r="Z6" s="1">
        <f>COUNTIFS($F$2:$F$496,"Yes",'1'!$B$2:$B$496,"*histology*")</f>
        <v>5</v>
      </c>
      <c r="AA6" s="1">
        <f>COUNTIFS($F$2:$F$496,"Yes",'1'!$B$2:$B$496,"*metabolomics*")</f>
        <v>3</v>
      </c>
      <c r="AB6" s="1">
        <f>COUNTIFS($F$2:$F$496,"Yes",'1'!$B$2:$B$496,"*microscopy*")</f>
        <v>36</v>
      </c>
      <c r="AC6" s="1">
        <f>COUNTIFS($F$2:$F$496,"Yes",'1'!$B$2:$B$496,"*mouse*")</f>
        <v>3</v>
      </c>
      <c r="AD6" s="1">
        <f>COUNTIFS($F$2:$F$496,"Yes",'1'!$B$2:$B$496,"*protein expression*")</f>
        <v>5</v>
      </c>
      <c r="AE6" s="1">
        <f>COUNTIFS($F$2:$F$496,"Yes",'1'!$B$2:$B$496,"*proteomics*")</f>
        <v>10</v>
      </c>
      <c r="AG6">
        <f>COUNTIFS($F$2:$F$496,"Yes",'1'!$I$2:$I$496,"*1-4*")</f>
        <v>68</v>
      </c>
      <c r="AH6">
        <f>COUNTIFS($F$2:$F$496,"Yes",'1'!$I$2:$I$496,"*5-8*")</f>
        <v>27</v>
      </c>
      <c r="AI6">
        <f>COUNTIFS($F$2:$F$496,"Yes",'1'!$I$2:$I$496,"*9-12*")</f>
        <v>4</v>
      </c>
      <c r="AJ6">
        <f>COUNTIFS($F$2:$F$496,"Yes",'1'!$I$2:$I$496,"*13-16*")</f>
        <v>4</v>
      </c>
      <c r="AK6">
        <f>COUNTIFS($F$2:$F$496,"Yes",'1'!$I$2:$I$496,"*&gt;16*")</f>
        <v>7</v>
      </c>
      <c r="AM6">
        <f>COUNTIFS($F$2:$F$496,"Yes",'1'!$J$2:$J$496,"*1-20*")</f>
        <v>39</v>
      </c>
      <c r="AN6">
        <f>COUNTIFS($F$2:$F$496,"Yes",'1'!$J$2:$J$496,"*21-40*")</f>
        <v>28</v>
      </c>
      <c r="AO6">
        <f>COUNTIFS($F$2:$F$496,"Yes",'1'!$J$2:$J$496,"*41-60*")</f>
        <v>14</v>
      </c>
      <c r="AP6">
        <f>COUNTIFS($F$2:$F$496,"Yes",'1'!$J$2:$J$496,"*61-80*")</f>
        <v>4</v>
      </c>
      <c r="AQ6">
        <f>COUNTIFS($F$2:$F$496,"Yes",'1'!$J$2:$J$496,"*81-100*")</f>
        <v>10</v>
      </c>
      <c r="AR6">
        <f>COUNTIFS($F$2:$F$496,"Yes",'1'!$J$2:$J$496,"*&gt; 100*")</f>
        <v>15</v>
      </c>
      <c r="AT6"/>
      <c r="AU6"/>
      <c r="AV6"/>
      <c r="AW6"/>
      <c r="AX6"/>
      <c r="AY6"/>
      <c r="AZ6"/>
      <c r="BA6"/>
      <c r="BB6"/>
      <c r="BC6"/>
      <c r="BD6"/>
      <c r="BE6"/>
      <c r="BF6"/>
      <c r="BG6"/>
      <c r="BH6"/>
      <c r="BI6"/>
      <c r="BJ6"/>
      <c r="BK6"/>
      <c r="BL6"/>
      <c r="BM6"/>
      <c r="BN6"/>
      <c r="BO6"/>
      <c r="BP6"/>
      <c r="BQ6"/>
      <c r="BR6" s="1" t="s">
        <v>3682</v>
      </c>
      <c r="BS6">
        <f>COUNTIF(N$2:N$496,"*visibility*")+COUNTIF(N$2:N$496,"*advertis*")</f>
        <v>7</v>
      </c>
    </row>
    <row r="7" spans="1:95" s="1" customFormat="1" x14ac:dyDescent="0.2">
      <c r="A7" s="1">
        <v>6</v>
      </c>
      <c r="B7" s="1" t="s">
        <v>162</v>
      </c>
      <c r="C7" s="39"/>
      <c r="D7" s="39" t="s">
        <v>84</v>
      </c>
      <c r="E7" s="39" t="s">
        <v>84</v>
      </c>
      <c r="F7" s="39"/>
      <c r="G7" s="39"/>
      <c r="H7" s="39" t="s">
        <v>82</v>
      </c>
      <c r="I7" s="39"/>
      <c r="J7" s="39"/>
      <c r="K7" s="39"/>
      <c r="L7" s="1" t="s">
        <v>82</v>
      </c>
      <c r="N7" s="21"/>
      <c r="O7" s="1" t="s">
        <v>82</v>
      </c>
      <c r="R7" s="1" t="s">
        <v>84</v>
      </c>
      <c r="S7" s="7" t="s">
        <v>163</v>
      </c>
      <c r="T7" s="21" t="s">
        <v>3713</v>
      </c>
      <c r="V7" s="1" t="s">
        <v>979</v>
      </c>
      <c r="W7" s="1">
        <f>COUNTIF($J$2:$J$496,"Yes")</f>
        <v>83</v>
      </c>
      <c r="X7" s="1">
        <f>COUNTIFS($J$2:$J$496,"Yes",'1'!$B$2:$B$496,"*flow cytometry*")</f>
        <v>10</v>
      </c>
      <c r="Y7" s="1">
        <f>COUNTIFS($J$2:$J$496,"Yes",'1'!$B$2:$B$496,"*genomics*")</f>
        <v>9</v>
      </c>
      <c r="Z7" s="1">
        <f>COUNTIFS($J$2:$J$496,"Yes",'1'!$B$2:$B$496,"*histology*")</f>
        <v>3</v>
      </c>
      <c r="AA7" s="1">
        <f>COUNTIFS($J$2:$J$496,"Yes",'1'!$B$2:$B$496,"*metabolomics*")</f>
        <v>1</v>
      </c>
      <c r="AB7" s="1">
        <f>COUNTIFS($J$2:$J$496,"Yes",'1'!$B$2:$B$496,"*microscopy*")</f>
        <v>24</v>
      </c>
      <c r="AC7" s="1">
        <f>COUNTIFS($J$2:$J$496,"Yes",'1'!$B$2:$B$496,"*mouse*")</f>
        <v>3</v>
      </c>
      <c r="AD7" s="1">
        <f>COUNTIFS($J$2:$J$496,"Yes",'1'!$B$2:$B$496,"*protein expression*")</f>
        <v>3</v>
      </c>
      <c r="AE7" s="1">
        <f>COUNTIFS($J$2:$J$496,"Yes",'1'!$B$2:$B$496,"*proteomics*")</f>
        <v>7</v>
      </c>
      <c r="AG7">
        <f>COUNTIFS($J$2:$J$496,"Yes",'1'!$I$2:$I$496,"*1-4*")</f>
        <v>48</v>
      </c>
      <c r="AH7">
        <f>COUNTIFS($J$2:$J$496,"Yes",'1'!$I$2:$I$496,"*5-8*")</f>
        <v>16</v>
      </c>
      <c r="AI7">
        <f>COUNTIFS($J$2:$J$496,"Yes",'1'!$I$2:$I$496,"*9-12*")</f>
        <v>10</v>
      </c>
      <c r="AJ7">
        <f>COUNTIFS($J$2:$J$496,"Yes",'1'!$I$2:$I$496,"*13-16*")</f>
        <v>3</v>
      </c>
      <c r="AK7">
        <f>COUNTIFS($J$2:$J$496,"Yes",'1'!$I$2:$I$496,"*&gt;16*")</f>
        <v>6</v>
      </c>
      <c r="AM7">
        <f>COUNTIFS($J$2:$J$496,"Yes",'1'!$J$2:$J$496,"*1-20*")</f>
        <v>35</v>
      </c>
      <c r="AN7">
        <f>COUNTIFS($J$2:$J$496,"Yes",'1'!$J$2:$J$496,"*21-40*")</f>
        <v>17</v>
      </c>
      <c r="AO7">
        <f>COUNTIFS($J$2:$J$496,"Yes",'1'!$J$2:$J$496,"*41-60*")</f>
        <v>10</v>
      </c>
      <c r="AP7">
        <f>COUNTIFS($J$2:$J$496,"Yes",'1'!$J$2:$J$496,"*61-80*")</f>
        <v>2</v>
      </c>
      <c r="AQ7">
        <f>COUNTIFS($J$2:$J$496,"Yes",'1'!$J$2:$J$496,"*81-100*")</f>
        <v>3</v>
      </c>
      <c r="AR7">
        <f>COUNTIFS($J$2:$J$496,"Yes",'1'!$J$2:$J$496,"*&gt; 100*")</f>
        <v>16</v>
      </c>
      <c r="BR7" s="1" t="s">
        <v>3679</v>
      </c>
      <c r="BS7">
        <f>COUNTIF(N$2:N$496,"*website*")</f>
        <v>5</v>
      </c>
    </row>
    <row r="8" spans="1:95" s="1" customFormat="1" ht="25.5" x14ac:dyDescent="0.2">
      <c r="A8" s="1">
        <v>7</v>
      </c>
      <c r="B8" s="1" t="s">
        <v>179</v>
      </c>
      <c r="C8" s="39" t="s">
        <v>84</v>
      </c>
      <c r="D8" s="39" t="s">
        <v>84</v>
      </c>
      <c r="E8" s="39" t="s">
        <v>84</v>
      </c>
      <c r="F8" s="39" t="s">
        <v>84</v>
      </c>
      <c r="G8" s="39"/>
      <c r="H8" s="39" t="s">
        <v>82</v>
      </c>
      <c r="I8" s="39"/>
      <c r="J8" s="39"/>
      <c r="K8" s="39"/>
      <c r="L8" s="1" t="s">
        <v>82</v>
      </c>
      <c r="O8" s="1" t="s">
        <v>82</v>
      </c>
      <c r="R8" s="1" t="s">
        <v>84</v>
      </c>
      <c r="S8" s="7"/>
      <c r="T8" s="21"/>
      <c r="V8" s="1" t="s">
        <v>1113</v>
      </c>
      <c r="W8" s="1">
        <f>COUNTIF($H$2:$H$496,"Yes")</f>
        <v>70</v>
      </c>
      <c r="X8" s="1">
        <f>COUNTIFS($H$2:$H$496,"Yes",'1'!$B$2:$B$496,"*flow cytometry*")</f>
        <v>13</v>
      </c>
      <c r="Y8" s="1">
        <f>COUNTIFS($H$2:$H$496,"Yes",'1'!$B$2:$B$496,"*genomics*")</f>
        <v>12</v>
      </c>
      <c r="Z8" s="1">
        <f>COUNTIFS($H$2:$H$496,"Yes",'1'!$B$2:$B$496,"*histology*")</f>
        <v>3</v>
      </c>
      <c r="AA8" s="1">
        <f>COUNTIFS($H$2:$H$496,"Yes",'1'!$B$2:$B$496,"*metabolomics*")</f>
        <v>3</v>
      </c>
      <c r="AB8" s="1">
        <f>COUNTIFS($H$2:$H$496,"Yes",'1'!$B$2:$B$496,"*microscopy*")</f>
        <v>12</v>
      </c>
      <c r="AC8" s="1">
        <f>COUNTIFS($H$2:$H$496,"Yes",'1'!$B$2:$B$496,"*mouse*")</f>
        <v>2</v>
      </c>
      <c r="AD8" s="1">
        <f>COUNTIFS($H$2:$H$496,"Yes",'1'!$B$2:$B$496,"*protein expression*")</f>
        <v>3</v>
      </c>
      <c r="AE8" s="1">
        <f>COUNTIFS($H$2:$H$496,"Yes",'1'!$B$2:$B$496,"*proteomics*")</f>
        <v>11</v>
      </c>
      <c r="AG8">
        <f>COUNTIFS($H$2:$H$496,"Yes",'1'!$I$2:$I$496,"*1-4*")</f>
        <v>41</v>
      </c>
      <c r="AH8">
        <f>COUNTIFS($H$2:$H$496,"Yes",'1'!$I$2:$I$496,"*5-8*")</f>
        <v>14</v>
      </c>
      <c r="AI8">
        <f>COUNTIFS($H$2:$H$496,"Yes",'1'!$I$2:$I$496,"*9-12*")</f>
        <v>7</v>
      </c>
      <c r="AJ8">
        <f>COUNTIFS($H$2:$H$496,"Yes",'1'!$I$2:$I$496,"*13-16*")</f>
        <v>4</v>
      </c>
      <c r="AK8">
        <f>COUNTIFS($H$2:$H$496,"Yes",'1'!$I$2:$I$496,"*&gt;16*")</f>
        <v>4</v>
      </c>
      <c r="AM8">
        <f>COUNTIFS($H$2:$H$496,"Yes",'1'!$J$2:$J$496,"*1-20*")</f>
        <v>24</v>
      </c>
      <c r="AN8">
        <f>COUNTIFS($H$2:$H$496,"Yes",'1'!$J$2:$J$496,"*21-40*")</f>
        <v>16</v>
      </c>
      <c r="AO8">
        <f>COUNTIFS($H$2:$H$496,"Yes",'1'!$J$2:$J$496,"*41-60*")</f>
        <v>11</v>
      </c>
      <c r="AP8">
        <f>COUNTIFS($H$2:$H$496,"Yes",'1'!$J$2:$J$496,"*61-80*")</f>
        <v>6</v>
      </c>
      <c r="AQ8">
        <f>COUNTIFS($H$2:$H$496,"Yes",'1'!$J$2:$J$496,"*81-100*")</f>
        <v>2</v>
      </c>
      <c r="AR8">
        <f>COUNTIFS($H$2:$H$496,"Yes",'1'!$J$2:$J$496,"*&gt; 100*")</f>
        <v>11</v>
      </c>
      <c r="BR8" t="s">
        <v>3676</v>
      </c>
      <c r="BS8">
        <f>COUNTIF(N$2:N$496,"*staff*")+COUNTIF(N$2:N$496,"*time*")</f>
        <v>4</v>
      </c>
    </row>
    <row r="9" spans="1:95" s="1" customFormat="1" x14ac:dyDescent="0.2">
      <c r="A9" s="1">
        <v>8</v>
      </c>
      <c r="B9" s="1" t="s">
        <v>196</v>
      </c>
      <c r="C9" s="39"/>
      <c r="D9" s="39"/>
      <c r="E9" s="39"/>
      <c r="F9" s="39"/>
      <c r="G9" s="39"/>
      <c r="H9" s="39" t="s">
        <v>84</v>
      </c>
      <c r="I9" s="39"/>
      <c r="J9" s="39"/>
      <c r="K9" s="39"/>
      <c r="L9" s="1" t="s">
        <v>82</v>
      </c>
      <c r="N9" s="21"/>
      <c r="O9" s="39" t="s">
        <v>84</v>
      </c>
      <c r="P9" s="1" t="s">
        <v>3933</v>
      </c>
      <c r="Q9" s="19" t="s">
        <v>197</v>
      </c>
      <c r="R9" s="1" t="s">
        <v>80</v>
      </c>
      <c r="S9" s="7"/>
      <c r="T9" s="21"/>
      <c r="V9" s="1" t="s">
        <v>982</v>
      </c>
      <c r="W9" s="1">
        <f>COUNTIF($G$2:$G$496,"Yes")</f>
        <v>32</v>
      </c>
      <c r="X9" s="1">
        <f>COUNTIFS($G$2:$G$496,"Yes",'1'!$B$2:$B$496,"*flow cytometry*")</f>
        <v>7</v>
      </c>
      <c r="Y9" s="1">
        <f>COUNTIFS($G$2:$G$496,"Yes",'1'!$B$2:$B$496,"*genomics*")</f>
        <v>5</v>
      </c>
      <c r="Z9" s="1">
        <f>COUNTIFS($G$2:$G$496,"Yes",'1'!$B$2:$B$496,"*histology*")</f>
        <v>2</v>
      </c>
      <c r="AA9" s="1">
        <f>COUNTIFS($G$2:$G$496,"Yes",'1'!$B$2:$B$496,"*metabolomics*")</f>
        <v>1</v>
      </c>
      <c r="AB9" s="1">
        <f>COUNTIFS($G$2:$G$496,"Yes",'1'!$B$2:$B$496,"*microscopy*")</f>
        <v>8</v>
      </c>
      <c r="AC9" s="1">
        <f>COUNTIFS($G$2:$G$496,"Yes",'1'!$B$2:$B$496,"*mouse*")</f>
        <v>0</v>
      </c>
      <c r="AD9" s="1">
        <f>COUNTIFS($G$2:$G$496,"Yes",'1'!$B$2:$B$496,"*protein expression*")</f>
        <v>1</v>
      </c>
      <c r="AE9" s="1">
        <f>COUNTIFS($G$2:$G$496,"Yes",'1'!$B$2:$B$496,"*proteomics*")</f>
        <v>2</v>
      </c>
      <c r="AG9">
        <f>COUNTIFS($G$2:$G$496,"Yes",'1'!$I$2:$I$496,"*1-4*")</f>
        <v>18</v>
      </c>
      <c r="AH9">
        <f>COUNTIFS($G$2:$G$496,"Yes",'1'!$I$2:$I$496,"*5-8*")</f>
        <v>8</v>
      </c>
      <c r="AI9">
        <f>COUNTIFS($G$2:$G$496,"Yes",'1'!$I$2:$I$496,"*9-12*")</f>
        <v>5</v>
      </c>
      <c r="AJ9">
        <f>COUNTIFS($G$2:$G$496,"Yes",'1'!$I$2:$I$496,"*13-16*")</f>
        <v>0</v>
      </c>
      <c r="AK9">
        <f>COUNTIFS($G$2:$G$496,"Yes",'1'!$I$2:$I$496,"*&gt;16*")</f>
        <v>1</v>
      </c>
      <c r="AM9">
        <f>COUNTIFS($G$2:$G$496,"Yes",'1'!$J$2:$J$496,"*1-20*")</f>
        <v>10</v>
      </c>
      <c r="AN9">
        <f>COUNTIFS($G$2:$G$496,"Yes",'1'!$J$2:$J$496,"*21-40*")</f>
        <v>8</v>
      </c>
      <c r="AO9">
        <f>COUNTIFS($G$2:$G$496,"Yes",'1'!$J$2:$J$496,"*41-60*")</f>
        <v>7</v>
      </c>
      <c r="AP9">
        <f>COUNTIFS($G$2:$G$496,"Yes",'1'!$J$2:$J$496,"*61-80*")</f>
        <v>1</v>
      </c>
      <c r="AQ9">
        <f>COUNTIFS($G$2:$G$496,"Yes",'1'!$J$2:$J$496,"*81-100*")</f>
        <v>1</v>
      </c>
      <c r="AR9">
        <f>COUNTIFS($G$2:$G$496,"Yes",'1'!$J$2:$J$496,"*&gt; 100*")</f>
        <v>5</v>
      </c>
      <c r="BR9" t="s">
        <v>3677</v>
      </c>
      <c r="BS9">
        <f>COUNTIF(N$2:N$496,"*feedback*")</f>
        <v>4</v>
      </c>
    </row>
    <row r="10" spans="1:95" s="1" customFormat="1" ht="25.5" x14ac:dyDescent="0.2">
      <c r="A10" s="1">
        <v>9</v>
      </c>
      <c r="B10" s="1" t="s">
        <v>204</v>
      </c>
      <c r="C10" s="39"/>
      <c r="D10" s="39" t="s">
        <v>84</v>
      </c>
      <c r="E10" s="39"/>
      <c r="F10" s="39"/>
      <c r="G10" s="39"/>
      <c r="H10" s="39" t="s">
        <v>84</v>
      </c>
      <c r="I10" s="39"/>
      <c r="J10" s="39"/>
      <c r="K10" s="39"/>
      <c r="L10" s="1" t="s">
        <v>82</v>
      </c>
      <c r="N10" s="21"/>
      <c r="O10" s="1" t="s">
        <v>84</v>
      </c>
      <c r="P10" s="1" t="s">
        <v>205</v>
      </c>
      <c r="Q10" s="1" t="s">
        <v>2999</v>
      </c>
      <c r="R10" s="1" t="s">
        <v>80</v>
      </c>
      <c r="S10" s="7"/>
      <c r="T10" s="21"/>
      <c r="V10" s="1" t="s">
        <v>702</v>
      </c>
      <c r="W10" s="1">
        <f>COUNTIF($K$2:$K$496,"**")</f>
        <v>10</v>
      </c>
      <c r="X10" s="1">
        <f>COUNTIFS($K$2:$K$496,"**",'1'!$B$2:$B$496,"*flow cytometry*")</f>
        <v>3</v>
      </c>
      <c r="Y10" s="1">
        <f>COUNTIFS($K$2:$K$496,"**",'1'!$B$2:$B$496,"*genomics*")</f>
        <v>0</v>
      </c>
      <c r="Z10" s="1">
        <f>COUNTIFS($K$2:$K$496,"**",'1'!$B$2:$B$496,"*histology*")</f>
        <v>2</v>
      </c>
      <c r="AA10" s="1">
        <f>COUNTIFS($K$2:$K$496,"**",'1'!$B$2:$B$496,"*metabolomics*")</f>
        <v>0</v>
      </c>
      <c r="AB10" s="1">
        <f>COUNTIFS($K$2:$K$496,"**",'1'!$B$2:$B$496,"*microscopy*")</f>
        <v>3</v>
      </c>
      <c r="AC10" s="1">
        <f>COUNTIFS($K$2:$K$496,"**",'1'!$B$2:$B$496,"*mouse*")</f>
        <v>0</v>
      </c>
      <c r="AD10" s="1">
        <f>COUNTIFS($K$2:$K$496,"**",'1'!$B$2:$B$496,"*protein expression*")</f>
        <v>0</v>
      </c>
      <c r="AE10" s="1">
        <f>COUNTIFS($K$2:$K$496,"**",'1'!$B$2:$B$496,"*proteomics*")</f>
        <v>0</v>
      </c>
      <c r="AG10">
        <f>COUNTIFS($K$2:$K$496,"**",'1'!$I$2:$I$496,"*1-4*")</f>
        <v>7</v>
      </c>
      <c r="AH10">
        <f>COUNTIFS($K$2:$K$496,"**",'1'!$I$2:$I$496,"*5-8*")</f>
        <v>2</v>
      </c>
      <c r="AI10">
        <f>COUNTIFS($K$2:$K$496,"**",'1'!$I$2:$I$496,"*9-12*")</f>
        <v>1</v>
      </c>
      <c r="AJ10">
        <f>COUNTIFS($K$2:$K$496,"**",'1'!$I$2:$I$496,"*13-16*")</f>
        <v>0</v>
      </c>
      <c r="AK10">
        <f>COUNTIFS($K$2:$K$496,"**",'1'!$I$2:$I$496,"*&gt;16*")</f>
        <v>0</v>
      </c>
      <c r="AM10">
        <f>COUNTIFS($K$2:$K$496,"**",'1'!$J$2:$J$496,"*1-20*")</f>
        <v>2</v>
      </c>
      <c r="AN10">
        <f>COUNTIFS($K$2:$K$496,"**",'1'!$J$2:$J$496,"*21-40*")</f>
        <v>0</v>
      </c>
      <c r="AO10">
        <f>COUNTIFS($K$2:$K$496,"**",'1'!$J$2:$J$496,"*41-60*")</f>
        <v>4</v>
      </c>
      <c r="AP10">
        <f>COUNTIFS($K$2:$K$496,"**",'1'!$J$2:$J$496,"*61-80*")</f>
        <v>0</v>
      </c>
      <c r="AQ10">
        <f>COUNTIFS($K$2:$K$496,"**",'1'!$J$2:$J$496,"*81-100*")</f>
        <v>0</v>
      </c>
      <c r="AR10">
        <f>COUNTIFS($K$2:$K$496,"**",'1'!$J$2:$J$496,"*&gt; 100*")</f>
        <v>4</v>
      </c>
      <c r="BR10" s="1" t="s">
        <v>3443</v>
      </c>
      <c r="BS10">
        <f>COUNTIF(N$2:N$496,"*automation*")</f>
        <v>4</v>
      </c>
    </row>
    <row r="11" spans="1:95" s="1" customFormat="1" x14ac:dyDescent="0.2">
      <c r="A11" s="1">
        <v>10</v>
      </c>
      <c r="B11" s="1" t="s">
        <v>223</v>
      </c>
      <c r="C11" s="39"/>
      <c r="D11" s="39"/>
      <c r="E11" s="39"/>
      <c r="F11" s="39" t="s">
        <v>84</v>
      </c>
      <c r="G11" s="39"/>
      <c r="H11" s="39" t="s">
        <v>82</v>
      </c>
      <c r="I11" s="39" t="s">
        <v>84</v>
      </c>
      <c r="J11" s="39"/>
      <c r="K11" s="39" t="s">
        <v>1928</v>
      </c>
      <c r="L11" s="1" t="s">
        <v>82</v>
      </c>
      <c r="N11" s="21"/>
      <c r="O11" s="1" t="s">
        <v>82</v>
      </c>
      <c r="R11" s="1" t="s">
        <v>84</v>
      </c>
      <c r="S11" s="7" t="s">
        <v>224</v>
      </c>
      <c r="T11" s="21" t="s">
        <v>3714</v>
      </c>
      <c r="BR11" s="1" t="s">
        <v>3681</v>
      </c>
      <c r="BS11">
        <f>COUNTIF(N$2:N$496,"*early*")</f>
        <v>3</v>
      </c>
    </row>
    <row r="12" spans="1:95" s="1" customFormat="1" ht="38.25" x14ac:dyDescent="0.2">
      <c r="A12" s="1">
        <v>11</v>
      </c>
      <c r="B12" s="1" t="s">
        <v>239</v>
      </c>
      <c r="C12" s="39"/>
      <c r="D12" s="39" t="s">
        <v>84</v>
      </c>
      <c r="E12" s="39"/>
      <c r="F12" s="39"/>
      <c r="G12" s="39"/>
      <c r="H12" s="39" t="s">
        <v>84</v>
      </c>
      <c r="I12" s="39"/>
      <c r="J12" s="39" t="s">
        <v>84</v>
      </c>
      <c r="K12" s="39" t="s">
        <v>1928</v>
      </c>
      <c r="L12" s="1" t="s">
        <v>82</v>
      </c>
      <c r="N12" s="21"/>
      <c r="O12" s="1" t="s">
        <v>84</v>
      </c>
      <c r="P12" s="1" t="s">
        <v>240</v>
      </c>
      <c r="Q12" s="1" t="s">
        <v>241</v>
      </c>
      <c r="R12" s="1" t="s">
        <v>80</v>
      </c>
      <c r="S12" s="7"/>
      <c r="T12" s="21"/>
      <c r="BR12" s="1" t="s">
        <v>3683</v>
      </c>
      <c r="BS12">
        <f>COUNTIF(N$2:N$496,"*PI*")</f>
        <v>1</v>
      </c>
    </row>
    <row r="13" spans="1:95" s="1" customFormat="1" ht="153" x14ac:dyDescent="0.2">
      <c r="A13" s="1">
        <v>12</v>
      </c>
      <c r="B13" s="1" t="s">
        <v>4204</v>
      </c>
      <c r="C13" s="39" t="s">
        <v>84</v>
      </c>
      <c r="D13" s="39" t="s">
        <v>84</v>
      </c>
      <c r="E13" s="39" t="s">
        <v>84</v>
      </c>
      <c r="F13" s="39"/>
      <c r="G13" s="39"/>
      <c r="H13" s="39" t="s">
        <v>82</v>
      </c>
      <c r="I13" s="39"/>
      <c r="J13" s="39"/>
      <c r="K13" s="39"/>
      <c r="L13" s="1" t="s">
        <v>84</v>
      </c>
      <c r="M13" s="1" t="s">
        <v>983</v>
      </c>
      <c r="N13" s="21"/>
      <c r="O13" s="1" t="s">
        <v>82</v>
      </c>
      <c r="R13" s="1" t="s">
        <v>84</v>
      </c>
      <c r="S13" s="7" t="s">
        <v>257</v>
      </c>
      <c r="T13" s="21"/>
      <c r="BR13" s="1" t="s">
        <v>3684</v>
      </c>
      <c r="BS13">
        <f>COUNTIF(N$2:N$496,"*door*")</f>
        <v>1</v>
      </c>
    </row>
    <row r="14" spans="1:95" s="1" customFormat="1" ht="38.25" x14ac:dyDescent="0.2">
      <c r="A14" s="1">
        <v>13</v>
      </c>
      <c r="B14" s="1" t="s">
        <v>273</v>
      </c>
      <c r="C14" s="39"/>
      <c r="D14" s="39" t="s">
        <v>84</v>
      </c>
      <c r="E14" s="39"/>
      <c r="F14" s="39" t="s">
        <v>84</v>
      </c>
      <c r="G14" s="39" t="s">
        <v>84</v>
      </c>
      <c r="H14" s="39" t="s">
        <v>82</v>
      </c>
      <c r="I14" s="39"/>
      <c r="J14" s="39"/>
      <c r="K14" s="39"/>
      <c r="L14" s="1" t="s">
        <v>84</v>
      </c>
      <c r="M14" s="7" t="s">
        <v>274</v>
      </c>
      <c r="N14" s="21" t="s">
        <v>3625</v>
      </c>
      <c r="O14" s="1" t="s">
        <v>82</v>
      </c>
      <c r="R14" s="1" t="s">
        <v>84</v>
      </c>
      <c r="S14" s="7" t="s">
        <v>275</v>
      </c>
      <c r="T14" s="21" t="s">
        <v>709</v>
      </c>
      <c r="BR14" t="s">
        <v>3678</v>
      </c>
      <c r="BS14">
        <f>COUNTIF(N$2:N$496,"*follow*")</f>
        <v>1</v>
      </c>
    </row>
    <row r="15" spans="1:95" s="1" customFormat="1" ht="38.25" x14ac:dyDescent="0.2">
      <c r="A15" s="1">
        <v>14</v>
      </c>
      <c r="B15" s="1" t="s">
        <v>292</v>
      </c>
      <c r="C15" s="39" t="s">
        <v>84</v>
      </c>
      <c r="D15" s="39" t="s">
        <v>84</v>
      </c>
      <c r="E15" s="39" t="s">
        <v>84</v>
      </c>
      <c r="F15" s="39"/>
      <c r="G15" s="39"/>
      <c r="H15" s="39" t="s">
        <v>82</v>
      </c>
      <c r="I15" s="39" t="s">
        <v>84</v>
      </c>
      <c r="J15" s="39"/>
      <c r="K15" s="39"/>
      <c r="L15" s="1" t="s">
        <v>82</v>
      </c>
      <c r="M15" s="7"/>
      <c r="N15" s="21"/>
      <c r="O15" s="39" t="s">
        <v>84</v>
      </c>
      <c r="P15" s="39" t="s">
        <v>1350</v>
      </c>
      <c r="R15" s="1" t="s">
        <v>82</v>
      </c>
      <c r="S15" s="7" t="s">
        <v>293</v>
      </c>
      <c r="T15" s="21" t="s">
        <v>3724</v>
      </c>
    </row>
    <row r="16" spans="1:95" s="1" customFormat="1" ht="25.5" x14ac:dyDescent="0.2">
      <c r="A16" s="1">
        <v>15</v>
      </c>
      <c r="B16" s="1" t="s">
        <v>310</v>
      </c>
      <c r="C16" s="39" t="s">
        <v>84</v>
      </c>
      <c r="D16" s="39" t="s">
        <v>84</v>
      </c>
      <c r="E16" s="39"/>
      <c r="F16" s="39" t="s">
        <v>84</v>
      </c>
      <c r="G16" s="39" t="s">
        <v>84</v>
      </c>
      <c r="H16" s="39" t="s">
        <v>82</v>
      </c>
      <c r="I16" s="39"/>
      <c r="J16" s="39"/>
      <c r="K16" s="39" t="s">
        <v>1932</v>
      </c>
      <c r="L16" s="1" t="s">
        <v>84</v>
      </c>
      <c r="M16" s="7" t="s">
        <v>311</v>
      </c>
      <c r="N16" s="21"/>
      <c r="O16" s="1" t="s">
        <v>82</v>
      </c>
      <c r="R16" s="1" t="s">
        <v>84</v>
      </c>
      <c r="S16" s="7" t="s">
        <v>312</v>
      </c>
      <c r="T16" s="21" t="s">
        <v>1052</v>
      </c>
    </row>
    <row r="17" spans="1:20" s="1" customFormat="1" ht="25.5" x14ac:dyDescent="0.2">
      <c r="A17" s="1">
        <v>16</v>
      </c>
      <c r="B17" s="1" t="s">
        <v>325</v>
      </c>
      <c r="C17" s="39"/>
      <c r="D17" s="39" t="s">
        <v>84</v>
      </c>
      <c r="E17" s="39"/>
      <c r="F17" s="39"/>
      <c r="G17" s="39"/>
      <c r="H17" s="39" t="s">
        <v>82</v>
      </c>
      <c r="I17" s="39"/>
      <c r="J17" s="39"/>
      <c r="K17" s="39"/>
      <c r="L17" s="1" t="s">
        <v>84</v>
      </c>
      <c r="M17" s="7"/>
      <c r="N17" s="21"/>
      <c r="O17" s="1" t="s">
        <v>82</v>
      </c>
      <c r="R17" s="1" t="s">
        <v>84</v>
      </c>
      <c r="S17" s="7" t="s">
        <v>4205</v>
      </c>
      <c r="T17" s="21"/>
    </row>
    <row r="18" spans="1:20" s="1" customFormat="1" ht="25.5" x14ac:dyDescent="0.2">
      <c r="A18" s="1">
        <v>17</v>
      </c>
      <c r="B18" s="1" t="s">
        <v>338</v>
      </c>
      <c r="C18" s="39" t="s">
        <v>84</v>
      </c>
      <c r="D18" s="39" t="s">
        <v>84</v>
      </c>
      <c r="E18" s="39"/>
      <c r="F18" s="39"/>
      <c r="G18" s="39"/>
      <c r="H18" s="39" t="s">
        <v>82</v>
      </c>
      <c r="I18" s="39"/>
      <c r="J18" s="39" t="s">
        <v>84</v>
      </c>
      <c r="K18" s="39" t="s">
        <v>1929</v>
      </c>
      <c r="L18" s="1" t="s">
        <v>82</v>
      </c>
      <c r="M18" s="7"/>
      <c r="N18" s="21"/>
      <c r="O18" s="1" t="s">
        <v>82</v>
      </c>
      <c r="R18" s="1" t="s">
        <v>82</v>
      </c>
      <c r="S18" s="7"/>
      <c r="T18" s="21"/>
    </row>
    <row r="19" spans="1:20" s="1" customFormat="1" ht="25.5" x14ac:dyDescent="0.2">
      <c r="A19" s="1">
        <v>18</v>
      </c>
      <c r="B19" s="1" t="s">
        <v>350</v>
      </c>
      <c r="C19" s="39" t="s">
        <v>84</v>
      </c>
      <c r="D19" s="39" t="s">
        <v>84</v>
      </c>
      <c r="E19" s="39" t="s">
        <v>84</v>
      </c>
      <c r="F19" s="39"/>
      <c r="G19" s="39"/>
      <c r="H19" s="39" t="s">
        <v>84</v>
      </c>
      <c r="I19" s="39"/>
      <c r="J19" s="39"/>
      <c r="K19" s="39"/>
      <c r="L19" s="1" t="s">
        <v>84</v>
      </c>
      <c r="M19" s="7" t="s">
        <v>351</v>
      </c>
      <c r="N19" s="21" t="s">
        <v>3626</v>
      </c>
      <c r="O19" s="43" t="s">
        <v>84</v>
      </c>
      <c r="P19" s="21" t="s">
        <v>462</v>
      </c>
      <c r="R19" s="1" t="s">
        <v>84</v>
      </c>
      <c r="S19" s="7"/>
      <c r="T19" s="21"/>
    </row>
    <row r="20" spans="1:20" s="1" customFormat="1" x14ac:dyDescent="0.2">
      <c r="A20" s="1">
        <v>19</v>
      </c>
      <c r="B20" s="34" t="s">
        <v>364</v>
      </c>
      <c r="C20" s="46" t="s">
        <v>84</v>
      </c>
      <c r="D20" s="46"/>
      <c r="E20" s="46"/>
      <c r="F20" s="46"/>
      <c r="G20" s="46"/>
      <c r="H20" s="46" t="s">
        <v>82</v>
      </c>
      <c r="I20" s="46"/>
      <c r="J20" s="46"/>
      <c r="K20" s="46"/>
      <c r="L20" s="34" t="s">
        <v>84</v>
      </c>
      <c r="M20" s="52"/>
      <c r="N20" s="45"/>
      <c r="O20" s="34" t="s">
        <v>82</v>
      </c>
      <c r="P20" s="34"/>
      <c r="Q20" s="34"/>
      <c r="R20" s="34" t="s">
        <v>84</v>
      </c>
      <c r="S20" s="52"/>
      <c r="T20" s="45"/>
    </row>
    <row r="21" spans="1:20" s="1" customFormat="1" ht="25.5" x14ac:dyDescent="0.2">
      <c r="A21" s="1">
        <v>20</v>
      </c>
      <c r="B21" s="34" t="s">
        <v>368</v>
      </c>
      <c r="C21" s="46"/>
      <c r="D21" s="46" t="s">
        <v>84</v>
      </c>
      <c r="E21" s="46"/>
      <c r="F21" s="46" t="s">
        <v>84</v>
      </c>
      <c r="G21" s="46"/>
      <c r="H21" s="46" t="s">
        <v>82</v>
      </c>
      <c r="I21" s="46"/>
      <c r="J21" s="46"/>
      <c r="K21" s="46"/>
      <c r="L21" s="34" t="s">
        <v>82</v>
      </c>
      <c r="M21" s="52"/>
      <c r="N21" s="45"/>
      <c r="O21" s="34" t="s">
        <v>82</v>
      </c>
      <c r="P21" s="34"/>
      <c r="Q21" s="34"/>
      <c r="R21" s="34" t="s">
        <v>82</v>
      </c>
      <c r="S21" s="52" t="s">
        <v>369</v>
      </c>
      <c r="T21" s="45"/>
    </row>
    <row r="22" spans="1:20" s="1" customFormat="1" x14ac:dyDescent="0.2">
      <c r="A22" s="1">
        <v>21</v>
      </c>
      <c r="B22" s="1" t="s">
        <v>372</v>
      </c>
      <c r="C22" s="39" t="s">
        <v>84</v>
      </c>
      <c r="D22" s="39" t="s">
        <v>84</v>
      </c>
      <c r="E22" s="39" t="s">
        <v>84</v>
      </c>
      <c r="F22" s="39"/>
      <c r="G22" s="39"/>
      <c r="H22" s="39" t="s">
        <v>82</v>
      </c>
      <c r="I22" s="39"/>
      <c r="J22" s="39"/>
      <c r="K22" s="39"/>
      <c r="L22" s="1" t="s">
        <v>82</v>
      </c>
      <c r="M22" s="7"/>
      <c r="N22" s="21"/>
      <c r="O22" s="1" t="s">
        <v>82</v>
      </c>
      <c r="R22" s="1" t="s">
        <v>84</v>
      </c>
      <c r="S22" s="7"/>
      <c r="T22" s="21"/>
    </row>
    <row r="23" spans="1:20" s="1" customFormat="1" ht="25.5" x14ac:dyDescent="0.2">
      <c r="A23" s="1">
        <v>22</v>
      </c>
      <c r="B23" s="1" t="s">
        <v>378</v>
      </c>
      <c r="C23" s="39" t="s">
        <v>84</v>
      </c>
      <c r="D23" s="39" t="s">
        <v>84</v>
      </c>
      <c r="E23" s="39" t="s">
        <v>84</v>
      </c>
      <c r="F23" s="39"/>
      <c r="G23" s="39"/>
      <c r="H23" s="39" t="s">
        <v>82</v>
      </c>
      <c r="I23" s="39"/>
      <c r="J23" s="39"/>
      <c r="K23" s="39"/>
      <c r="L23" s="1" t="s">
        <v>84</v>
      </c>
      <c r="M23" s="7" t="s">
        <v>379</v>
      </c>
      <c r="N23" s="21" t="s">
        <v>3627</v>
      </c>
      <c r="O23" s="1" t="s">
        <v>82</v>
      </c>
      <c r="R23" s="1" t="s">
        <v>84</v>
      </c>
      <c r="S23" s="7"/>
      <c r="T23" s="21"/>
    </row>
    <row r="24" spans="1:20" s="1" customFormat="1" ht="25.5" x14ac:dyDescent="0.2">
      <c r="A24" s="1">
        <v>23</v>
      </c>
      <c r="B24" s="1" t="s">
        <v>385</v>
      </c>
      <c r="C24" s="39"/>
      <c r="D24" s="39" t="s">
        <v>84</v>
      </c>
      <c r="E24" s="39"/>
      <c r="F24" s="39"/>
      <c r="G24" s="39" t="s">
        <v>84</v>
      </c>
      <c r="H24" s="39" t="s">
        <v>82</v>
      </c>
      <c r="I24" s="39"/>
      <c r="J24" s="39"/>
      <c r="K24" s="39"/>
      <c r="L24" s="1" t="s">
        <v>84</v>
      </c>
      <c r="M24" s="7" t="s">
        <v>386</v>
      </c>
      <c r="N24" s="21" t="s">
        <v>3629</v>
      </c>
      <c r="O24" s="1" t="s">
        <v>82</v>
      </c>
      <c r="R24" s="1" t="s">
        <v>84</v>
      </c>
      <c r="S24" s="7" t="s">
        <v>387</v>
      </c>
      <c r="T24" s="21"/>
    </row>
    <row r="25" spans="1:20" s="1" customFormat="1" x14ac:dyDescent="0.2">
      <c r="A25" s="1">
        <v>24</v>
      </c>
      <c r="B25" s="1" t="s">
        <v>403</v>
      </c>
      <c r="C25" s="39" t="s">
        <v>84</v>
      </c>
      <c r="D25" s="39" t="s">
        <v>84</v>
      </c>
      <c r="E25" s="39"/>
      <c r="F25" s="39"/>
      <c r="G25" s="39"/>
      <c r="H25" s="39" t="s">
        <v>84</v>
      </c>
      <c r="I25" s="39"/>
      <c r="J25" s="39"/>
      <c r="K25" s="39"/>
      <c r="L25" s="1" t="s">
        <v>82</v>
      </c>
      <c r="M25" s="7"/>
      <c r="N25" s="21"/>
      <c r="O25" s="44" t="s">
        <v>84</v>
      </c>
      <c r="P25" s="21" t="s">
        <v>3934</v>
      </c>
      <c r="R25" s="1" t="s">
        <v>82</v>
      </c>
      <c r="S25" s="7"/>
      <c r="T25" s="21"/>
    </row>
    <row r="26" spans="1:20" s="1" customFormat="1" ht="25.5" x14ac:dyDescent="0.2">
      <c r="A26" s="1">
        <v>25</v>
      </c>
      <c r="B26" s="1" t="s">
        <v>417</v>
      </c>
      <c r="C26" s="39" t="s">
        <v>84</v>
      </c>
      <c r="D26" s="39" t="s">
        <v>84</v>
      </c>
      <c r="E26" s="39"/>
      <c r="F26" s="39"/>
      <c r="G26" s="39"/>
      <c r="H26" s="39" t="s">
        <v>84</v>
      </c>
      <c r="I26" s="39"/>
      <c r="J26" s="39"/>
      <c r="K26" s="39"/>
      <c r="L26" s="1" t="s">
        <v>84</v>
      </c>
      <c r="M26" s="7" t="s">
        <v>418</v>
      </c>
      <c r="N26" s="21" t="s">
        <v>418</v>
      </c>
      <c r="O26" s="1" t="s">
        <v>84</v>
      </c>
      <c r="P26" s="1" t="s">
        <v>3935</v>
      </c>
      <c r="R26" s="1" t="s">
        <v>80</v>
      </c>
      <c r="S26" s="7"/>
      <c r="T26" s="21"/>
    </row>
    <row r="27" spans="1:20" s="1" customFormat="1" ht="63.75" x14ac:dyDescent="0.2">
      <c r="A27" s="1">
        <v>26</v>
      </c>
      <c r="B27" s="1" t="s">
        <v>428</v>
      </c>
      <c r="C27" s="39" t="s">
        <v>84</v>
      </c>
      <c r="D27" s="39"/>
      <c r="E27" s="39"/>
      <c r="F27" s="39"/>
      <c r="G27" s="39"/>
      <c r="H27" s="39" t="s">
        <v>84</v>
      </c>
      <c r="I27" s="39"/>
      <c r="J27" s="39"/>
      <c r="K27" s="39"/>
      <c r="L27" s="1" t="s">
        <v>84</v>
      </c>
      <c r="M27" s="7" t="s">
        <v>429</v>
      </c>
      <c r="N27" s="21" t="s">
        <v>1498</v>
      </c>
      <c r="O27" s="1" t="s">
        <v>84</v>
      </c>
      <c r="P27" s="1" t="s">
        <v>430</v>
      </c>
      <c r="Q27" s="1" t="s">
        <v>1074</v>
      </c>
      <c r="R27" s="1" t="s">
        <v>80</v>
      </c>
      <c r="S27" s="7"/>
      <c r="T27" s="21"/>
    </row>
    <row r="28" spans="1:20" s="1" customFormat="1" ht="127.5" x14ac:dyDescent="0.2">
      <c r="A28" s="1">
        <v>27</v>
      </c>
      <c r="B28" s="1" t="s">
        <v>445</v>
      </c>
      <c r="C28" s="39" t="s">
        <v>84</v>
      </c>
      <c r="D28" s="39" t="s">
        <v>84</v>
      </c>
      <c r="E28" s="39"/>
      <c r="F28" s="39" t="s">
        <v>84</v>
      </c>
      <c r="G28" s="39"/>
      <c r="H28" s="39" t="s">
        <v>82</v>
      </c>
      <c r="I28" s="39"/>
      <c r="J28" s="39"/>
      <c r="K28" s="39"/>
      <c r="L28" s="1" t="s">
        <v>84</v>
      </c>
      <c r="M28" s="7" t="s">
        <v>446</v>
      </c>
      <c r="N28" s="21" t="s">
        <v>3646</v>
      </c>
      <c r="O28" s="1" t="s">
        <v>82</v>
      </c>
      <c r="R28" s="1" t="s">
        <v>82</v>
      </c>
      <c r="S28" s="7" t="s">
        <v>447</v>
      </c>
      <c r="T28" s="21" t="s">
        <v>709</v>
      </c>
    </row>
    <row r="29" spans="1:20" s="1" customFormat="1" x14ac:dyDescent="0.2">
      <c r="A29" s="1">
        <v>28</v>
      </c>
      <c r="B29" s="1" t="s">
        <v>461</v>
      </c>
      <c r="C29" s="39" t="s">
        <v>84</v>
      </c>
      <c r="D29" s="39" t="s">
        <v>84</v>
      </c>
      <c r="E29" s="39"/>
      <c r="F29" s="39"/>
      <c r="G29" s="39"/>
      <c r="H29" s="39" t="s">
        <v>84</v>
      </c>
      <c r="I29" s="39"/>
      <c r="J29" s="39"/>
      <c r="K29" s="39"/>
      <c r="L29" s="1" t="s">
        <v>82</v>
      </c>
      <c r="M29" s="7"/>
      <c r="N29" s="21"/>
      <c r="O29" s="1" t="s">
        <v>84</v>
      </c>
      <c r="P29" s="1" t="s">
        <v>462</v>
      </c>
      <c r="Q29" s="7" t="s">
        <v>984</v>
      </c>
      <c r="R29" s="1" t="s">
        <v>80</v>
      </c>
      <c r="S29" s="7"/>
      <c r="T29" s="21"/>
    </row>
    <row r="30" spans="1:20" s="1" customFormat="1" ht="51" x14ac:dyDescent="0.2">
      <c r="A30" s="1">
        <v>29</v>
      </c>
      <c r="B30" s="1" t="s">
        <v>476</v>
      </c>
      <c r="C30" s="39" t="s">
        <v>84</v>
      </c>
      <c r="D30" s="39" t="s">
        <v>84</v>
      </c>
      <c r="E30" s="39"/>
      <c r="F30" s="39"/>
      <c r="G30" s="39"/>
      <c r="H30" s="39" t="s">
        <v>82</v>
      </c>
      <c r="I30" s="39"/>
      <c r="J30" s="39"/>
      <c r="K30" s="39"/>
      <c r="L30" s="1" t="s">
        <v>84</v>
      </c>
      <c r="M30" s="7" t="s">
        <v>477</v>
      </c>
      <c r="N30" s="21" t="s">
        <v>3647</v>
      </c>
      <c r="O30" s="21" t="s">
        <v>84</v>
      </c>
      <c r="P30" s="21" t="s">
        <v>1350</v>
      </c>
      <c r="R30" s="1" t="s">
        <v>80</v>
      </c>
      <c r="S30" s="7"/>
      <c r="T30" s="21"/>
    </row>
    <row r="31" spans="1:20" s="1" customFormat="1" x14ac:dyDescent="0.2">
      <c r="A31" s="1">
        <v>30</v>
      </c>
      <c r="B31" s="1" t="s">
        <v>494</v>
      </c>
      <c r="C31" s="39" t="s">
        <v>84</v>
      </c>
      <c r="D31" s="39" t="s">
        <v>84</v>
      </c>
      <c r="E31" s="39"/>
      <c r="F31" s="39"/>
      <c r="G31" s="39"/>
      <c r="H31" s="39" t="s">
        <v>82</v>
      </c>
      <c r="I31" s="39"/>
      <c r="J31" s="39"/>
      <c r="K31" s="39"/>
      <c r="L31" s="1" t="s">
        <v>82</v>
      </c>
      <c r="M31" s="7"/>
      <c r="N31" s="21"/>
      <c r="O31" s="1" t="s">
        <v>82</v>
      </c>
      <c r="R31" s="1" t="s">
        <v>82</v>
      </c>
      <c r="S31" s="7" t="s">
        <v>495</v>
      </c>
      <c r="T31" s="21" t="s">
        <v>3715</v>
      </c>
    </row>
    <row r="32" spans="1:20" s="1" customFormat="1" x14ac:dyDescent="0.2">
      <c r="A32" s="1">
        <v>31</v>
      </c>
      <c r="B32" s="1" t="s">
        <v>507</v>
      </c>
      <c r="C32" s="39"/>
      <c r="D32" s="39" t="s">
        <v>84</v>
      </c>
      <c r="E32" s="39"/>
      <c r="F32" s="39"/>
      <c r="G32" s="39"/>
      <c r="H32" s="39" t="s">
        <v>82</v>
      </c>
      <c r="I32" s="39"/>
      <c r="J32" s="39"/>
      <c r="K32" s="39"/>
      <c r="L32" s="1" t="s">
        <v>82</v>
      </c>
      <c r="M32" s="7"/>
      <c r="N32" s="21"/>
      <c r="O32" s="1" t="s">
        <v>82</v>
      </c>
      <c r="R32" s="1" t="s">
        <v>84</v>
      </c>
      <c r="S32" s="7" t="s">
        <v>82</v>
      </c>
      <c r="T32" s="21"/>
    </row>
    <row r="33" spans="1:45" s="1" customFormat="1" x14ac:dyDescent="0.2">
      <c r="A33" s="1">
        <v>32</v>
      </c>
      <c r="B33" s="1" t="s">
        <v>517</v>
      </c>
      <c r="C33" s="39" t="s">
        <v>84</v>
      </c>
      <c r="D33" s="39" t="s">
        <v>84</v>
      </c>
      <c r="E33" s="39"/>
      <c r="F33" s="39"/>
      <c r="G33" s="39"/>
      <c r="H33" s="39" t="s">
        <v>84</v>
      </c>
      <c r="I33" s="39"/>
      <c r="J33" s="39"/>
      <c r="K33" s="39"/>
      <c r="L33" s="1" t="s">
        <v>84</v>
      </c>
      <c r="M33" s="7"/>
      <c r="N33" s="21"/>
      <c r="O33" s="1" t="s">
        <v>84</v>
      </c>
      <c r="P33" s="1" t="s">
        <v>462</v>
      </c>
      <c r="R33" s="1" t="s">
        <v>80</v>
      </c>
      <c r="S33" s="7"/>
      <c r="T33" s="21"/>
    </row>
    <row r="34" spans="1:45" s="1" customFormat="1" ht="25.5" x14ac:dyDescent="0.2">
      <c r="A34" s="1">
        <v>33</v>
      </c>
      <c r="B34" s="1" t="s">
        <v>523</v>
      </c>
      <c r="C34" s="39"/>
      <c r="D34" s="39" t="s">
        <v>84</v>
      </c>
      <c r="E34" s="39" t="s">
        <v>84</v>
      </c>
      <c r="F34" s="39" t="s">
        <v>84</v>
      </c>
      <c r="G34" s="39"/>
      <c r="H34" s="39" t="s">
        <v>82</v>
      </c>
      <c r="I34" s="39"/>
      <c r="J34" s="39"/>
      <c r="K34" s="39"/>
      <c r="L34" s="1" t="s">
        <v>82</v>
      </c>
      <c r="M34" s="7"/>
      <c r="N34" s="21"/>
      <c r="O34" s="1" t="s">
        <v>82</v>
      </c>
      <c r="R34" s="1" t="s">
        <v>82</v>
      </c>
      <c r="S34" s="7" t="s">
        <v>524</v>
      </c>
      <c r="T34" s="21" t="s">
        <v>3718</v>
      </c>
    </row>
    <row r="35" spans="1:45" s="1" customFormat="1" ht="25.5" x14ac:dyDescent="0.2">
      <c r="A35" s="1">
        <v>34</v>
      </c>
      <c r="B35" s="1" t="s">
        <v>542</v>
      </c>
      <c r="C35" s="39" t="s">
        <v>84</v>
      </c>
      <c r="D35" s="39" t="s">
        <v>84</v>
      </c>
      <c r="E35" s="39"/>
      <c r="F35" s="39"/>
      <c r="G35" s="39"/>
      <c r="H35" s="39" t="s">
        <v>82</v>
      </c>
      <c r="I35" s="39"/>
      <c r="J35" s="39"/>
      <c r="K35" s="39"/>
      <c r="L35" s="1" t="s">
        <v>84</v>
      </c>
      <c r="M35" s="7" t="s">
        <v>543</v>
      </c>
      <c r="N35" s="21" t="s">
        <v>3648</v>
      </c>
      <c r="O35" s="1" t="s">
        <v>82</v>
      </c>
      <c r="R35" s="1" t="s">
        <v>84</v>
      </c>
      <c r="S35" s="7" t="s">
        <v>544</v>
      </c>
      <c r="T35" s="21" t="s">
        <v>3713</v>
      </c>
    </row>
    <row r="36" spans="1:45" s="1" customFormat="1" x14ac:dyDescent="0.2">
      <c r="A36" s="1">
        <v>35</v>
      </c>
      <c r="B36" s="1" t="s">
        <v>560</v>
      </c>
      <c r="C36" s="39" t="s">
        <v>84</v>
      </c>
      <c r="D36" s="39"/>
      <c r="E36" s="39"/>
      <c r="F36" s="39"/>
      <c r="G36" s="39"/>
      <c r="H36" s="39" t="s">
        <v>84</v>
      </c>
      <c r="I36" s="39"/>
      <c r="J36" s="39"/>
      <c r="K36" s="39"/>
      <c r="L36" s="1" t="s">
        <v>82</v>
      </c>
      <c r="M36" s="7"/>
      <c r="N36" s="21"/>
      <c r="O36" s="1" t="s">
        <v>84</v>
      </c>
      <c r="P36" s="1" t="s">
        <v>3891</v>
      </c>
      <c r="R36" s="1" t="s">
        <v>80</v>
      </c>
      <c r="S36" s="7"/>
      <c r="T36" s="21"/>
    </row>
    <row r="37" spans="1:45" s="1" customFormat="1" ht="89.25" x14ac:dyDescent="0.2">
      <c r="A37" s="1">
        <v>36</v>
      </c>
      <c r="B37" s="1" t="s">
        <v>581</v>
      </c>
      <c r="C37" s="39" t="s">
        <v>84</v>
      </c>
      <c r="D37" s="39" t="s">
        <v>84</v>
      </c>
      <c r="E37" s="39" t="s">
        <v>84</v>
      </c>
      <c r="F37" s="39"/>
      <c r="G37" s="39"/>
      <c r="H37" s="39" t="s">
        <v>84</v>
      </c>
      <c r="I37" s="39"/>
      <c r="J37" s="39"/>
      <c r="K37" s="39"/>
      <c r="L37" s="1" t="s">
        <v>82</v>
      </c>
      <c r="M37" s="7"/>
      <c r="N37" s="21"/>
      <c r="O37" s="43" t="s">
        <v>84</v>
      </c>
      <c r="P37" s="21" t="s">
        <v>1933</v>
      </c>
      <c r="R37" s="1" t="s">
        <v>82</v>
      </c>
      <c r="S37" s="7" t="s">
        <v>582</v>
      </c>
      <c r="T37" s="21" t="s">
        <v>3718</v>
      </c>
    </row>
    <row r="38" spans="1:45" s="1" customFormat="1" ht="204" x14ac:dyDescent="0.2">
      <c r="A38" s="1">
        <v>37</v>
      </c>
      <c r="B38" s="1" t="s">
        <v>593</v>
      </c>
      <c r="C38" s="39"/>
      <c r="D38" s="39" t="s">
        <v>84</v>
      </c>
      <c r="E38" s="39" t="s">
        <v>84</v>
      </c>
      <c r="F38" s="39"/>
      <c r="G38" s="39" t="s">
        <v>84</v>
      </c>
      <c r="H38" s="39" t="s">
        <v>84</v>
      </c>
      <c r="I38" s="39"/>
      <c r="J38" s="39"/>
      <c r="K38" s="39"/>
      <c r="L38" s="1" t="s">
        <v>84</v>
      </c>
      <c r="M38" s="7" t="s">
        <v>594</v>
      </c>
      <c r="N38" s="21" t="s">
        <v>3626</v>
      </c>
      <c r="O38" s="1" t="s">
        <v>84</v>
      </c>
      <c r="P38" s="1" t="s">
        <v>3936</v>
      </c>
      <c r="Q38" s="7" t="s">
        <v>2493</v>
      </c>
      <c r="R38" s="1" t="s">
        <v>80</v>
      </c>
      <c r="S38" s="7"/>
      <c r="T38" s="21"/>
    </row>
    <row r="39" spans="1:45" s="1" customFormat="1" ht="280.5" x14ac:dyDescent="0.2">
      <c r="A39" s="1">
        <v>38</v>
      </c>
      <c r="B39" s="11" t="s">
        <v>714</v>
      </c>
      <c r="C39" s="39" t="s">
        <v>84</v>
      </c>
      <c r="D39" s="39" t="s">
        <v>84</v>
      </c>
      <c r="E39" s="39"/>
      <c r="F39" s="39" t="s">
        <v>84</v>
      </c>
      <c r="G39" s="39"/>
      <c r="H39" s="39" t="s">
        <v>82</v>
      </c>
      <c r="I39" s="39"/>
      <c r="J39" s="39" t="s">
        <v>84</v>
      </c>
      <c r="K39" s="39"/>
      <c r="L39" s="11" t="s">
        <v>84</v>
      </c>
      <c r="M39" s="7" t="s">
        <v>715</v>
      </c>
      <c r="N39" s="21" t="s">
        <v>3649</v>
      </c>
      <c r="O39" s="39" t="s">
        <v>84</v>
      </c>
      <c r="P39" s="39" t="s">
        <v>1350</v>
      </c>
      <c r="Q39" s="11"/>
      <c r="R39" s="11" t="s">
        <v>84</v>
      </c>
      <c r="S39" s="7" t="s">
        <v>716</v>
      </c>
      <c r="T39" s="21" t="s">
        <v>3729</v>
      </c>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row>
    <row r="40" spans="1:45" ht="51" x14ac:dyDescent="0.2">
      <c r="A40" s="1">
        <v>39</v>
      </c>
      <c r="B40" s="11" t="s">
        <v>731</v>
      </c>
      <c r="C40" s="39" t="s">
        <v>84</v>
      </c>
      <c r="D40" s="39" t="s">
        <v>84</v>
      </c>
      <c r="E40" s="39"/>
      <c r="F40" s="39"/>
      <c r="G40" s="39"/>
      <c r="H40" s="39" t="s">
        <v>82</v>
      </c>
      <c r="I40" s="39"/>
      <c r="J40" s="39"/>
      <c r="K40" s="39"/>
      <c r="L40" s="11" t="s">
        <v>84</v>
      </c>
      <c r="M40" s="7" t="s">
        <v>3690</v>
      </c>
      <c r="N40" s="21" t="s">
        <v>3650</v>
      </c>
      <c r="O40" s="11" t="s">
        <v>82</v>
      </c>
      <c r="P40" s="11"/>
      <c r="Q40" s="11"/>
      <c r="R40" s="11" t="s">
        <v>84</v>
      </c>
      <c r="S40" s="7" t="s">
        <v>733</v>
      </c>
      <c r="T40" s="2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row>
    <row r="41" spans="1:45" ht="63.75" x14ac:dyDescent="0.2">
      <c r="A41" s="1">
        <v>40</v>
      </c>
      <c r="B41" s="11" t="s">
        <v>750</v>
      </c>
      <c r="C41" s="39" t="s">
        <v>84</v>
      </c>
      <c r="D41" s="39" t="s">
        <v>84</v>
      </c>
      <c r="E41" s="39" t="s">
        <v>84</v>
      </c>
      <c r="F41" s="39"/>
      <c r="G41" s="39"/>
      <c r="H41" s="39" t="s">
        <v>82</v>
      </c>
      <c r="I41" s="39"/>
      <c r="J41" s="39"/>
      <c r="K41" s="39"/>
      <c r="L41" s="11" t="s">
        <v>84</v>
      </c>
      <c r="M41" s="7" t="s">
        <v>751</v>
      </c>
      <c r="N41" s="21"/>
      <c r="O41" s="11" t="s">
        <v>82</v>
      </c>
      <c r="P41" s="11"/>
      <c r="Q41" s="11"/>
      <c r="R41" s="11" t="s">
        <v>84</v>
      </c>
      <c r="S41" s="7" t="s">
        <v>752</v>
      </c>
      <c r="T41" s="2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row>
    <row r="42" spans="1:45" x14ac:dyDescent="0.2">
      <c r="A42" s="1">
        <v>41</v>
      </c>
      <c r="B42" s="11" t="s">
        <v>770</v>
      </c>
      <c r="C42" s="39" t="s">
        <v>84</v>
      </c>
      <c r="D42" s="39" t="s">
        <v>84</v>
      </c>
      <c r="E42" s="39"/>
      <c r="F42" s="39"/>
      <c r="G42" s="39"/>
      <c r="H42" s="39" t="s">
        <v>82</v>
      </c>
      <c r="I42" s="39"/>
      <c r="J42" s="39"/>
      <c r="K42" s="39"/>
      <c r="L42" s="11" t="s">
        <v>82</v>
      </c>
      <c r="M42" s="7"/>
      <c r="N42" s="21"/>
      <c r="O42" s="11" t="s">
        <v>82</v>
      </c>
      <c r="P42" s="11"/>
      <c r="Q42" s="11"/>
      <c r="R42" s="11" t="s">
        <v>82</v>
      </c>
      <c r="S42" s="7"/>
      <c r="T42" s="2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row>
    <row r="43" spans="1:45" ht="38.25" x14ac:dyDescent="0.2">
      <c r="A43" s="1">
        <v>42</v>
      </c>
      <c r="B43" s="11" t="s">
        <v>782</v>
      </c>
      <c r="C43" s="39" t="s">
        <v>84</v>
      </c>
      <c r="D43" s="39" t="s">
        <v>84</v>
      </c>
      <c r="E43" s="39" t="s">
        <v>84</v>
      </c>
      <c r="F43" s="39"/>
      <c r="G43" s="39"/>
      <c r="H43" s="39" t="s">
        <v>82</v>
      </c>
      <c r="I43" s="39"/>
      <c r="J43" s="39"/>
      <c r="K43" s="39"/>
      <c r="L43" s="11" t="s">
        <v>82</v>
      </c>
      <c r="M43" s="7"/>
      <c r="N43" s="21"/>
      <c r="O43" s="11" t="s">
        <v>82</v>
      </c>
      <c r="P43" s="11"/>
      <c r="Q43" s="11"/>
      <c r="R43" s="11" t="s">
        <v>82</v>
      </c>
      <c r="S43" s="7"/>
      <c r="T43" s="2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row>
    <row r="44" spans="1:45" ht="25.5" x14ac:dyDescent="0.2">
      <c r="A44" s="1">
        <v>43</v>
      </c>
      <c r="B44" s="11" t="s">
        <v>496</v>
      </c>
      <c r="C44" s="39"/>
      <c r="D44" s="39" t="s">
        <v>84</v>
      </c>
      <c r="E44" s="39"/>
      <c r="F44" s="39"/>
      <c r="G44" s="39"/>
      <c r="H44" s="39" t="s">
        <v>82</v>
      </c>
      <c r="I44" s="39"/>
      <c r="J44" s="39"/>
      <c r="K44" s="39"/>
      <c r="L44" s="11" t="s">
        <v>82</v>
      </c>
      <c r="M44" s="7"/>
      <c r="N44" s="21"/>
      <c r="O44" s="11" t="s">
        <v>82</v>
      </c>
      <c r="P44" s="11"/>
      <c r="Q44" s="11"/>
      <c r="R44" s="11" t="s">
        <v>82</v>
      </c>
      <c r="S44" s="7" t="s">
        <v>788</v>
      </c>
      <c r="T44" s="2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row>
    <row r="45" spans="1:45" ht="25.5" x14ac:dyDescent="0.2">
      <c r="A45" s="1">
        <v>44</v>
      </c>
      <c r="B45" s="33" t="s">
        <v>805</v>
      </c>
      <c r="C45" s="46" t="s">
        <v>84</v>
      </c>
      <c r="D45" s="46" t="s">
        <v>84</v>
      </c>
      <c r="E45" s="46" t="s">
        <v>84</v>
      </c>
      <c r="F45" s="46"/>
      <c r="G45" s="46" t="s">
        <v>84</v>
      </c>
      <c r="H45" s="46" t="s">
        <v>82</v>
      </c>
      <c r="I45" s="46"/>
      <c r="J45" s="46"/>
      <c r="K45" s="46"/>
      <c r="L45" s="33" t="s">
        <v>82</v>
      </c>
      <c r="M45" s="52"/>
      <c r="N45" s="45"/>
      <c r="O45" s="33" t="s">
        <v>82</v>
      </c>
      <c r="P45" s="33"/>
      <c r="Q45" s="33"/>
      <c r="R45" s="33" t="s">
        <v>84</v>
      </c>
      <c r="S45" s="52"/>
      <c r="T45" s="45"/>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row>
    <row r="46" spans="1:45" x14ac:dyDescent="0.2">
      <c r="A46" s="1">
        <v>45</v>
      </c>
      <c r="B46" s="11" t="s">
        <v>811</v>
      </c>
      <c r="C46" s="39"/>
      <c r="D46" s="39" t="s">
        <v>84</v>
      </c>
      <c r="E46" s="39"/>
      <c r="F46" s="39"/>
      <c r="G46" s="39"/>
      <c r="H46" s="39" t="s">
        <v>84</v>
      </c>
      <c r="I46" s="39"/>
      <c r="J46" s="39"/>
      <c r="K46" s="39"/>
      <c r="L46" s="11" t="s">
        <v>82</v>
      </c>
      <c r="M46" s="7"/>
      <c r="N46" s="21"/>
      <c r="O46" s="11" t="s">
        <v>84</v>
      </c>
      <c r="P46" s="11" t="s">
        <v>812</v>
      </c>
      <c r="Q46" s="19" t="s">
        <v>813</v>
      </c>
      <c r="R46" s="11" t="s">
        <v>80</v>
      </c>
      <c r="S46" s="7"/>
      <c r="T46" s="2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row>
    <row r="47" spans="1:45" ht="76.5" x14ac:dyDescent="0.2">
      <c r="A47" s="1">
        <v>46</v>
      </c>
      <c r="B47" s="11" t="s">
        <v>821</v>
      </c>
      <c r="C47" s="39" t="s">
        <v>84</v>
      </c>
      <c r="D47" s="39" t="s">
        <v>84</v>
      </c>
      <c r="E47" s="39"/>
      <c r="F47" s="39"/>
      <c r="G47" s="39"/>
      <c r="H47" s="39" t="s">
        <v>84</v>
      </c>
      <c r="I47" s="39" t="s">
        <v>84</v>
      </c>
      <c r="J47" s="39"/>
      <c r="K47" s="39"/>
      <c r="L47" s="11" t="s">
        <v>84</v>
      </c>
      <c r="M47" s="7" t="s">
        <v>822</v>
      </c>
      <c r="N47" s="21" t="s">
        <v>3630</v>
      </c>
      <c r="O47" s="11" t="s">
        <v>84</v>
      </c>
      <c r="P47" s="11" t="s">
        <v>823</v>
      </c>
      <c r="Q47" s="11" t="s">
        <v>3694</v>
      </c>
      <c r="R47" s="11" t="s">
        <v>80</v>
      </c>
      <c r="S47" s="7"/>
      <c r="T47" s="2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row>
    <row r="48" spans="1:45" ht="102" x14ac:dyDescent="0.2">
      <c r="A48" s="1">
        <v>47</v>
      </c>
      <c r="B48" s="11" t="s">
        <v>839</v>
      </c>
      <c r="C48" s="39" t="s">
        <v>84</v>
      </c>
      <c r="D48" s="39" t="s">
        <v>84</v>
      </c>
      <c r="E48" s="39"/>
      <c r="F48" s="39" t="s">
        <v>84</v>
      </c>
      <c r="G48" s="39"/>
      <c r="H48" s="39" t="s">
        <v>84</v>
      </c>
      <c r="I48" s="39"/>
      <c r="J48" s="39"/>
      <c r="K48" s="39" t="s">
        <v>1930</v>
      </c>
      <c r="L48" s="11" t="s">
        <v>82</v>
      </c>
      <c r="M48" s="7"/>
      <c r="N48" s="21"/>
      <c r="O48" s="11" t="s">
        <v>84</v>
      </c>
      <c r="P48" s="11" t="s">
        <v>3696</v>
      </c>
      <c r="Q48" s="11" t="s">
        <v>3695</v>
      </c>
      <c r="R48" s="11" t="s">
        <v>80</v>
      </c>
      <c r="S48" s="7"/>
      <c r="T48" s="2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row>
    <row r="49" spans="1:45" ht="25.5" x14ac:dyDescent="0.2">
      <c r="A49" s="1">
        <v>48</v>
      </c>
      <c r="B49" s="11" t="s">
        <v>856</v>
      </c>
      <c r="C49" s="39" t="s">
        <v>84</v>
      </c>
      <c r="D49" s="39" t="s">
        <v>84</v>
      </c>
      <c r="E49" s="39"/>
      <c r="F49" s="39"/>
      <c r="G49" s="39"/>
      <c r="H49" s="39" t="s">
        <v>82</v>
      </c>
      <c r="I49" s="39"/>
      <c r="J49" s="39"/>
      <c r="K49" s="39"/>
      <c r="L49" s="11" t="s">
        <v>82</v>
      </c>
      <c r="M49" s="7"/>
      <c r="N49" s="21"/>
      <c r="O49" s="11" t="s">
        <v>82</v>
      </c>
      <c r="P49" s="11"/>
      <c r="Q49" s="11"/>
      <c r="R49" s="11" t="s">
        <v>82</v>
      </c>
      <c r="S49" s="7"/>
      <c r="T49" s="2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row>
    <row r="50" spans="1:45" x14ac:dyDescent="0.2">
      <c r="A50" s="1">
        <v>49</v>
      </c>
      <c r="B50" s="11" t="s">
        <v>867</v>
      </c>
      <c r="C50" s="39" t="s">
        <v>84</v>
      </c>
      <c r="D50" s="39" t="s">
        <v>84</v>
      </c>
      <c r="E50" s="39" t="s">
        <v>84</v>
      </c>
      <c r="F50" s="39"/>
      <c r="G50" s="39"/>
      <c r="H50" s="39" t="s">
        <v>82</v>
      </c>
      <c r="I50" s="39"/>
      <c r="J50" s="39"/>
      <c r="K50" s="39"/>
      <c r="L50" s="11" t="s">
        <v>82</v>
      </c>
      <c r="M50" s="7"/>
      <c r="N50" s="21"/>
      <c r="O50" s="11" t="s">
        <v>82</v>
      </c>
      <c r="P50" s="11"/>
      <c r="Q50" s="11"/>
      <c r="R50" s="11" t="s">
        <v>82</v>
      </c>
      <c r="S50" s="7"/>
      <c r="T50" s="2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row>
    <row r="51" spans="1:45" s="1" customFormat="1" ht="38.25" x14ac:dyDescent="0.2">
      <c r="A51" s="1">
        <v>50</v>
      </c>
      <c r="B51" s="11" t="s">
        <v>880</v>
      </c>
      <c r="C51" s="39"/>
      <c r="D51" s="39" t="s">
        <v>84</v>
      </c>
      <c r="E51" s="39"/>
      <c r="F51" s="39" t="s">
        <v>84</v>
      </c>
      <c r="G51" s="39"/>
      <c r="H51" s="39" t="s">
        <v>82</v>
      </c>
      <c r="I51" s="39"/>
      <c r="J51" s="39"/>
      <c r="K51" s="39"/>
      <c r="L51" s="11" t="s">
        <v>82</v>
      </c>
      <c r="M51" s="7"/>
      <c r="N51" s="21"/>
      <c r="O51" s="11" t="s">
        <v>82</v>
      </c>
      <c r="P51" s="11"/>
      <c r="Q51" s="11"/>
      <c r="R51" s="11" t="s">
        <v>82</v>
      </c>
      <c r="S51" s="7" t="s">
        <v>881</v>
      </c>
      <c r="T51" s="21" t="s">
        <v>709</v>
      </c>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row>
    <row r="52" spans="1:45" s="1" customFormat="1" x14ac:dyDescent="0.2">
      <c r="A52" s="1">
        <v>51</v>
      </c>
      <c r="B52" s="11" t="s">
        <v>892</v>
      </c>
      <c r="C52" s="39" t="s">
        <v>84</v>
      </c>
      <c r="D52" s="39" t="s">
        <v>84</v>
      </c>
      <c r="E52" s="39"/>
      <c r="F52" s="39"/>
      <c r="G52" s="39"/>
      <c r="H52" s="39" t="s">
        <v>82</v>
      </c>
      <c r="I52" s="39"/>
      <c r="J52" s="39"/>
      <c r="K52" s="39"/>
      <c r="L52" s="11" t="s">
        <v>82</v>
      </c>
      <c r="M52" s="7"/>
      <c r="N52" s="21"/>
      <c r="O52" s="11" t="s">
        <v>82</v>
      </c>
      <c r="P52" s="11"/>
      <c r="Q52" s="11"/>
      <c r="R52" s="11" t="s">
        <v>82</v>
      </c>
      <c r="S52" s="7"/>
      <c r="T52" s="2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row>
    <row r="53" spans="1:45" s="1" customFormat="1" x14ac:dyDescent="0.2">
      <c r="A53" s="1">
        <v>52</v>
      </c>
      <c r="B53" s="11" t="s">
        <v>901</v>
      </c>
      <c r="C53" s="39"/>
      <c r="D53" s="39" t="s">
        <v>84</v>
      </c>
      <c r="E53" s="39"/>
      <c r="F53" s="39"/>
      <c r="G53" s="39"/>
      <c r="H53" s="39" t="s">
        <v>82</v>
      </c>
      <c r="I53" s="39"/>
      <c r="J53" s="39" t="s">
        <v>84</v>
      </c>
      <c r="K53" s="39"/>
      <c r="L53" s="11" t="s">
        <v>82</v>
      </c>
      <c r="M53" s="7"/>
      <c r="N53" s="21"/>
      <c r="O53" s="11" t="s">
        <v>82</v>
      </c>
      <c r="P53" s="11"/>
      <c r="Q53" s="11"/>
      <c r="R53" s="11" t="s">
        <v>82</v>
      </c>
      <c r="S53" s="7"/>
      <c r="T53" s="2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row>
    <row r="54" spans="1:45" s="1" customFormat="1" ht="102" x14ac:dyDescent="0.2">
      <c r="A54" s="1">
        <v>53</v>
      </c>
      <c r="B54" s="11" t="s">
        <v>904</v>
      </c>
      <c r="C54" s="39" t="s">
        <v>84</v>
      </c>
      <c r="D54" s="39" t="s">
        <v>84</v>
      </c>
      <c r="E54" s="39" t="s">
        <v>84</v>
      </c>
      <c r="F54" s="39"/>
      <c r="G54" s="39"/>
      <c r="H54" s="39" t="s">
        <v>84</v>
      </c>
      <c r="I54" s="39"/>
      <c r="J54" s="39"/>
      <c r="K54" s="39"/>
      <c r="L54" s="11" t="s">
        <v>84</v>
      </c>
      <c r="M54" s="7" t="s">
        <v>905</v>
      </c>
      <c r="N54" s="21" t="s">
        <v>3632</v>
      </c>
      <c r="O54" s="11" t="s">
        <v>84</v>
      </c>
      <c r="P54" s="11" t="s">
        <v>3937</v>
      </c>
      <c r="Q54" s="7" t="s">
        <v>3697</v>
      </c>
      <c r="R54" s="11" t="s">
        <v>80</v>
      </c>
      <c r="S54" s="7"/>
      <c r="T54" s="2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row>
    <row r="55" spans="1:45" s="1" customFormat="1" x14ac:dyDescent="0.2">
      <c r="A55" s="1">
        <v>54</v>
      </c>
      <c r="B55" s="11" t="s">
        <v>921</v>
      </c>
      <c r="C55" s="39"/>
      <c r="D55" s="39" t="s">
        <v>84</v>
      </c>
      <c r="E55" s="39"/>
      <c r="F55" s="39" t="s">
        <v>84</v>
      </c>
      <c r="G55" s="39"/>
      <c r="H55" s="39" t="s">
        <v>82</v>
      </c>
      <c r="I55" s="39"/>
      <c r="J55" s="39"/>
      <c r="K55" s="39"/>
      <c r="L55" s="11" t="s">
        <v>84</v>
      </c>
      <c r="M55" s="7"/>
      <c r="N55" s="21"/>
      <c r="O55" s="39" t="s">
        <v>84</v>
      </c>
      <c r="P55" s="39" t="s">
        <v>1114</v>
      </c>
      <c r="Q55" s="11"/>
      <c r="R55" s="11" t="s">
        <v>84</v>
      </c>
      <c r="S55" s="7"/>
      <c r="T55" s="2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row>
    <row r="56" spans="1:45" s="1" customFormat="1" ht="114.75" x14ac:dyDescent="0.2">
      <c r="A56" s="1">
        <v>55</v>
      </c>
      <c r="B56" s="11" t="s">
        <v>927</v>
      </c>
      <c r="C56" s="39" t="s">
        <v>84</v>
      </c>
      <c r="D56" s="39" t="s">
        <v>84</v>
      </c>
      <c r="E56" s="39"/>
      <c r="F56" s="39"/>
      <c r="G56" s="39" t="s">
        <v>84</v>
      </c>
      <c r="H56" s="39" t="s">
        <v>84</v>
      </c>
      <c r="I56" s="39" t="s">
        <v>84</v>
      </c>
      <c r="J56" s="39" t="s">
        <v>84</v>
      </c>
      <c r="K56" s="39" t="s">
        <v>1931</v>
      </c>
      <c r="L56" s="11" t="s">
        <v>84</v>
      </c>
      <c r="M56" s="7" t="s">
        <v>928</v>
      </c>
      <c r="N56" s="21"/>
      <c r="O56" s="11" t="s">
        <v>84</v>
      </c>
      <c r="P56" s="11" t="s">
        <v>2491</v>
      </c>
      <c r="Q56" s="11" t="s">
        <v>2492</v>
      </c>
      <c r="R56" s="11" t="s">
        <v>80</v>
      </c>
      <c r="S56" s="7"/>
      <c r="T56" s="2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row>
    <row r="57" spans="1:45" s="1" customFormat="1" ht="63.75" x14ac:dyDescent="0.2">
      <c r="A57" s="1">
        <v>56</v>
      </c>
      <c r="B57" s="11" t="s">
        <v>947</v>
      </c>
      <c r="C57" s="39" t="s">
        <v>84</v>
      </c>
      <c r="D57" s="39" t="s">
        <v>84</v>
      </c>
      <c r="E57" s="39"/>
      <c r="F57" s="39"/>
      <c r="G57" s="39"/>
      <c r="H57" s="39" t="s">
        <v>84</v>
      </c>
      <c r="I57" s="39" t="s">
        <v>84</v>
      </c>
      <c r="J57" s="39"/>
      <c r="K57" s="39"/>
      <c r="L57" s="11" t="s">
        <v>84</v>
      </c>
      <c r="M57" s="7" t="s">
        <v>948</v>
      </c>
      <c r="N57" s="21" t="s">
        <v>3631</v>
      </c>
      <c r="O57" s="11" t="s">
        <v>84</v>
      </c>
      <c r="P57" s="11" t="s">
        <v>3938</v>
      </c>
      <c r="Q57" s="7" t="s">
        <v>2851</v>
      </c>
      <c r="R57" s="11" t="s">
        <v>80</v>
      </c>
      <c r="S57" s="7"/>
      <c r="T57" s="2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row>
    <row r="58" spans="1:45" s="1" customFormat="1" x14ac:dyDescent="0.2">
      <c r="A58" s="1">
        <v>57</v>
      </c>
      <c r="B58" s="11" t="s">
        <v>962</v>
      </c>
      <c r="C58" s="39" t="s">
        <v>84</v>
      </c>
      <c r="D58" s="39" t="s">
        <v>84</v>
      </c>
      <c r="E58" s="39" t="s">
        <v>84</v>
      </c>
      <c r="F58" s="39"/>
      <c r="G58" s="39"/>
      <c r="H58" s="39" t="s">
        <v>82</v>
      </c>
      <c r="I58" s="39"/>
      <c r="J58" s="39"/>
      <c r="K58" s="39"/>
      <c r="L58" s="11" t="s">
        <v>82</v>
      </c>
      <c r="M58" s="7"/>
      <c r="N58" s="21"/>
      <c r="O58" s="11" t="s">
        <v>82</v>
      </c>
      <c r="P58" s="11"/>
      <c r="Q58" s="11"/>
      <c r="R58" s="11" t="s">
        <v>82</v>
      </c>
      <c r="S58" s="7"/>
      <c r="T58" s="2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row>
    <row r="59" spans="1:45" s="1" customFormat="1" ht="140.25" x14ac:dyDescent="0.2">
      <c r="A59" s="1">
        <v>58</v>
      </c>
      <c r="B59" s="11" t="s">
        <v>1075</v>
      </c>
      <c r="C59" s="39"/>
      <c r="D59" s="39" t="s">
        <v>84</v>
      </c>
      <c r="E59" s="39" t="s">
        <v>84</v>
      </c>
      <c r="F59" s="39" t="s">
        <v>84</v>
      </c>
      <c r="G59" s="39"/>
      <c r="H59" s="39" t="s">
        <v>82</v>
      </c>
      <c r="I59" s="39"/>
      <c r="J59" s="39"/>
      <c r="K59" s="39"/>
      <c r="L59" s="11" t="s">
        <v>84</v>
      </c>
      <c r="M59" s="7" t="s">
        <v>1076</v>
      </c>
      <c r="N59" s="21" t="s">
        <v>3633</v>
      </c>
      <c r="O59" s="11" t="s">
        <v>82</v>
      </c>
      <c r="P59" s="11"/>
      <c r="Q59" s="11"/>
      <c r="R59" s="11" t="s">
        <v>84</v>
      </c>
      <c r="S59" s="7" t="s">
        <v>1077</v>
      </c>
      <c r="T59" s="21" t="s">
        <v>3718</v>
      </c>
    </row>
    <row r="60" spans="1:45" s="1" customFormat="1" x14ac:dyDescent="0.2">
      <c r="A60" s="1">
        <v>59</v>
      </c>
      <c r="B60" s="11" t="s">
        <v>1092</v>
      </c>
      <c r="C60" s="39" t="s">
        <v>84</v>
      </c>
      <c r="D60" s="39" t="s">
        <v>84</v>
      </c>
      <c r="E60" s="39" t="s">
        <v>84</v>
      </c>
      <c r="F60" s="39" t="s">
        <v>84</v>
      </c>
      <c r="G60" s="39"/>
      <c r="H60" s="39" t="s">
        <v>82</v>
      </c>
      <c r="I60" s="39" t="s">
        <v>84</v>
      </c>
      <c r="J60" s="39"/>
      <c r="K60" s="39"/>
      <c r="L60" s="11" t="s">
        <v>84</v>
      </c>
      <c r="M60" s="7" t="s">
        <v>1093</v>
      </c>
      <c r="N60" s="21" t="s">
        <v>1093</v>
      </c>
      <c r="O60" s="11" t="s">
        <v>82</v>
      </c>
      <c r="P60" s="11"/>
      <c r="Q60" s="11"/>
      <c r="R60" s="11" t="s">
        <v>84</v>
      </c>
      <c r="S60" s="7" t="s">
        <v>1094</v>
      </c>
      <c r="T60" s="21" t="s">
        <v>1072</v>
      </c>
    </row>
    <row r="61" spans="1:45" s="1" customFormat="1" ht="38.25" x14ac:dyDescent="0.2">
      <c r="A61" s="1">
        <v>60</v>
      </c>
      <c r="B61" s="11" t="s">
        <v>1103</v>
      </c>
      <c r="C61" s="39"/>
      <c r="D61" s="39" t="s">
        <v>84</v>
      </c>
      <c r="E61" s="39" t="s">
        <v>84</v>
      </c>
      <c r="F61" s="39" t="s">
        <v>84</v>
      </c>
      <c r="G61" s="39"/>
      <c r="H61" s="39" t="s">
        <v>82</v>
      </c>
      <c r="I61" s="39"/>
      <c r="J61" s="39"/>
      <c r="K61" s="39"/>
      <c r="L61" s="11" t="s">
        <v>84</v>
      </c>
      <c r="M61" s="7" t="s">
        <v>1104</v>
      </c>
      <c r="N61" s="21"/>
      <c r="O61" s="11" t="s">
        <v>82</v>
      </c>
      <c r="P61" s="11"/>
      <c r="Q61" s="11"/>
      <c r="R61" s="11" t="s">
        <v>84</v>
      </c>
      <c r="S61" s="7"/>
      <c r="T61" s="21"/>
    </row>
    <row r="62" spans="1:45" ht="140.25" x14ac:dyDescent="0.2">
      <c r="A62" s="1">
        <v>61</v>
      </c>
      <c r="B62" s="24"/>
      <c r="C62" s="11" t="s">
        <v>84</v>
      </c>
      <c r="D62" s="11" t="s">
        <v>84</v>
      </c>
      <c r="E62" s="11" t="s">
        <v>84</v>
      </c>
      <c r="F62" s="11" t="s">
        <v>82</v>
      </c>
      <c r="G62" s="11" t="s">
        <v>82</v>
      </c>
      <c r="H62" s="28" t="s">
        <v>82</v>
      </c>
      <c r="I62" s="11" t="s">
        <v>84</v>
      </c>
      <c r="J62" s="11" t="s">
        <v>82</v>
      </c>
      <c r="K62" s="11"/>
      <c r="L62" s="11" t="s">
        <v>84</v>
      </c>
      <c r="M62" s="7" t="s">
        <v>4206</v>
      </c>
      <c r="N62" s="21" t="s">
        <v>3634</v>
      </c>
      <c r="O62" s="11" t="s">
        <v>82</v>
      </c>
      <c r="P62" s="11"/>
      <c r="Q62" s="11"/>
      <c r="R62" s="11" t="s">
        <v>84</v>
      </c>
      <c r="S62" s="7" t="s">
        <v>1298</v>
      </c>
      <c r="T62" s="21"/>
    </row>
    <row r="63" spans="1:45" x14ac:dyDescent="0.2">
      <c r="A63" s="1">
        <v>62</v>
      </c>
      <c r="B63" s="24"/>
      <c r="C63" s="11" t="s">
        <v>84</v>
      </c>
      <c r="D63" s="11" t="s">
        <v>84</v>
      </c>
      <c r="E63" s="11" t="s">
        <v>84</v>
      </c>
      <c r="F63" s="11" t="s">
        <v>82</v>
      </c>
      <c r="G63" s="11" t="s">
        <v>82</v>
      </c>
      <c r="H63" s="28" t="s">
        <v>82</v>
      </c>
      <c r="I63" s="11" t="s">
        <v>82</v>
      </c>
      <c r="J63" s="11" t="s">
        <v>82</v>
      </c>
      <c r="K63" s="11"/>
      <c r="L63" s="11" t="s">
        <v>82</v>
      </c>
      <c r="M63" s="7"/>
      <c r="N63" s="21"/>
      <c r="O63" s="11" t="s">
        <v>82</v>
      </c>
      <c r="P63" s="11"/>
      <c r="Q63" s="11"/>
      <c r="R63" s="11" t="s">
        <v>84</v>
      </c>
      <c r="S63" s="7"/>
      <c r="T63" s="21"/>
    </row>
    <row r="64" spans="1:45" ht="76.5" x14ac:dyDescent="0.2">
      <c r="A64" s="1">
        <v>63</v>
      </c>
      <c r="B64" s="24"/>
      <c r="C64" s="11" t="s">
        <v>84</v>
      </c>
      <c r="D64" s="11" t="s">
        <v>84</v>
      </c>
      <c r="E64" s="11" t="s">
        <v>84</v>
      </c>
      <c r="F64" s="11" t="s">
        <v>84</v>
      </c>
      <c r="G64" s="11" t="s">
        <v>82</v>
      </c>
      <c r="H64" s="28" t="s">
        <v>82</v>
      </c>
      <c r="I64" s="11" t="s">
        <v>84</v>
      </c>
      <c r="J64" s="11" t="s">
        <v>82</v>
      </c>
      <c r="K64" s="11"/>
      <c r="L64" s="11" t="s">
        <v>84</v>
      </c>
      <c r="M64" s="7" t="s">
        <v>1321</v>
      </c>
      <c r="N64" s="21" t="s">
        <v>1321</v>
      </c>
      <c r="O64" s="11" t="s">
        <v>82</v>
      </c>
      <c r="P64" s="11"/>
      <c r="Q64" s="11"/>
      <c r="R64" s="11" t="s">
        <v>84</v>
      </c>
      <c r="S64" s="7" t="s">
        <v>1322</v>
      </c>
      <c r="T64" s="21" t="s">
        <v>3716</v>
      </c>
    </row>
    <row r="65" spans="1:20" ht="25.5" x14ac:dyDescent="0.2">
      <c r="A65" s="1">
        <v>64</v>
      </c>
      <c r="B65" s="33"/>
      <c r="C65" s="33" t="s">
        <v>84</v>
      </c>
      <c r="D65" s="33" t="s">
        <v>84</v>
      </c>
      <c r="E65" s="33" t="s">
        <v>84</v>
      </c>
      <c r="F65" s="33" t="s">
        <v>82</v>
      </c>
      <c r="G65" s="33" t="s">
        <v>82</v>
      </c>
      <c r="H65" s="33" t="s">
        <v>82</v>
      </c>
      <c r="I65" s="33" t="s">
        <v>84</v>
      </c>
      <c r="J65" s="33" t="s">
        <v>82</v>
      </c>
      <c r="K65" s="33"/>
      <c r="L65" s="33" t="s">
        <v>82</v>
      </c>
      <c r="M65" s="33"/>
      <c r="N65" s="45"/>
      <c r="O65" s="33" t="s">
        <v>82</v>
      </c>
      <c r="P65" s="33"/>
      <c r="Q65" s="33"/>
      <c r="R65" s="33" t="s">
        <v>82</v>
      </c>
      <c r="S65" s="52" t="s">
        <v>1337</v>
      </c>
      <c r="T65" s="45" t="s">
        <v>3717</v>
      </c>
    </row>
    <row r="66" spans="1:20" ht="51" x14ac:dyDescent="0.2">
      <c r="A66" s="1">
        <v>65</v>
      </c>
      <c r="B66" s="24"/>
      <c r="C66" s="11" t="s">
        <v>84</v>
      </c>
      <c r="D66" s="11" t="s">
        <v>84</v>
      </c>
      <c r="E66" s="11" t="s">
        <v>84</v>
      </c>
      <c r="F66" s="11" t="s">
        <v>82</v>
      </c>
      <c r="G66" s="11" t="s">
        <v>82</v>
      </c>
      <c r="H66" s="43" t="s">
        <v>84</v>
      </c>
      <c r="I66" s="11" t="s">
        <v>84</v>
      </c>
      <c r="J66" s="11" t="s">
        <v>82</v>
      </c>
      <c r="L66" s="11" t="s">
        <v>84</v>
      </c>
      <c r="M66" s="19" t="s">
        <v>1339</v>
      </c>
      <c r="N66" s="21" t="s">
        <v>3626</v>
      </c>
      <c r="O66" s="39" t="s">
        <v>84</v>
      </c>
      <c r="P66" s="11" t="s">
        <v>3894</v>
      </c>
      <c r="Q66" s="11"/>
      <c r="R66" s="11" t="s">
        <v>84</v>
      </c>
      <c r="S66" s="7" t="s">
        <v>1340</v>
      </c>
      <c r="T66" s="21" t="s">
        <v>1072</v>
      </c>
    </row>
    <row r="67" spans="1:20" x14ac:dyDescent="0.2">
      <c r="A67" s="1">
        <v>66</v>
      </c>
      <c r="B67" s="24"/>
      <c r="C67" s="11" t="s">
        <v>84</v>
      </c>
      <c r="D67" s="11" t="s">
        <v>84</v>
      </c>
      <c r="E67" s="11" t="s">
        <v>84</v>
      </c>
      <c r="F67" s="11" t="s">
        <v>82</v>
      </c>
      <c r="G67" s="11" t="s">
        <v>84</v>
      </c>
      <c r="H67" s="28" t="s">
        <v>82</v>
      </c>
      <c r="I67" s="11" t="s">
        <v>82</v>
      </c>
      <c r="J67" s="11" t="s">
        <v>84</v>
      </c>
      <c r="K67" s="11"/>
      <c r="L67" s="11" t="s">
        <v>82</v>
      </c>
      <c r="M67" s="11"/>
      <c r="N67" s="21"/>
      <c r="O67" s="11" t="s">
        <v>82</v>
      </c>
      <c r="P67" s="11"/>
      <c r="Q67" s="11"/>
      <c r="R67" s="11" t="s">
        <v>82</v>
      </c>
      <c r="S67" s="7"/>
      <c r="T67" s="21"/>
    </row>
    <row r="68" spans="1:20" ht="25.5" x14ac:dyDescent="0.2">
      <c r="A68" s="1">
        <v>67</v>
      </c>
      <c r="B68" s="24"/>
      <c r="C68" s="11" t="s">
        <v>84</v>
      </c>
      <c r="D68" s="11" t="s">
        <v>84</v>
      </c>
      <c r="E68" s="11" t="s">
        <v>84</v>
      </c>
      <c r="F68" s="11" t="s">
        <v>84</v>
      </c>
      <c r="G68" s="11" t="s">
        <v>82</v>
      </c>
      <c r="H68" s="28" t="s">
        <v>82</v>
      </c>
      <c r="I68" s="11" t="s">
        <v>84</v>
      </c>
      <c r="J68" s="11" t="s">
        <v>84</v>
      </c>
      <c r="K68" s="11"/>
      <c r="L68" s="11" t="s">
        <v>82</v>
      </c>
      <c r="M68" s="11"/>
      <c r="N68" s="21"/>
      <c r="O68" s="11" t="s">
        <v>82</v>
      </c>
      <c r="P68" s="11"/>
      <c r="Q68" s="11"/>
      <c r="R68" s="11" t="s">
        <v>82</v>
      </c>
      <c r="S68" s="7" t="s">
        <v>1359</v>
      </c>
      <c r="T68" s="21" t="s">
        <v>3718</v>
      </c>
    </row>
    <row r="69" spans="1:20" x14ac:dyDescent="0.2">
      <c r="A69" s="1">
        <v>68</v>
      </c>
      <c r="B69" s="24"/>
      <c r="C69" s="11" t="s">
        <v>84</v>
      </c>
      <c r="D69" s="11" t="s">
        <v>84</v>
      </c>
      <c r="E69" s="11" t="s">
        <v>84</v>
      </c>
      <c r="F69" s="11" t="s">
        <v>82</v>
      </c>
      <c r="G69" s="11" t="s">
        <v>82</v>
      </c>
      <c r="H69" s="28" t="s">
        <v>82</v>
      </c>
      <c r="I69" s="11" t="s">
        <v>82</v>
      </c>
      <c r="J69" s="11" t="s">
        <v>82</v>
      </c>
      <c r="K69" s="11"/>
      <c r="L69" s="11" t="s">
        <v>82</v>
      </c>
      <c r="M69" s="11"/>
      <c r="N69" s="21"/>
      <c r="O69" s="11" t="s">
        <v>82</v>
      </c>
      <c r="P69" s="11"/>
      <c r="Q69" s="11"/>
      <c r="R69" s="11" t="s">
        <v>82</v>
      </c>
      <c r="S69" s="7"/>
      <c r="T69" s="21"/>
    </row>
    <row r="70" spans="1:20" x14ac:dyDescent="0.2">
      <c r="A70" s="1">
        <v>69</v>
      </c>
      <c r="B70" s="24"/>
      <c r="C70" s="11" t="s">
        <v>84</v>
      </c>
      <c r="D70" s="11" t="s">
        <v>82</v>
      </c>
      <c r="E70" s="11" t="s">
        <v>82</v>
      </c>
      <c r="F70" s="11" t="s">
        <v>84</v>
      </c>
      <c r="G70" s="11" t="s">
        <v>82</v>
      </c>
      <c r="H70" s="28" t="s">
        <v>82</v>
      </c>
      <c r="I70" s="11" t="s">
        <v>82</v>
      </c>
      <c r="J70" s="11" t="s">
        <v>84</v>
      </c>
      <c r="K70" s="11"/>
      <c r="L70" s="11" t="s">
        <v>84</v>
      </c>
      <c r="M70" s="11"/>
      <c r="N70" s="21"/>
      <c r="O70" s="11" t="s">
        <v>82</v>
      </c>
      <c r="P70" s="11"/>
      <c r="Q70" s="11"/>
      <c r="R70" s="11" t="s">
        <v>84</v>
      </c>
      <c r="S70" s="7"/>
      <c r="T70" s="21"/>
    </row>
    <row r="71" spans="1:20" x14ac:dyDescent="0.2">
      <c r="A71" s="1">
        <v>70</v>
      </c>
      <c r="B71" s="24"/>
      <c r="C71" s="11" t="s">
        <v>84</v>
      </c>
      <c r="D71" s="11" t="s">
        <v>84</v>
      </c>
      <c r="E71" s="11" t="s">
        <v>84</v>
      </c>
      <c r="F71" s="11" t="s">
        <v>82</v>
      </c>
      <c r="G71" s="11" t="s">
        <v>82</v>
      </c>
      <c r="H71" s="28" t="s">
        <v>84</v>
      </c>
      <c r="I71" s="11" t="s">
        <v>84</v>
      </c>
      <c r="J71" s="11" t="s">
        <v>84</v>
      </c>
      <c r="K71" s="11"/>
      <c r="L71" s="11" t="s">
        <v>82</v>
      </c>
      <c r="M71" s="11"/>
      <c r="N71" s="21"/>
      <c r="O71" s="11" t="s">
        <v>84</v>
      </c>
      <c r="P71" s="11" t="s">
        <v>1933</v>
      </c>
      <c r="Q71" s="11"/>
      <c r="R71" s="11" t="s">
        <v>80</v>
      </c>
      <c r="S71" s="7"/>
      <c r="T71" s="21"/>
    </row>
    <row r="72" spans="1:20" x14ac:dyDescent="0.2">
      <c r="A72" s="1">
        <v>71</v>
      </c>
      <c r="B72" s="24"/>
      <c r="C72" s="11" t="s">
        <v>84</v>
      </c>
      <c r="D72" s="11" t="s">
        <v>84</v>
      </c>
      <c r="E72" s="11" t="s">
        <v>84</v>
      </c>
      <c r="F72" s="11" t="s">
        <v>82</v>
      </c>
      <c r="G72" s="11" t="s">
        <v>82</v>
      </c>
      <c r="H72" s="28" t="s">
        <v>82</v>
      </c>
      <c r="I72" s="11" t="s">
        <v>82</v>
      </c>
      <c r="J72" s="11" t="s">
        <v>82</v>
      </c>
      <c r="K72" s="11"/>
      <c r="L72" s="11" t="s">
        <v>82</v>
      </c>
      <c r="M72" s="11"/>
      <c r="N72" s="21"/>
      <c r="O72" s="11" t="s">
        <v>82</v>
      </c>
      <c r="P72" s="11"/>
      <c r="Q72" s="11"/>
      <c r="R72" s="11" t="s">
        <v>82</v>
      </c>
      <c r="S72" s="7"/>
      <c r="T72" s="21"/>
    </row>
    <row r="73" spans="1:20" ht="51" x14ac:dyDescent="0.2">
      <c r="A73" s="1">
        <v>72</v>
      </c>
      <c r="B73" s="24"/>
      <c r="C73" s="11" t="s">
        <v>84</v>
      </c>
      <c r="D73" s="11" t="s">
        <v>84</v>
      </c>
      <c r="E73" s="11" t="s">
        <v>84</v>
      </c>
      <c r="F73" s="11" t="s">
        <v>84</v>
      </c>
      <c r="G73" s="11" t="s">
        <v>82</v>
      </c>
      <c r="H73" s="28" t="s">
        <v>82</v>
      </c>
      <c r="I73" s="11" t="s">
        <v>84</v>
      </c>
      <c r="J73" s="11" t="s">
        <v>84</v>
      </c>
      <c r="K73" s="11"/>
      <c r="L73" s="11" t="s">
        <v>82</v>
      </c>
      <c r="M73" s="11"/>
      <c r="N73" s="21"/>
      <c r="O73" s="11" t="s">
        <v>82</v>
      </c>
      <c r="P73" s="11"/>
      <c r="Q73" s="11"/>
      <c r="R73" s="11" t="s">
        <v>84</v>
      </c>
      <c r="S73" s="7" t="s">
        <v>1391</v>
      </c>
      <c r="T73" s="21" t="s">
        <v>1072</v>
      </c>
    </row>
    <row r="74" spans="1:20" ht="51" x14ac:dyDescent="0.2">
      <c r="A74" s="1">
        <v>73</v>
      </c>
      <c r="B74" s="33"/>
      <c r="C74" s="33" t="s">
        <v>84</v>
      </c>
      <c r="D74" s="33" t="s">
        <v>84</v>
      </c>
      <c r="E74" s="33" t="s">
        <v>84</v>
      </c>
      <c r="F74" s="33" t="s">
        <v>82</v>
      </c>
      <c r="G74" s="33" t="s">
        <v>82</v>
      </c>
      <c r="H74" s="34" t="s">
        <v>84</v>
      </c>
      <c r="I74" s="33" t="s">
        <v>84</v>
      </c>
      <c r="J74" s="33" t="s">
        <v>84</v>
      </c>
      <c r="K74" s="33"/>
      <c r="L74" s="33" t="s">
        <v>82</v>
      </c>
      <c r="M74" s="33"/>
      <c r="N74" s="45"/>
      <c r="O74" s="46" t="s">
        <v>84</v>
      </c>
      <c r="P74" s="45" t="s">
        <v>1350</v>
      </c>
      <c r="Q74" s="33"/>
      <c r="R74" s="33" t="s">
        <v>84</v>
      </c>
      <c r="S74" s="52" t="s">
        <v>1397</v>
      </c>
      <c r="T74" s="45" t="s">
        <v>3724</v>
      </c>
    </row>
    <row r="75" spans="1:20" x14ac:dyDescent="0.2">
      <c r="A75" s="1">
        <v>74</v>
      </c>
      <c r="B75" s="24"/>
      <c r="C75" s="11" t="s">
        <v>84</v>
      </c>
      <c r="D75" s="11" t="s">
        <v>84</v>
      </c>
      <c r="E75" s="11" t="s">
        <v>84</v>
      </c>
      <c r="F75" s="11" t="s">
        <v>82</v>
      </c>
      <c r="G75" s="11" t="s">
        <v>82</v>
      </c>
      <c r="H75" s="28" t="s">
        <v>82</v>
      </c>
      <c r="I75" s="11" t="s">
        <v>82</v>
      </c>
      <c r="J75" s="11" t="s">
        <v>82</v>
      </c>
      <c r="K75" s="11"/>
      <c r="L75" s="11" t="s">
        <v>82</v>
      </c>
      <c r="M75" s="11"/>
      <c r="N75" s="21"/>
      <c r="O75" s="11" t="s">
        <v>82</v>
      </c>
      <c r="P75" s="11"/>
      <c r="Q75" s="11"/>
      <c r="R75" s="11" t="s">
        <v>82</v>
      </c>
      <c r="S75" s="7"/>
      <c r="T75" s="21"/>
    </row>
    <row r="76" spans="1:20" x14ac:dyDescent="0.2">
      <c r="A76" s="1">
        <v>75</v>
      </c>
      <c r="B76" s="33"/>
      <c r="C76" s="33" t="s">
        <v>84</v>
      </c>
      <c r="D76" s="33" t="s">
        <v>84</v>
      </c>
      <c r="E76" s="33" t="s">
        <v>84</v>
      </c>
      <c r="F76" s="33" t="s">
        <v>84</v>
      </c>
      <c r="G76" s="33" t="s">
        <v>82</v>
      </c>
      <c r="H76" s="33" t="s">
        <v>82</v>
      </c>
      <c r="I76" s="33" t="s">
        <v>82</v>
      </c>
      <c r="J76" s="33" t="s">
        <v>84</v>
      </c>
      <c r="K76" s="33"/>
      <c r="L76" s="33" t="s">
        <v>82</v>
      </c>
      <c r="M76" s="33"/>
      <c r="N76" s="45"/>
      <c r="O76" s="33" t="s">
        <v>82</v>
      </c>
      <c r="P76" s="33"/>
      <c r="Q76" s="33"/>
      <c r="R76" s="33" t="s">
        <v>84</v>
      </c>
      <c r="S76" s="52"/>
      <c r="T76" s="45"/>
    </row>
    <row r="77" spans="1:20" x14ac:dyDescent="0.2">
      <c r="A77" s="1">
        <v>76</v>
      </c>
      <c r="B77" s="24"/>
      <c r="C77" s="11" t="s">
        <v>84</v>
      </c>
      <c r="D77" s="11" t="s">
        <v>84</v>
      </c>
      <c r="E77" s="11" t="s">
        <v>84</v>
      </c>
      <c r="F77" s="11" t="s">
        <v>82</v>
      </c>
      <c r="G77" s="11" t="s">
        <v>82</v>
      </c>
      <c r="H77" s="28" t="s">
        <v>82</v>
      </c>
      <c r="I77" s="11" t="s">
        <v>82</v>
      </c>
      <c r="J77" s="11" t="s">
        <v>84</v>
      </c>
      <c r="K77" s="11"/>
      <c r="L77" s="11" t="s">
        <v>82</v>
      </c>
      <c r="M77" s="11"/>
      <c r="N77" s="21"/>
      <c r="O77" s="39" t="s">
        <v>84</v>
      </c>
      <c r="P77" s="39" t="s">
        <v>1350</v>
      </c>
      <c r="Q77" s="11"/>
      <c r="R77" s="11" t="s">
        <v>82</v>
      </c>
      <c r="S77" s="7" t="s">
        <v>1412</v>
      </c>
      <c r="T77" s="21" t="s">
        <v>3716</v>
      </c>
    </row>
    <row r="78" spans="1:20" ht="114.75" x14ac:dyDescent="0.2">
      <c r="A78" s="1">
        <v>77</v>
      </c>
      <c r="B78" s="24"/>
      <c r="C78" s="11" t="s">
        <v>84</v>
      </c>
      <c r="D78" s="11" t="s">
        <v>84</v>
      </c>
      <c r="E78" s="11" t="s">
        <v>84</v>
      </c>
      <c r="F78" s="11" t="s">
        <v>84</v>
      </c>
      <c r="G78" s="11" t="s">
        <v>82</v>
      </c>
      <c r="H78" s="28" t="s">
        <v>82</v>
      </c>
      <c r="I78" s="11" t="s">
        <v>82</v>
      </c>
      <c r="J78" s="11" t="s">
        <v>82</v>
      </c>
      <c r="K78" s="11"/>
      <c r="L78" s="11" t="s">
        <v>84</v>
      </c>
      <c r="M78" s="7" t="s">
        <v>1422</v>
      </c>
      <c r="N78" s="21" t="s">
        <v>3651</v>
      </c>
      <c r="O78" s="11" t="s">
        <v>82</v>
      </c>
      <c r="P78" s="11"/>
      <c r="Q78" s="11"/>
      <c r="R78" s="11" t="s">
        <v>84</v>
      </c>
      <c r="S78" s="7" t="s">
        <v>246</v>
      </c>
      <c r="T78" s="21"/>
    </row>
    <row r="79" spans="1:20" x14ac:dyDescent="0.2">
      <c r="A79" s="1">
        <v>78</v>
      </c>
      <c r="B79" s="24"/>
      <c r="C79" s="11" t="s">
        <v>84</v>
      </c>
      <c r="D79" s="11" t="s">
        <v>84</v>
      </c>
      <c r="E79" s="11" t="s">
        <v>84</v>
      </c>
      <c r="F79" s="11" t="s">
        <v>82</v>
      </c>
      <c r="G79" s="11" t="s">
        <v>82</v>
      </c>
      <c r="H79" s="28" t="s">
        <v>82</v>
      </c>
      <c r="I79" s="11" t="s">
        <v>82</v>
      </c>
      <c r="J79" s="11" t="s">
        <v>82</v>
      </c>
      <c r="K79" s="11"/>
      <c r="L79" s="11" t="s">
        <v>82</v>
      </c>
      <c r="M79" s="7"/>
      <c r="N79" s="21"/>
      <c r="O79" s="11" t="s">
        <v>82</v>
      </c>
      <c r="P79" s="11"/>
      <c r="Q79" s="11"/>
      <c r="R79" s="11" t="s">
        <v>82</v>
      </c>
      <c r="S79" s="7"/>
      <c r="T79" s="21"/>
    </row>
    <row r="80" spans="1:20" x14ac:dyDescent="0.2">
      <c r="A80" s="1">
        <v>79</v>
      </c>
      <c r="B80" s="24"/>
      <c r="C80" s="11" t="s">
        <v>84</v>
      </c>
      <c r="D80" s="11" t="s">
        <v>84</v>
      </c>
      <c r="E80" s="11" t="s">
        <v>84</v>
      </c>
      <c r="F80" s="11" t="s">
        <v>84</v>
      </c>
      <c r="G80" s="11" t="s">
        <v>82</v>
      </c>
      <c r="H80" s="28" t="s">
        <v>82</v>
      </c>
      <c r="I80" s="11" t="s">
        <v>84</v>
      </c>
      <c r="J80" s="11" t="s">
        <v>82</v>
      </c>
      <c r="K80" s="11"/>
      <c r="L80" s="11" t="s">
        <v>82</v>
      </c>
      <c r="M80" s="7"/>
      <c r="N80" s="21"/>
      <c r="O80" s="11" t="s">
        <v>82</v>
      </c>
      <c r="P80" s="11"/>
      <c r="Q80" s="11"/>
      <c r="R80" s="11" t="s">
        <v>84</v>
      </c>
      <c r="S80" s="7" t="s">
        <v>1430</v>
      </c>
      <c r="T80" s="21" t="s">
        <v>3717</v>
      </c>
    </row>
    <row r="81" spans="1:20" ht="76.5" x14ac:dyDescent="0.2">
      <c r="A81" s="1">
        <v>80</v>
      </c>
      <c r="B81" s="24"/>
      <c r="C81" s="11" t="s">
        <v>84</v>
      </c>
      <c r="D81" s="11" t="s">
        <v>84</v>
      </c>
      <c r="E81" s="11" t="s">
        <v>84</v>
      </c>
      <c r="F81" s="11" t="s">
        <v>84</v>
      </c>
      <c r="G81" s="11" t="s">
        <v>82</v>
      </c>
      <c r="H81" s="28" t="s">
        <v>82</v>
      </c>
      <c r="I81" s="11" t="s">
        <v>84</v>
      </c>
      <c r="J81" s="11" t="s">
        <v>82</v>
      </c>
      <c r="K81" s="11"/>
      <c r="L81" s="11" t="s">
        <v>84</v>
      </c>
      <c r="M81" s="7" t="s">
        <v>1444</v>
      </c>
      <c r="N81" s="21" t="s">
        <v>3652</v>
      </c>
      <c r="O81" s="11" t="s">
        <v>82</v>
      </c>
      <c r="P81" s="11"/>
      <c r="Q81" s="11"/>
      <c r="R81" s="11" t="s">
        <v>84</v>
      </c>
      <c r="S81" s="7" t="s">
        <v>1445</v>
      </c>
      <c r="T81" s="21" t="s">
        <v>3719</v>
      </c>
    </row>
    <row r="82" spans="1:20" ht="25.5" x14ac:dyDescent="0.2">
      <c r="A82" s="1">
        <v>81</v>
      </c>
      <c r="B82" s="24"/>
      <c r="C82" s="11" t="s">
        <v>84</v>
      </c>
      <c r="D82" s="11" t="s">
        <v>84</v>
      </c>
      <c r="E82" s="11" t="s">
        <v>84</v>
      </c>
      <c r="F82" s="11" t="s">
        <v>82</v>
      </c>
      <c r="G82" s="11" t="s">
        <v>82</v>
      </c>
      <c r="H82" s="28" t="s">
        <v>82</v>
      </c>
      <c r="I82" s="11" t="s">
        <v>82</v>
      </c>
      <c r="J82" s="11" t="s">
        <v>82</v>
      </c>
      <c r="K82" s="11"/>
      <c r="L82" s="11" t="s">
        <v>82</v>
      </c>
      <c r="M82" s="7"/>
      <c r="N82" s="21"/>
      <c r="O82" s="11" t="s">
        <v>82</v>
      </c>
      <c r="P82" s="11"/>
      <c r="Q82" s="11"/>
      <c r="R82" s="11" t="s">
        <v>82</v>
      </c>
      <c r="S82" s="7" t="s">
        <v>1455</v>
      </c>
      <c r="T82" s="21" t="s">
        <v>3716</v>
      </c>
    </row>
    <row r="83" spans="1:20" x14ac:dyDescent="0.2">
      <c r="A83" s="1">
        <v>82</v>
      </c>
      <c r="B83" s="24"/>
      <c r="C83" s="11" t="s">
        <v>84</v>
      </c>
      <c r="D83" s="11" t="s">
        <v>84</v>
      </c>
      <c r="E83" s="11" t="s">
        <v>84</v>
      </c>
      <c r="F83" s="11" t="s">
        <v>82</v>
      </c>
      <c r="G83" s="11" t="s">
        <v>82</v>
      </c>
      <c r="H83" s="28" t="s">
        <v>82</v>
      </c>
      <c r="I83" s="11" t="s">
        <v>84</v>
      </c>
      <c r="J83" s="11" t="s">
        <v>82</v>
      </c>
      <c r="K83" s="11"/>
      <c r="L83" s="11" t="s">
        <v>82</v>
      </c>
      <c r="M83" s="7"/>
      <c r="N83" s="21"/>
      <c r="O83" s="11" t="s">
        <v>82</v>
      </c>
      <c r="P83" s="11"/>
      <c r="Q83" s="11"/>
      <c r="R83" s="11" t="s">
        <v>82</v>
      </c>
      <c r="S83" s="7"/>
      <c r="T83" s="21"/>
    </row>
    <row r="84" spans="1:20" x14ac:dyDescent="0.2">
      <c r="A84" s="1">
        <v>83</v>
      </c>
      <c r="B84" s="24"/>
      <c r="C84" s="11" t="s">
        <v>84</v>
      </c>
      <c r="D84" s="11" t="s">
        <v>84</v>
      </c>
      <c r="E84" s="11" t="s">
        <v>84</v>
      </c>
      <c r="F84" s="11" t="s">
        <v>82</v>
      </c>
      <c r="G84" s="11" t="s">
        <v>84</v>
      </c>
      <c r="H84" s="28" t="s">
        <v>82</v>
      </c>
      <c r="I84" s="11" t="s">
        <v>82</v>
      </c>
      <c r="J84" s="11" t="s">
        <v>82</v>
      </c>
      <c r="K84" s="11"/>
      <c r="L84" s="11" t="s">
        <v>82</v>
      </c>
      <c r="M84" s="7"/>
      <c r="N84" s="21"/>
      <c r="O84" s="11" t="s">
        <v>82</v>
      </c>
      <c r="P84" s="11"/>
      <c r="Q84" s="11"/>
      <c r="R84" s="11" t="s">
        <v>82</v>
      </c>
      <c r="S84" s="7"/>
      <c r="T84" s="21"/>
    </row>
    <row r="85" spans="1:20" ht="76.5" x14ac:dyDescent="0.2">
      <c r="A85" s="1">
        <v>84</v>
      </c>
      <c r="B85" s="24"/>
      <c r="C85" s="11" t="s">
        <v>84</v>
      </c>
      <c r="D85" s="11" t="s">
        <v>84</v>
      </c>
      <c r="E85" s="11" t="s">
        <v>84</v>
      </c>
      <c r="F85" s="11" t="s">
        <v>84</v>
      </c>
      <c r="G85" s="11" t="s">
        <v>82</v>
      </c>
      <c r="H85" s="28" t="s">
        <v>84</v>
      </c>
      <c r="I85" s="11" t="s">
        <v>82</v>
      </c>
      <c r="J85" s="11" t="s">
        <v>82</v>
      </c>
      <c r="K85" s="11"/>
      <c r="L85" s="11" t="s">
        <v>82</v>
      </c>
      <c r="M85" s="7"/>
      <c r="N85" s="21"/>
      <c r="O85" s="11" t="s">
        <v>84</v>
      </c>
      <c r="P85" s="11" t="s">
        <v>1933</v>
      </c>
      <c r="Q85" s="11" t="s">
        <v>3000</v>
      </c>
      <c r="R85" s="11" t="s">
        <v>80</v>
      </c>
      <c r="S85" s="7"/>
      <c r="T85" s="21"/>
    </row>
    <row r="86" spans="1:20" ht="25.5" x14ac:dyDescent="0.2">
      <c r="A86" s="1">
        <v>85</v>
      </c>
      <c r="B86" s="24"/>
      <c r="C86" s="11" t="s">
        <v>84</v>
      </c>
      <c r="D86" s="11" t="s">
        <v>84</v>
      </c>
      <c r="E86" s="11" t="s">
        <v>84</v>
      </c>
      <c r="F86" s="11" t="s">
        <v>82</v>
      </c>
      <c r="G86" s="11" t="s">
        <v>82</v>
      </c>
      <c r="H86" s="28" t="s">
        <v>82</v>
      </c>
      <c r="I86" s="11" t="s">
        <v>82</v>
      </c>
      <c r="J86" s="11" t="s">
        <v>84</v>
      </c>
      <c r="K86" s="11"/>
      <c r="L86" s="11" t="s">
        <v>82</v>
      </c>
      <c r="M86" s="7"/>
      <c r="N86" s="21"/>
      <c r="O86" s="43" t="s">
        <v>82</v>
      </c>
      <c r="P86" s="28"/>
      <c r="Q86" s="11" t="s">
        <v>1502</v>
      </c>
      <c r="R86" s="11" t="s">
        <v>80</v>
      </c>
      <c r="S86" s="7"/>
      <c r="T86" s="21"/>
    </row>
    <row r="87" spans="1:20" x14ac:dyDescent="0.2">
      <c r="A87" s="1">
        <v>86</v>
      </c>
      <c r="B87" s="33"/>
      <c r="C87" s="33" t="s">
        <v>84</v>
      </c>
      <c r="D87" s="33" t="s">
        <v>84</v>
      </c>
      <c r="E87" s="33" t="s">
        <v>82</v>
      </c>
      <c r="F87" s="33" t="s">
        <v>84</v>
      </c>
      <c r="G87" s="33" t="s">
        <v>82</v>
      </c>
      <c r="H87" s="33" t="s">
        <v>82</v>
      </c>
      <c r="I87" s="33" t="s">
        <v>84</v>
      </c>
      <c r="J87" s="33" t="s">
        <v>84</v>
      </c>
      <c r="K87" s="33"/>
      <c r="L87" s="33" t="s">
        <v>84</v>
      </c>
      <c r="M87" s="52"/>
      <c r="N87" s="45"/>
      <c r="O87" s="33" t="s">
        <v>82</v>
      </c>
      <c r="P87" s="33"/>
      <c r="Q87" s="33"/>
      <c r="R87" s="33" t="s">
        <v>84</v>
      </c>
      <c r="S87" s="52"/>
      <c r="T87" s="45"/>
    </row>
    <row r="88" spans="1:20" x14ac:dyDescent="0.2">
      <c r="A88" s="1">
        <v>87</v>
      </c>
      <c r="B88" s="24"/>
      <c r="C88" s="11" t="s">
        <v>84</v>
      </c>
      <c r="D88" s="11" t="s">
        <v>84</v>
      </c>
      <c r="E88" s="11" t="s">
        <v>84</v>
      </c>
      <c r="F88" s="11" t="s">
        <v>84</v>
      </c>
      <c r="G88" s="11" t="s">
        <v>82</v>
      </c>
      <c r="H88" s="28" t="s">
        <v>84</v>
      </c>
      <c r="I88" s="11" t="s">
        <v>84</v>
      </c>
      <c r="J88" s="11" t="s">
        <v>82</v>
      </c>
      <c r="K88" s="11"/>
      <c r="L88" s="11" t="s">
        <v>84</v>
      </c>
      <c r="M88" s="7" t="s">
        <v>1518</v>
      </c>
      <c r="N88" s="21"/>
      <c r="O88" s="11" t="s">
        <v>84</v>
      </c>
      <c r="P88" s="11" t="s">
        <v>240</v>
      </c>
      <c r="Q88" s="7" t="s">
        <v>2490</v>
      </c>
      <c r="R88" s="11" t="s">
        <v>80</v>
      </c>
      <c r="S88" s="7"/>
      <c r="T88" s="21"/>
    </row>
    <row r="89" spans="1:20" ht="25.5" x14ac:dyDescent="0.2">
      <c r="A89" s="1">
        <v>88</v>
      </c>
      <c r="B89" s="24"/>
      <c r="C89" s="11" t="s">
        <v>82</v>
      </c>
      <c r="D89" s="11" t="s">
        <v>84</v>
      </c>
      <c r="E89" s="11" t="s">
        <v>84</v>
      </c>
      <c r="F89" s="11" t="s">
        <v>84</v>
      </c>
      <c r="G89" s="11" t="s">
        <v>82</v>
      </c>
      <c r="H89" s="28" t="s">
        <v>82</v>
      </c>
      <c r="I89" s="11" t="s">
        <v>84</v>
      </c>
      <c r="J89" s="11" t="s">
        <v>82</v>
      </c>
      <c r="K89" s="11"/>
      <c r="L89" s="11" t="s">
        <v>82</v>
      </c>
      <c r="M89" s="7"/>
      <c r="N89" s="21"/>
      <c r="O89" s="11" t="s">
        <v>82</v>
      </c>
      <c r="P89" s="11"/>
      <c r="Q89" s="11"/>
      <c r="R89" s="11" t="s">
        <v>84</v>
      </c>
      <c r="S89" s="7" t="s">
        <v>1529</v>
      </c>
      <c r="T89" s="21"/>
    </row>
    <row r="90" spans="1:20" x14ac:dyDescent="0.2">
      <c r="A90" s="1">
        <v>89</v>
      </c>
      <c r="B90" s="24"/>
      <c r="C90" s="11" t="s">
        <v>84</v>
      </c>
      <c r="D90" s="11" t="s">
        <v>84</v>
      </c>
      <c r="E90" s="11" t="s">
        <v>84</v>
      </c>
      <c r="F90" s="11" t="s">
        <v>84</v>
      </c>
      <c r="G90" s="11" t="s">
        <v>82</v>
      </c>
      <c r="H90" s="28" t="s">
        <v>82</v>
      </c>
      <c r="I90" s="11" t="s">
        <v>84</v>
      </c>
      <c r="J90" s="11" t="s">
        <v>82</v>
      </c>
      <c r="K90" s="11"/>
      <c r="L90" s="11" t="s">
        <v>82</v>
      </c>
      <c r="M90" s="7"/>
      <c r="N90" s="21"/>
      <c r="O90" s="11" t="s">
        <v>82</v>
      </c>
      <c r="P90" s="11"/>
      <c r="Q90" s="11"/>
      <c r="R90" s="11" t="s">
        <v>82</v>
      </c>
      <c r="S90" s="7"/>
      <c r="T90" s="21"/>
    </row>
    <row r="91" spans="1:20" ht="25.5" x14ac:dyDescent="0.2">
      <c r="A91" s="1">
        <v>90</v>
      </c>
      <c r="B91" s="24"/>
      <c r="C91" s="11" t="s">
        <v>84</v>
      </c>
      <c r="D91" s="11" t="s">
        <v>84</v>
      </c>
      <c r="E91" s="11" t="s">
        <v>84</v>
      </c>
      <c r="F91" s="11" t="s">
        <v>82</v>
      </c>
      <c r="G91" s="11" t="s">
        <v>82</v>
      </c>
      <c r="H91" s="28" t="s">
        <v>82</v>
      </c>
      <c r="I91" s="11" t="s">
        <v>82</v>
      </c>
      <c r="J91" s="11" t="s">
        <v>84</v>
      </c>
      <c r="K91" s="11"/>
      <c r="L91" s="11" t="s">
        <v>82</v>
      </c>
      <c r="M91" s="7"/>
      <c r="N91" s="21"/>
      <c r="O91" s="11" t="s">
        <v>82</v>
      </c>
      <c r="P91" s="11"/>
      <c r="Q91" s="11"/>
      <c r="R91" s="11" t="s">
        <v>82</v>
      </c>
      <c r="S91" s="7" t="s">
        <v>1542</v>
      </c>
      <c r="T91" s="21" t="s">
        <v>3452</v>
      </c>
    </row>
    <row r="92" spans="1:20" x14ac:dyDescent="0.2">
      <c r="A92" s="1">
        <v>91</v>
      </c>
      <c r="B92" s="33"/>
      <c r="C92" s="33" t="s">
        <v>84</v>
      </c>
      <c r="D92" s="33" t="s">
        <v>84</v>
      </c>
      <c r="E92" s="33" t="s">
        <v>84</v>
      </c>
      <c r="F92" s="33" t="s">
        <v>84</v>
      </c>
      <c r="G92" s="33" t="s">
        <v>82</v>
      </c>
      <c r="H92" s="46" t="s">
        <v>82</v>
      </c>
      <c r="I92" s="33" t="s">
        <v>82</v>
      </c>
      <c r="J92" s="33" t="s">
        <v>84</v>
      </c>
      <c r="K92" s="33"/>
      <c r="L92" s="33" t="s">
        <v>82</v>
      </c>
      <c r="M92" s="52"/>
      <c r="N92" s="45"/>
      <c r="O92" s="33" t="s">
        <v>82</v>
      </c>
      <c r="P92" s="33"/>
      <c r="Q92" s="33"/>
      <c r="R92" s="33" t="s">
        <v>82</v>
      </c>
      <c r="S92" s="52"/>
      <c r="T92" s="45"/>
    </row>
    <row r="93" spans="1:20" x14ac:dyDescent="0.2">
      <c r="A93" s="1">
        <v>92</v>
      </c>
      <c r="B93" s="24"/>
      <c r="C93" s="11" t="s">
        <v>84</v>
      </c>
      <c r="D93" s="11" t="s">
        <v>84</v>
      </c>
      <c r="E93" s="11" t="s">
        <v>82</v>
      </c>
      <c r="F93" s="11" t="s">
        <v>84</v>
      </c>
      <c r="G93" s="11" t="s">
        <v>84</v>
      </c>
      <c r="H93" s="43" t="s">
        <v>82</v>
      </c>
      <c r="I93" s="11" t="s">
        <v>84</v>
      </c>
      <c r="J93" s="11" t="s">
        <v>84</v>
      </c>
      <c r="K93" s="11"/>
      <c r="L93" s="11" t="s">
        <v>82</v>
      </c>
      <c r="M93" s="7"/>
      <c r="N93" s="21"/>
      <c r="O93" s="11" t="s">
        <v>82</v>
      </c>
      <c r="P93" s="11"/>
      <c r="Q93" s="11"/>
      <c r="R93" s="11" t="s">
        <v>82</v>
      </c>
      <c r="S93" s="7"/>
      <c r="T93" s="21"/>
    </row>
    <row r="94" spans="1:20" x14ac:dyDescent="0.2">
      <c r="A94" s="1">
        <v>93</v>
      </c>
      <c r="B94" s="24"/>
      <c r="C94" s="11" t="s">
        <v>84</v>
      </c>
      <c r="D94" s="11" t="s">
        <v>84</v>
      </c>
      <c r="E94" s="11" t="s">
        <v>84</v>
      </c>
      <c r="F94" s="11" t="s">
        <v>82</v>
      </c>
      <c r="G94" s="11" t="s">
        <v>82</v>
      </c>
      <c r="H94" s="28" t="s">
        <v>82</v>
      </c>
      <c r="I94" s="11" t="s">
        <v>82</v>
      </c>
      <c r="J94" s="11" t="s">
        <v>82</v>
      </c>
      <c r="K94" s="11"/>
      <c r="L94" s="11" t="s">
        <v>82</v>
      </c>
      <c r="M94" s="7"/>
      <c r="N94" s="21"/>
      <c r="O94" s="11" t="s">
        <v>82</v>
      </c>
      <c r="P94" s="11"/>
      <c r="Q94" s="11"/>
      <c r="R94" s="11" t="s">
        <v>82</v>
      </c>
      <c r="S94" s="7"/>
      <c r="T94" s="21"/>
    </row>
    <row r="95" spans="1:20" x14ac:dyDescent="0.2">
      <c r="A95" s="1">
        <v>94</v>
      </c>
      <c r="B95" s="24"/>
      <c r="C95" s="11" t="s">
        <v>84</v>
      </c>
      <c r="D95" s="11" t="s">
        <v>84</v>
      </c>
      <c r="E95" s="11" t="s">
        <v>84</v>
      </c>
      <c r="F95" s="11" t="s">
        <v>84</v>
      </c>
      <c r="G95" s="11" t="s">
        <v>82</v>
      </c>
      <c r="H95" s="28" t="s">
        <v>82</v>
      </c>
      <c r="I95" s="11" t="s">
        <v>82</v>
      </c>
      <c r="J95" s="11" t="s">
        <v>82</v>
      </c>
      <c r="K95" s="11"/>
      <c r="L95" s="11" t="s">
        <v>82</v>
      </c>
      <c r="M95" s="7"/>
      <c r="N95" s="21"/>
      <c r="O95" s="11" t="s">
        <v>82</v>
      </c>
      <c r="P95" s="11"/>
      <c r="Q95" s="11"/>
      <c r="R95" s="11" t="s">
        <v>82</v>
      </c>
      <c r="S95" s="7" t="s">
        <v>1556</v>
      </c>
      <c r="T95" s="21" t="s">
        <v>1052</v>
      </c>
    </row>
    <row r="96" spans="1:20" ht="153" x14ac:dyDescent="0.2">
      <c r="A96" s="1">
        <v>95</v>
      </c>
      <c r="B96" s="24"/>
      <c r="C96" s="11" t="s">
        <v>84</v>
      </c>
      <c r="D96" s="11" t="s">
        <v>84</v>
      </c>
      <c r="E96" s="11" t="s">
        <v>84</v>
      </c>
      <c r="F96" s="11" t="s">
        <v>84</v>
      </c>
      <c r="G96" s="11" t="s">
        <v>82</v>
      </c>
      <c r="H96" s="28" t="s">
        <v>82</v>
      </c>
      <c r="I96" s="11" t="s">
        <v>84</v>
      </c>
      <c r="J96" s="11" t="s">
        <v>84</v>
      </c>
      <c r="K96" s="11"/>
      <c r="L96" s="11" t="s">
        <v>84</v>
      </c>
      <c r="M96" s="7" t="s">
        <v>1568</v>
      </c>
      <c r="N96" s="21" t="s">
        <v>3626</v>
      </c>
      <c r="O96" s="11" t="s">
        <v>82</v>
      </c>
      <c r="P96" s="11"/>
      <c r="Q96" s="11"/>
      <c r="R96" s="11" t="s">
        <v>84</v>
      </c>
      <c r="S96" s="7" t="s">
        <v>4207</v>
      </c>
      <c r="T96" s="21" t="s">
        <v>3720</v>
      </c>
    </row>
    <row r="97" spans="1:20" ht="25.5" x14ac:dyDescent="0.2">
      <c r="A97" s="1">
        <v>96</v>
      </c>
      <c r="B97" s="24"/>
      <c r="C97" s="11" t="s">
        <v>84</v>
      </c>
      <c r="D97" s="11" t="s">
        <v>84</v>
      </c>
      <c r="E97" s="11" t="s">
        <v>82</v>
      </c>
      <c r="F97" s="11" t="s">
        <v>82</v>
      </c>
      <c r="G97" s="11" t="s">
        <v>82</v>
      </c>
      <c r="H97" s="28" t="s">
        <v>84</v>
      </c>
      <c r="I97" s="11" t="s">
        <v>84</v>
      </c>
      <c r="J97" s="11" t="s">
        <v>82</v>
      </c>
      <c r="K97" s="11"/>
      <c r="L97" s="11" t="s">
        <v>84</v>
      </c>
      <c r="M97" s="7"/>
      <c r="N97" s="21"/>
      <c r="O97" s="11" t="s">
        <v>84</v>
      </c>
      <c r="P97" s="11" t="s">
        <v>430</v>
      </c>
      <c r="Q97" s="11" t="s">
        <v>2489</v>
      </c>
      <c r="R97" s="11" t="s">
        <v>80</v>
      </c>
      <c r="S97" s="7"/>
      <c r="T97" s="21"/>
    </row>
    <row r="98" spans="1:20" ht="25.5" x14ac:dyDescent="0.2">
      <c r="A98" s="1">
        <v>97</v>
      </c>
      <c r="B98" s="24"/>
      <c r="C98" s="11" t="s">
        <v>84</v>
      </c>
      <c r="D98" s="11" t="s">
        <v>84</v>
      </c>
      <c r="E98" s="11" t="s">
        <v>82</v>
      </c>
      <c r="F98" s="11" t="s">
        <v>82</v>
      </c>
      <c r="G98" s="11" t="s">
        <v>84</v>
      </c>
      <c r="H98" s="28" t="s">
        <v>84</v>
      </c>
      <c r="I98" s="11" t="s">
        <v>84</v>
      </c>
      <c r="J98" s="11" t="s">
        <v>82</v>
      </c>
      <c r="K98" s="11"/>
      <c r="L98" s="11" t="s">
        <v>84</v>
      </c>
      <c r="M98" s="7" t="s">
        <v>1594</v>
      </c>
      <c r="N98" s="21" t="s">
        <v>3632</v>
      </c>
      <c r="O98" s="11" t="s">
        <v>84</v>
      </c>
      <c r="P98" s="11" t="s">
        <v>3897</v>
      </c>
      <c r="Q98" s="11" t="s">
        <v>3698</v>
      </c>
      <c r="R98" s="11" t="s">
        <v>80</v>
      </c>
      <c r="S98" s="7"/>
      <c r="T98" s="21"/>
    </row>
    <row r="99" spans="1:20" ht="38.25" x14ac:dyDescent="0.2">
      <c r="A99" s="1">
        <v>98</v>
      </c>
      <c r="B99" s="24"/>
      <c r="C99" s="11" t="s">
        <v>84</v>
      </c>
      <c r="D99" s="11" t="s">
        <v>84</v>
      </c>
      <c r="E99" s="11" t="s">
        <v>84</v>
      </c>
      <c r="F99" s="11" t="s">
        <v>84</v>
      </c>
      <c r="G99" s="11" t="s">
        <v>84</v>
      </c>
      <c r="H99" s="28" t="s">
        <v>84</v>
      </c>
      <c r="I99" s="11" t="s">
        <v>84</v>
      </c>
      <c r="J99" s="11" t="s">
        <v>82</v>
      </c>
      <c r="K99" s="11"/>
      <c r="L99" s="11" t="s">
        <v>84</v>
      </c>
      <c r="M99" s="7" t="s">
        <v>1609</v>
      </c>
      <c r="N99" s="21" t="s">
        <v>3653</v>
      </c>
      <c r="O99" s="11" t="s">
        <v>84</v>
      </c>
      <c r="P99" s="11" t="s">
        <v>3895</v>
      </c>
      <c r="Q99" s="19" t="s">
        <v>1610</v>
      </c>
      <c r="R99" s="11" t="s">
        <v>80</v>
      </c>
      <c r="S99" s="7"/>
      <c r="T99" s="21"/>
    </row>
    <row r="100" spans="1:20" x14ac:dyDescent="0.2">
      <c r="A100" s="1">
        <v>99</v>
      </c>
      <c r="B100" s="24"/>
      <c r="C100" s="11" t="s">
        <v>84</v>
      </c>
      <c r="D100" s="11" t="s">
        <v>84</v>
      </c>
      <c r="E100" s="11" t="s">
        <v>84</v>
      </c>
      <c r="F100" s="11" t="s">
        <v>82</v>
      </c>
      <c r="G100" s="11" t="s">
        <v>82</v>
      </c>
      <c r="H100" s="28" t="s">
        <v>82</v>
      </c>
      <c r="I100" s="11" t="s">
        <v>82</v>
      </c>
      <c r="J100" s="11" t="s">
        <v>82</v>
      </c>
      <c r="K100" s="11"/>
      <c r="L100" s="11" t="s">
        <v>82</v>
      </c>
      <c r="M100" s="7"/>
      <c r="N100" s="21"/>
      <c r="O100" s="11" t="s">
        <v>82</v>
      </c>
      <c r="P100" s="11"/>
      <c r="Q100" s="11"/>
      <c r="R100" s="11" t="s">
        <v>84</v>
      </c>
      <c r="S100" s="7"/>
      <c r="T100" s="21"/>
    </row>
    <row r="101" spans="1:20" ht="25.5" x14ac:dyDescent="0.2">
      <c r="A101" s="1">
        <v>100</v>
      </c>
      <c r="B101" s="24"/>
      <c r="C101" s="11" t="s">
        <v>84</v>
      </c>
      <c r="D101" s="11" t="s">
        <v>84</v>
      </c>
      <c r="E101" s="11" t="s">
        <v>84</v>
      </c>
      <c r="F101" s="11" t="s">
        <v>82</v>
      </c>
      <c r="G101" s="11" t="s">
        <v>82</v>
      </c>
      <c r="H101" s="28" t="s">
        <v>82</v>
      </c>
      <c r="I101" s="11" t="s">
        <v>82</v>
      </c>
      <c r="J101" s="11" t="s">
        <v>84</v>
      </c>
      <c r="K101" s="11"/>
      <c r="L101" s="11" t="s">
        <v>82</v>
      </c>
      <c r="M101" s="7"/>
      <c r="N101" s="21"/>
      <c r="O101" s="11" t="s">
        <v>82</v>
      </c>
      <c r="P101" s="11"/>
      <c r="Q101" s="11"/>
      <c r="R101" s="11" t="s">
        <v>84</v>
      </c>
      <c r="S101" s="7" t="s">
        <v>1631</v>
      </c>
      <c r="T101" s="21" t="s">
        <v>709</v>
      </c>
    </row>
    <row r="102" spans="1:20" ht="25.5" x14ac:dyDescent="0.2">
      <c r="A102" s="1">
        <v>101</v>
      </c>
      <c r="B102" s="24"/>
      <c r="C102" s="11" t="s">
        <v>84</v>
      </c>
      <c r="D102" s="11" t="s">
        <v>84</v>
      </c>
      <c r="E102" s="11" t="s">
        <v>84</v>
      </c>
      <c r="F102" s="11" t="s">
        <v>84</v>
      </c>
      <c r="G102" s="11" t="s">
        <v>82</v>
      </c>
      <c r="H102" s="28" t="s">
        <v>84</v>
      </c>
      <c r="I102" s="11" t="s">
        <v>84</v>
      </c>
      <c r="J102" s="11" t="s">
        <v>84</v>
      </c>
      <c r="K102" s="11"/>
      <c r="L102" s="11" t="s">
        <v>82</v>
      </c>
      <c r="M102" s="7"/>
      <c r="N102" s="21"/>
      <c r="O102" s="11" t="s">
        <v>84</v>
      </c>
      <c r="P102" s="11" t="s">
        <v>3939</v>
      </c>
      <c r="Q102" s="11" t="s">
        <v>3699</v>
      </c>
      <c r="R102" s="11" t="s">
        <v>80</v>
      </c>
      <c r="S102" s="7"/>
      <c r="T102" s="21"/>
    </row>
    <row r="103" spans="1:20" x14ac:dyDescent="0.2">
      <c r="A103" s="1">
        <v>102</v>
      </c>
      <c r="B103" s="24"/>
      <c r="C103" s="11" t="s">
        <v>84</v>
      </c>
      <c r="D103" s="11" t="s">
        <v>84</v>
      </c>
      <c r="E103" s="11" t="s">
        <v>84</v>
      </c>
      <c r="F103" s="11" t="s">
        <v>84</v>
      </c>
      <c r="G103" s="11" t="s">
        <v>82</v>
      </c>
      <c r="H103" s="28" t="s">
        <v>82</v>
      </c>
      <c r="I103" s="11" t="s">
        <v>84</v>
      </c>
      <c r="J103" s="11" t="s">
        <v>82</v>
      </c>
      <c r="K103" s="11"/>
      <c r="L103" s="11" t="s">
        <v>82</v>
      </c>
      <c r="M103" s="7"/>
      <c r="N103" s="21"/>
      <c r="O103" s="11" t="s">
        <v>82</v>
      </c>
      <c r="P103" s="11"/>
      <c r="Q103" s="11"/>
      <c r="R103" s="11" t="s">
        <v>84</v>
      </c>
      <c r="S103" s="7"/>
      <c r="T103" s="21"/>
    </row>
    <row r="104" spans="1:20" x14ac:dyDescent="0.2">
      <c r="A104" s="1">
        <v>103</v>
      </c>
      <c r="B104" s="24"/>
      <c r="C104" s="11" t="s">
        <v>84</v>
      </c>
      <c r="D104" s="11" t="s">
        <v>84</v>
      </c>
      <c r="E104" s="11" t="s">
        <v>84</v>
      </c>
      <c r="F104" s="11" t="s">
        <v>82</v>
      </c>
      <c r="G104" s="11" t="s">
        <v>82</v>
      </c>
      <c r="H104" s="28" t="s">
        <v>82</v>
      </c>
      <c r="I104" s="11" t="s">
        <v>82</v>
      </c>
      <c r="J104" s="11" t="s">
        <v>82</v>
      </c>
      <c r="K104" s="11"/>
      <c r="L104" s="11" t="s">
        <v>82</v>
      </c>
      <c r="M104" s="7"/>
      <c r="N104" s="21"/>
      <c r="O104" s="11" t="s">
        <v>82</v>
      </c>
      <c r="P104" s="11"/>
      <c r="Q104" s="11"/>
      <c r="R104" s="11" t="s">
        <v>84</v>
      </c>
      <c r="S104" s="7"/>
      <c r="T104" s="21"/>
    </row>
    <row r="105" spans="1:20" x14ac:dyDescent="0.2">
      <c r="A105" s="1">
        <v>104</v>
      </c>
      <c r="B105" s="24"/>
      <c r="C105" s="11" t="s">
        <v>84</v>
      </c>
      <c r="D105" s="11" t="s">
        <v>84</v>
      </c>
      <c r="E105" s="11" t="s">
        <v>84</v>
      </c>
      <c r="F105" s="11" t="s">
        <v>84</v>
      </c>
      <c r="G105" s="11" t="s">
        <v>82</v>
      </c>
      <c r="H105" s="43" t="s">
        <v>82</v>
      </c>
      <c r="I105" s="11" t="s">
        <v>82</v>
      </c>
      <c r="J105" s="11" t="s">
        <v>84</v>
      </c>
      <c r="K105" s="11"/>
      <c r="L105" s="11" t="s">
        <v>82</v>
      </c>
      <c r="M105" s="7"/>
      <c r="N105" s="21"/>
      <c r="O105" s="11" t="s">
        <v>82</v>
      </c>
      <c r="P105" s="11"/>
      <c r="Q105" s="11"/>
      <c r="R105" s="11" t="s">
        <v>84</v>
      </c>
      <c r="S105" s="7" t="s">
        <v>1657</v>
      </c>
      <c r="T105" s="21" t="s">
        <v>3717</v>
      </c>
    </row>
    <row r="106" spans="1:20" ht="114.75" x14ac:dyDescent="0.2">
      <c r="A106" s="1">
        <v>105</v>
      </c>
      <c r="B106" s="24"/>
      <c r="C106" s="11" t="s">
        <v>84</v>
      </c>
      <c r="D106" s="11" t="s">
        <v>84</v>
      </c>
      <c r="E106" s="11" t="s">
        <v>84</v>
      </c>
      <c r="F106" s="11" t="s">
        <v>82</v>
      </c>
      <c r="G106" s="11" t="s">
        <v>82</v>
      </c>
      <c r="H106" s="28" t="s">
        <v>82</v>
      </c>
      <c r="I106" s="11" t="s">
        <v>82</v>
      </c>
      <c r="J106" s="11" t="s">
        <v>82</v>
      </c>
      <c r="K106" s="11"/>
      <c r="L106" s="11" t="s">
        <v>84</v>
      </c>
      <c r="M106" s="7" t="s">
        <v>3691</v>
      </c>
      <c r="N106" s="21" t="s">
        <v>3654</v>
      </c>
      <c r="O106" s="11" t="s">
        <v>82</v>
      </c>
      <c r="P106" s="11"/>
      <c r="Q106" s="11"/>
      <c r="R106" s="11" t="s">
        <v>82</v>
      </c>
      <c r="S106" s="7" t="s">
        <v>1665</v>
      </c>
      <c r="T106" s="21" t="s">
        <v>3452</v>
      </c>
    </row>
    <row r="107" spans="1:20" x14ac:dyDescent="0.2">
      <c r="A107" s="1">
        <v>106</v>
      </c>
      <c r="B107" s="24"/>
      <c r="C107" s="11" t="s">
        <v>84</v>
      </c>
      <c r="D107" s="11" t="s">
        <v>84</v>
      </c>
      <c r="E107" s="11" t="s">
        <v>82</v>
      </c>
      <c r="F107" s="11" t="s">
        <v>84</v>
      </c>
      <c r="G107" s="11" t="s">
        <v>82</v>
      </c>
      <c r="H107" s="28" t="s">
        <v>82</v>
      </c>
      <c r="I107" s="11" t="s">
        <v>84</v>
      </c>
      <c r="J107" s="11" t="s">
        <v>82</v>
      </c>
      <c r="K107" s="11"/>
      <c r="L107" s="11" t="s">
        <v>84</v>
      </c>
      <c r="M107" s="7"/>
      <c r="N107" s="21"/>
      <c r="O107" s="11" t="s">
        <v>82</v>
      </c>
      <c r="P107" s="11"/>
      <c r="Q107" s="11"/>
      <c r="R107" s="11" t="s">
        <v>82</v>
      </c>
      <c r="S107" s="7"/>
      <c r="T107" s="21"/>
    </row>
    <row r="108" spans="1:20" x14ac:dyDescent="0.2">
      <c r="A108" s="1">
        <v>107</v>
      </c>
      <c r="B108" s="24"/>
      <c r="C108" s="11" t="s">
        <v>84</v>
      </c>
      <c r="D108" s="11" t="s">
        <v>84</v>
      </c>
      <c r="E108" s="11" t="s">
        <v>84</v>
      </c>
      <c r="F108" s="11" t="s">
        <v>82</v>
      </c>
      <c r="G108" s="11" t="s">
        <v>82</v>
      </c>
      <c r="H108" s="28" t="s">
        <v>82</v>
      </c>
      <c r="I108" s="11" t="s">
        <v>84</v>
      </c>
      <c r="J108" s="11" t="s">
        <v>84</v>
      </c>
      <c r="K108" s="11"/>
      <c r="L108" s="11" t="s">
        <v>82</v>
      </c>
      <c r="M108" s="7"/>
      <c r="N108" s="21"/>
      <c r="O108" s="11" t="s">
        <v>82</v>
      </c>
      <c r="P108" s="11"/>
      <c r="Q108" s="11"/>
      <c r="R108" s="11" t="s">
        <v>84</v>
      </c>
      <c r="S108" s="7"/>
      <c r="T108" s="21"/>
    </row>
    <row r="109" spans="1:20" ht="51" x14ac:dyDescent="0.2">
      <c r="A109" s="1">
        <v>108</v>
      </c>
      <c r="B109" s="24"/>
      <c r="C109" s="11" t="s">
        <v>84</v>
      </c>
      <c r="D109" s="11" t="s">
        <v>84</v>
      </c>
      <c r="E109" s="11" t="s">
        <v>82</v>
      </c>
      <c r="F109" s="11" t="s">
        <v>84</v>
      </c>
      <c r="G109" s="11" t="s">
        <v>82</v>
      </c>
      <c r="H109" s="28" t="s">
        <v>84</v>
      </c>
      <c r="I109" s="11" t="s">
        <v>84</v>
      </c>
      <c r="J109" s="11" t="s">
        <v>84</v>
      </c>
      <c r="K109" s="11"/>
      <c r="L109" s="11" t="s">
        <v>84</v>
      </c>
      <c r="M109" s="7" t="s">
        <v>4208</v>
      </c>
      <c r="N109" s="21" t="s">
        <v>3269</v>
      </c>
      <c r="O109" s="11" t="s">
        <v>84</v>
      </c>
      <c r="P109" s="11" t="s">
        <v>1679</v>
      </c>
      <c r="Q109" s="11" t="s">
        <v>2482</v>
      </c>
      <c r="R109" s="11" t="s">
        <v>80</v>
      </c>
      <c r="S109" s="7"/>
      <c r="T109" s="21"/>
    </row>
    <row r="110" spans="1:20" ht="63.75" x14ac:dyDescent="0.2">
      <c r="A110" s="1">
        <v>109</v>
      </c>
      <c r="B110" s="24"/>
      <c r="C110" s="11" t="s">
        <v>84</v>
      </c>
      <c r="D110" s="11" t="s">
        <v>84</v>
      </c>
      <c r="E110" s="11" t="s">
        <v>84</v>
      </c>
      <c r="F110" s="11" t="s">
        <v>84</v>
      </c>
      <c r="G110" s="11" t="s">
        <v>82</v>
      </c>
      <c r="H110" s="28" t="s">
        <v>84</v>
      </c>
      <c r="I110" s="11" t="s">
        <v>84</v>
      </c>
      <c r="J110" s="11" t="s">
        <v>82</v>
      </c>
      <c r="K110" s="11"/>
      <c r="L110" s="11" t="s">
        <v>84</v>
      </c>
      <c r="M110" s="7" t="s">
        <v>1692</v>
      </c>
      <c r="N110" s="21" t="s">
        <v>3626</v>
      </c>
      <c r="O110" s="11" t="s">
        <v>84</v>
      </c>
      <c r="P110" s="11" t="s">
        <v>240</v>
      </c>
      <c r="Q110" s="7" t="s">
        <v>2483</v>
      </c>
      <c r="R110" s="11" t="s">
        <v>80</v>
      </c>
      <c r="S110" s="7"/>
      <c r="T110" s="21"/>
    </row>
    <row r="111" spans="1:20" x14ac:dyDescent="0.2">
      <c r="A111" s="1">
        <v>110</v>
      </c>
      <c r="B111" s="24"/>
      <c r="C111" s="11" t="s">
        <v>84</v>
      </c>
      <c r="D111" s="11" t="s">
        <v>84</v>
      </c>
      <c r="E111" s="11" t="s">
        <v>84</v>
      </c>
      <c r="F111" s="11" t="s">
        <v>82</v>
      </c>
      <c r="G111" s="11" t="s">
        <v>84</v>
      </c>
      <c r="H111" s="28" t="s">
        <v>84</v>
      </c>
      <c r="I111" s="11" t="s">
        <v>84</v>
      </c>
      <c r="J111" s="11" t="s">
        <v>82</v>
      </c>
      <c r="K111" s="11"/>
      <c r="L111" s="11" t="s">
        <v>84</v>
      </c>
      <c r="M111" s="7"/>
      <c r="N111" s="21"/>
      <c r="O111" s="11" t="s">
        <v>84</v>
      </c>
      <c r="P111" s="11" t="s">
        <v>1701</v>
      </c>
      <c r="Q111" s="11" t="s">
        <v>3700</v>
      </c>
      <c r="R111" s="11" t="s">
        <v>80</v>
      </c>
      <c r="S111" s="7"/>
      <c r="T111" s="21"/>
    </row>
    <row r="112" spans="1:20" ht="38.25" x14ac:dyDescent="0.2">
      <c r="A112" s="1">
        <v>111</v>
      </c>
      <c r="B112" s="24"/>
      <c r="C112" s="11" t="s">
        <v>84</v>
      </c>
      <c r="D112" s="11" t="s">
        <v>84</v>
      </c>
      <c r="E112" s="11" t="s">
        <v>84</v>
      </c>
      <c r="F112" s="11" t="s">
        <v>84</v>
      </c>
      <c r="G112" s="11" t="s">
        <v>84</v>
      </c>
      <c r="H112" s="28" t="s">
        <v>82</v>
      </c>
      <c r="I112" s="11" t="s">
        <v>84</v>
      </c>
      <c r="J112" s="11" t="s">
        <v>84</v>
      </c>
      <c r="K112" s="11"/>
      <c r="L112" s="11" t="s">
        <v>84</v>
      </c>
      <c r="M112" s="7" t="s">
        <v>1704</v>
      </c>
      <c r="N112" s="21" t="s">
        <v>3655</v>
      </c>
      <c r="O112" s="11" t="s">
        <v>82</v>
      </c>
      <c r="P112" s="11"/>
      <c r="Q112" s="11"/>
      <c r="R112" s="11" t="s">
        <v>84</v>
      </c>
      <c r="S112" s="7" t="s">
        <v>1705</v>
      </c>
      <c r="T112" s="21"/>
    </row>
    <row r="113" spans="1:20" x14ac:dyDescent="0.2">
      <c r="A113" s="1">
        <v>112</v>
      </c>
      <c r="B113" s="24"/>
      <c r="C113" s="11" t="s">
        <v>84</v>
      </c>
      <c r="D113" s="11" t="s">
        <v>84</v>
      </c>
      <c r="E113" s="11" t="s">
        <v>84</v>
      </c>
      <c r="F113" s="11" t="s">
        <v>84</v>
      </c>
      <c r="G113" s="11" t="s">
        <v>84</v>
      </c>
      <c r="H113" s="28" t="s">
        <v>82</v>
      </c>
      <c r="I113" s="11" t="s">
        <v>84</v>
      </c>
      <c r="J113" s="11" t="s">
        <v>82</v>
      </c>
      <c r="K113" s="11"/>
      <c r="L113" s="11" t="s">
        <v>82</v>
      </c>
      <c r="M113" s="7"/>
      <c r="N113" s="21"/>
      <c r="O113" s="11" t="s">
        <v>82</v>
      </c>
      <c r="P113" s="11"/>
      <c r="Q113" s="11"/>
      <c r="R113" s="11" t="s">
        <v>84</v>
      </c>
      <c r="S113" s="7"/>
      <c r="T113" s="21"/>
    </row>
    <row r="114" spans="1:20" ht="51" x14ac:dyDescent="0.2">
      <c r="A114" s="1">
        <v>113</v>
      </c>
      <c r="B114" s="33"/>
      <c r="C114" s="33" t="s">
        <v>84</v>
      </c>
      <c r="D114" s="33" t="s">
        <v>84</v>
      </c>
      <c r="E114" s="33" t="s">
        <v>84</v>
      </c>
      <c r="F114" s="33" t="s">
        <v>82</v>
      </c>
      <c r="G114" s="33" t="s">
        <v>82</v>
      </c>
      <c r="H114" s="33" t="s">
        <v>84</v>
      </c>
      <c r="I114" s="33" t="s">
        <v>82</v>
      </c>
      <c r="J114" s="33" t="s">
        <v>82</v>
      </c>
      <c r="K114" s="33"/>
      <c r="L114" s="33" t="s">
        <v>82</v>
      </c>
      <c r="M114" s="52"/>
      <c r="N114" s="45"/>
      <c r="O114" s="33" t="s">
        <v>84</v>
      </c>
      <c r="P114" s="33" t="s">
        <v>240</v>
      </c>
      <c r="Q114" s="33" t="s">
        <v>2484</v>
      </c>
      <c r="R114" s="33" t="s">
        <v>80</v>
      </c>
      <c r="S114" s="52"/>
      <c r="T114" s="45"/>
    </row>
    <row r="115" spans="1:20" x14ac:dyDescent="0.2">
      <c r="A115" s="1">
        <v>114</v>
      </c>
      <c r="B115" s="24"/>
      <c r="C115" s="11" t="s">
        <v>84</v>
      </c>
      <c r="D115" s="11" t="s">
        <v>84</v>
      </c>
      <c r="E115" s="11" t="s">
        <v>82</v>
      </c>
      <c r="F115" s="11" t="s">
        <v>84</v>
      </c>
      <c r="G115" s="11" t="s">
        <v>82</v>
      </c>
      <c r="H115" s="28" t="s">
        <v>84</v>
      </c>
      <c r="I115" s="11" t="s">
        <v>84</v>
      </c>
      <c r="J115" s="11" t="s">
        <v>82</v>
      </c>
      <c r="K115" s="11"/>
      <c r="L115" s="11" t="s">
        <v>82</v>
      </c>
      <c r="M115" s="7"/>
      <c r="N115" s="21"/>
      <c r="O115" s="11" t="s">
        <v>84</v>
      </c>
      <c r="P115" s="11" t="s">
        <v>1933</v>
      </c>
      <c r="Q115" s="11" t="s">
        <v>2485</v>
      </c>
      <c r="R115" s="11" t="s">
        <v>80</v>
      </c>
      <c r="S115" s="7"/>
      <c r="T115" s="21"/>
    </row>
    <row r="116" spans="1:20" x14ac:dyDescent="0.2">
      <c r="A116" s="1">
        <v>115</v>
      </c>
      <c r="B116" s="24"/>
      <c r="C116" s="11" t="s">
        <v>84</v>
      </c>
      <c r="D116" s="11" t="s">
        <v>84</v>
      </c>
      <c r="E116" s="11" t="s">
        <v>84</v>
      </c>
      <c r="F116" s="11" t="s">
        <v>82</v>
      </c>
      <c r="G116" s="11" t="s">
        <v>82</v>
      </c>
      <c r="H116" s="28" t="s">
        <v>82</v>
      </c>
      <c r="I116" s="11" t="s">
        <v>82</v>
      </c>
      <c r="J116" s="11" t="s">
        <v>84</v>
      </c>
      <c r="K116" s="11"/>
      <c r="L116" s="11" t="s">
        <v>82</v>
      </c>
      <c r="M116" s="7"/>
      <c r="N116" s="21"/>
      <c r="O116" s="11" t="s">
        <v>82</v>
      </c>
      <c r="P116" s="11"/>
      <c r="Q116" s="11"/>
      <c r="R116" s="11" t="s">
        <v>82</v>
      </c>
      <c r="S116" s="7"/>
      <c r="T116" s="21"/>
    </row>
    <row r="117" spans="1:20" x14ac:dyDescent="0.2">
      <c r="A117" s="1">
        <v>116</v>
      </c>
      <c r="B117" s="24"/>
      <c r="C117" s="11" t="s">
        <v>84</v>
      </c>
      <c r="D117" s="11" t="s">
        <v>84</v>
      </c>
      <c r="E117" s="11" t="s">
        <v>82</v>
      </c>
      <c r="F117" s="11" t="s">
        <v>82</v>
      </c>
      <c r="G117" s="11" t="s">
        <v>82</v>
      </c>
      <c r="H117" s="28" t="s">
        <v>82</v>
      </c>
      <c r="I117" s="11" t="s">
        <v>84</v>
      </c>
      <c r="J117" s="11" t="s">
        <v>84</v>
      </c>
      <c r="K117" s="11"/>
      <c r="L117" s="11" t="s">
        <v>82</v>
      </c>
      <c r="M117" s="7"/>
      <c r="N117" s="21"/>
      <c r="O117" s="11" t="s">
        <v>82</v>
      </c>
      <c r="P117" s="11"/>
      <c r="Q117" s="11"/>
      <c r="R117" s="11" t="s">
        <v>82</v>
      </c>
      <c r="S117" s="7"/>
      <c r="T117" s="21"/>
    </row>
    <row r="118" spans="1:20" ht="63.75" x14ac:dyDescent="0.2">
      <c r="A118" s="1">
        <v>117</v>
      </c>
      <c r="B118" s="24"/>
      <c r="C118" s="11" t="s">
        <v>84</v>
      </c>
      <c r="D118" s="11" t="s">
        <v>84</v>
      </c>
      <c r="E118" s="11" t="s">
        <v>82</v>
      </c>
      <c r="F118" s="11" t="s">
        <v>82</v>
      </c>
      <c r="G118" s="11" t="s">
        <v>84</v>
      </c>
      <c r="H118" s="28" t="s">
        <v>82</v>
      </c>
      <c r="I118" s="11" t="s">
        <v>82</v>
      </c>
      <c r="J118" s="11" t="s">
        <v>82</v>
      </c>
      <c r="K118" s="11"/>
      <c r="L118" s="11" t="s">
        <v>82</v>
      </c>
      <c r="M118" s="7"/>
      <c r="N118" s="21"/>
      <c r="O118" s="11" t="s">
        <v>82</v>
      </c>
      <c r="P118" s="11"/>
      <c r="Q118" s="11"/>
      <c r="R118" s="11" t="s">
        <v>82</v>
      </c>
      <c r="S118" s="7" t="s">
        <v>1749</v>
      </c>
      <c r="T118" s="21" t="s">
        <v>3718</v>
      </c>
    </row>
    <row r="119" spans="1:20" ht="25.5" x14ac:dyDescent="0.2">
      <c r="A119" s="1">
        <v>118</v>
      </c>
      <c r="B119" s="24"/>
      <c r="C119" s="11" t="s">
        <v>84</v>
      </c>
      <c r="D119" s="11" t="s">
        <v>84</v>
      </c>
      <c r="E119" s="11" t="s">
        <v>84</v>
      </c>
      <c r="F119" s="11" t="s">
        <v>84</v>
      </c>
      <c r="G119" s="11" t="s">
        <v>82</v>
      </c>
      <c r="H119" s="28" t="s">
        <v>82</v>
      </c>
      <c r="I119" s="11" t="s">
        <v>84</v>
      </c>
      <c r="J119" s="11" t="s">
        <v>82</v>
      </c>
      <c r="K119" s="11"/>
      <c r="L119" s="11" t="s">
        <v>82</v>
      </c>
      <c r="M119" s="7"/>
      <c r="N119" s="21"/>
      <c r="O119" s="39" t="s">
        <v>84</v>
      </c>
      <c r="P119" s="39" t="s">
        <v>1114</v>
      </c>
      <c r="Q119" s="11"/>
      <c r="R119" s="11" t="s">
        <v>84</v>
      </c>
      <c r="S119" s="7" t="s">
        <v>1760</v>
      </c>
      <c r="T119" s="21" t="s">
        <v>3452</v>
      </c>
    </row>
    <row r="120" spans="1:20" ht="63.75" x14ac:dyDescent="0.2">
      <c r="A120" s="1">
        <v>119</v>
      </c>
      <c r="B120" s="24"/>
      <c r="C120" s="11" t="s">
        <v>84</v>
      </c>
      <c r="D120" s="11" t="s">
        <v>84</v>
      </c>
      <c r="E120" s="11" t="s">
        <v>84</v>
      </c>
      <c r="F120" s="11" t="s">
        <v>84</v>
      </c>
      <c r="G120" s="11" t="s">
        <v>84</v>
      </c>
      <c r="H120" s="28" t="s">
        <v>82</v>
      </c>
      <c r="I120" s="11" t="s">
        <v>84</v>
      </c>
      <c r="J120" s="11" t="s">
        <v>82</v>
      </c>
      <c r="K120" s="11"/>
      <c r="L120" s="11" t="s">
        <v>84</v>
      </c>
      <c r="M120" s="7" t="s">
        <v>1767</v>
      </c>
      <c r="N120" s="21" t="s">
        <v>3635</v>
      </c>
      <c r="O120" s="11" t="s">
        <v>82</v>
      </c>
      <c r="P120" s="11"/>
      <c r="Q120" s="11"/>
      <c r="R120" s="11" t="s">
        <v>82</v>
      </c>
      <c r="S120" s="7" t="s">
        <v>4209</v>
      </c>
      <c r="T120" s="21" t="s">
        <v>3721</v>
      </c>
    </row>
    <row r="121" spans="1:20" ht="76.5" x14ac:dyDescent="0.2">
      <c r="A121" s="1">
        <v>120</v>
      </c>
      <c r="B121" s="24"/>
      <c r="C121" s="11" t="s">
        <v>84</v>
      </c>
      <c r="D121" s="11" t="s">
        <v>84</v>
      </c>
      <c r="E121" s="11" t="s">
        <v>84</v>
      </c>
      <c r="F121" s="11" t="s">
        <v>82</v>
      </c>
      <c r="G121" s="11" t="s">
        <v>82</v>
      </c>
      <c r="H121" s="28" t="s">
        <v>82</v>
      </c>
      <c r="I121" s="11" t="s">
        <v>82</v>
      </c>
      <c r="J121" s="11" t="s">
        <v>82</v>
      </c>
      <c r="K121" s="11"/>
      <c r="L121" s="11" t="s">
        <v>82</v>
      </c>
      <c r="M121" s="7"/>
      <c r="N121" s="21"/>
      <c r="O121" s="11" t="s">
        <v>82</v>
      </c>
      <c r="P121" s="11"/>
      <c r="Q121" s="11"/>
      <c r="R121" s="11" t="s">
        <v>82</v>
      </c>
      <c r="S121" s="7" t="s">
        <v>1778</v>
      </c>
      <c r="T121" s="21"/>
    </row>
    <row r="122" spans="1:20" ht="51" x14ac:dyDescent="0.2">
      <c r="A122" s="1">
        <v>121</v>
      </c>
      <c r="B122" s="24"/>
      <c r="C122" s="11" t="s">
        <v>84</v>
      </c>
      <c r="D122" s="11" t="s">
        <v>84</v>
      </c>
      <c r="E122" s="11" t="s">
        <v>84</v>
      </c>
      <c r="F122" s="11" t="s">
        <v>84</v>
      </c>
      <c r="G122" s="11" t="s">
        <v>82</v>
      </c>
      <c r="H122" s="28" t="s">
        <v>84</v>
      </c>
      <c r="I122" s="11" t="s">
        <v>82</v>
      </c>
      <c r="J122" s="11" t="s">
        <v>82</v>
      </c>
      <c r="K122" s="11"/>
      <c r="L122" s="11" t="s">
        <v>82</v>
      </c>
      <c r="M122" s="7"/>
      <c r="N122" s="21"/>
      <c r="O122" s="11" t="s">
        <v>84</v>
      </c>
      <c r="P122" s="11" t="s">
        <v>3940</v>
      </c>
      <c r="Q122" s="11" t="s">
        <v>1787</v>
      </c>
      <c r="R122" s="11" t="s">
        <v>80</v>
      </c>
      <c r="S122" s="11"/>
      <c r="T122" s="21"/>
    </row>
    <row r="123" spans="1:20" x14ac:dyDescent="0.2">
      <c r="A123" s="1">
        <v>122</v>
      </c>
      <c r="B123" s="24"/>
      <c r="C123" s="11" t="s">
        <v>84</v>
      </c>
      <c r="D123" s="11" t="s">
        <v>84</v>
      </c>
      <c r="E123" s="11" t="s">
        <v>82</v>
      </c>
      <c r="F123" s="11" t="s">
        <v>84</v>
      </c>
      <c r="G123" s="11" t="s">
        <v>84</v>
      </c>
      <c r="H123" s="28" t="s">
        <v>82</v>
      </c>
      <c r="I123" s="11" t="s">
        <v>82</v>
      </c>
      <c r="J123" s="11" t="s">
        <v>84</v>
      </c>
      <c r="K123" s="11"/>
      <c r="L123" s="11" t="s">
        <v>82</v>
      </c>
      <c r="M123" s="7"/>
      <c r="N123" s="21"/>
      <c r="O123" s="11" t="s">
        <v>82</v>
      </c>
      <c r="P123" s="11"/>
      <c r="Q123" s="11"/>
      <c r="R123" s="11" t="s">
        <v>84</v>
      </c>
      <c r="S123" s="11"/>
      <c r="T123" s="21"/>
    </row>
    <row r="124" spans="1:20" ht="38.25" x14ac:dyDescent="0.2">
      <c r="A124" s="1">
        <v>123</v>
      </c>
      <c r="B124" s="24"/>
      <c r="C124" s="11" t="s">
        <v>84</v>
      </c>
      <c r="D124" s="11" t="s">
        <v>84</v>
      </c>
      <c r="E124" s="11" t="s">
        <v>84</v>
      </c>
      <c r="F124" s="11" t="s">
        <v>84</v>
      </c>
      <c r="G124" s="11" t="s">
        <v>82</v>
      </c>
      <c r="H124" s="28" t="s">
        <v>84</v>
      </c>
      <c r="I124" s="11" t="s">
        <v>84</v>
      </c>
      <c r="J124" s="11" t="s">
        <v>84</v>
      </c>
      <c r="K124" s="11"/>
      <c r="L124" s="11" t="s">
        <v>84</v>
      </c>
      <c r="M124" s="7" t="s">
        <v>1804</v>
      </c>
      <c r="N124" s="21" t="s">
        <v>3656</v>
      </c>
      <c r="O124" s="11" t="s">
        <v>84</v>
      </c>
      <c r="P124" s="11" t="s">
        <v>1805</v>
      </c>
      <c r="Q124" s="7" t="s">
        <v>2488</v>
      </c>
      <c r="R124" s="11" t="s">
        <v>80</v>
      </c>
      <c r="S124" s="11"/>
      <c r="T124" s="21"/>
    </row>
    <row r="125" spans="1:20" x14ac:dyDescent="0.2">
      <c r="A125" s="1">
        <v>124</v>
      </c>
      <c r="B125" s="24"/>
      <c r="C125" s="11" t="s">
        <v>84</v>
      </c>
      <c r="D125" s="11" t="s">
        <v>84</v>
      </c>
      <c r="E125" s="11" t="s">
        <v>84</v>
      </c>
      <c r="F125" s="11" t="s">
        <v>84</v>
      </c>
      <c r="G125" s="11" t="s">
        <v>82</v>
      </c>
      <c r="H125" s="28" t="s">
        <v>84</v>
      </c>
      <c r="I125" s="11" t="s">
        <v>84</v>
      </c>
      <c r="J125" s="11" t="s">
        <v>82</v>
      </c>
      <c r="K125" s="11"/>
      <c r="L125" s="11" t="s">
        <v>82</v>
      </c>
      <c r="M125" s="7"/>
      <c r="N125" s="21"/>
      <c r="O125" s="11" t="s">
        <v>84</v>
      </c>
      <c r="P125" s="11" t="s">
        <v>1933</v>
      </c>
      <c r="Q125" s="11"/>
      <c r="R125" s="11" t="s">
        <v>80</v>
      </c>
      <c r="S125" s="11"/>
      <c r="T125" s="21"/>
    </row>
    <row r="126" spans="1:20" x14ac:dyDescent="0.2">
      <c r="A126" s="1">
        <v>125</v>
      </c>
      <c r="B126" s="24"/>
      <c r="C126" s="11" t="s">
        <v>84</v>
      </c>
      <c r="D126" s="11" t="s">
        <v>84</v>
      </c>
      <c r="E126" s="11" t="s">
        <v>84</v>
      </c>
      <c r="F126" s="11" t="s">
        <v>82</v>
      </c>
      <c r="G126" s="11" t="s">
        <v>82</v>
      </c>
      <c r="H126" s="28" t="s">
        <v>84</v>
      </c>
      <c r="I126" s="11" t="s">
        <v>82</v>
      </c>
      <c r="J126" s="11" t="s">
        <v>82</v>
      </c>
      <c r="K126" s="11"/>
      <c r="L126" s="11" t="s">
        <v>84</v>
      </c>
      <c r="M126" s="7"/>
      <c r="N126" s="21"/>
      <c r="O126" s="11" t="s">
        <v>84</v>
      </c>
      <c r="P126" s="11" t="s">
        <v>3941</v>
      </c>
      <c r="Q126" s="11"/>
      <c r="R126" s="11" t="s">
        <v>80</v>
      </c>
      <c r="S126" s="11"/>
      <c r="T126" s="21"/>
    </row>
    <row r="127" spans="1:20" ht="38.25" x14ac:dyDescent="0.2">
      <c r="A127" s="1">
        <v>126</v>
      </c>
      <c r="B127" s="24"/>
      <c r="C127" s="11" t="s">
        <v>84</v>
      </c>
      <c r="D127" s="11" t="s">
        <v>84</v>
      </c>
      <c r="E127" s="11" t="s">
        <v>84</v>
      </c>
      <c r="F127" s="11" t="s">
        <v>84</v>
      </c>
      <c r="G127" s="11" t="s">
        <v>84</v>
      </c>
      <c r="H127" s="28" t="s">
        <v>82</v>
      </c>
      <c r="I127" s="11" t="s">
        <v>84</v>
      </c>
      <c r="J127" s="11" t="s">
        <v>82</v>
      </c>
      <c r="K127" s="11"/>
      <c r="L127" s="11" t="s">
        <v>82</v>
      </c>
      <c r="M127" s="7"/>
      <c r="N127" s="21"/>
      <c r="O127" s="11" t="s">
        <v>82</v>
      </c>
      <c r="P127" s="11"/>
      <c r="Q127" s="11"/>
      <c r="R127" s="11" t="s">
        <v>82</v>
      </c>
      <c r="S127" s="19" t="s">
        <v>4210</v>
      </c>
      <c r="T127" s="21"/>
    </row>
    <row r="128" spans="1:20" x14ac:dyDescent="0.2">
      <c r="A128" s="1">
        <v>127</v>
      </c>
      <c r="B128" s="24"/>
      <c r="C128" s="11" t="s">
        <v>84</v>
      </c>
      <c r="D128" s="11" t="s">
        <v>84</v>
      </c>
      <c r="E128" s="11" t="s">
        <v>84</v>
      </c>
      <c r="F128" s="11" t="s">
        <v>82</v>
      </c>
      <c r="G128" s="11" t="s">
        <v>82</v>
      </c>
      <c r="H128" s="28" t="s">
        <v>82</v>
      </c>
      <c r="I128" s="11" t="s">
        <v>82</v>
      </c>
      <c r="J128" s="11" t="s">
        <v>82</v>
      </c>
      <c r="K128" s="11"/>
      <c r="L128" s="11" t="s">
        <v>82</v>
      </c>
      <c r="M128" s="7"/>
      <c r="N128" s="21"/>
      <c r="O128" s="11" t="s">
        <v>82</v>
      </c>
      <c r="P128" s="11"/>
      <c r="Q128" s="11"/>
      <c r="R128" s="11" t="s">
        <v>82</v>
      </c>
      <c r="S128" s="11"/>
      <c r="T128" s="21"/>
    </row>
    <row r="129" spans="1:20" x14ac:dyDescent="0.2">
      <c r="A129" s="1">
        <v>128</v>
      </c>
      <c r="B129" s="24"/>
      <c r="C129" s="11" t="s">
        <v>84</v>
      </c>
      <c r="D129" s="11" t="s">
        <v>84</v>
      </c>
      <c r="E129" s="11" t="s">
        <v>82</v>
      </c>
      <c r="F129" s="11" t="s">
        <v>84</v>
      </c>
      <c r="G129" s="11" t="s">
        <v>82</v>
      </c>
      <c r="H129" s="28" t="s">
        <v>84</v>
      </c>
      <c r="I129" s="11" t="s">
        <v>84</v>
      </c>
      <c r="J129" s="11" t="s">
        <v>84</v>
      </c>
      <c r="K129" s="11"/>
      <c r="L129" s="11" t="s">
        <v>82</v>
      </c>
      <c r="M129" s="7"/>
      <c r="N129" s="21"/>
      <c r="O129" s="11" t="s">
        <v>84</v>
      </c>
      <c r="P129" s="11" t="s">
        <v>3942</v>
      </c>
      <c r="Q129" s="11" t="s">
        <v>1852</v>
      </c>
      <c r="R129" s="11" t="s">
        <v>80</v>
      </c>
      <c r="S129" s="7"/>
      <c r="T129" s="21"/>
    </row>
    <row r="130" spans="1:20" ht="38.25" x14ac:dyDescent="0.2">
      <c r="A130" s="1">
        <v>129</v>
      </c>
      <c r="B130" s="24"/>
      <c r="C130" s="11" t="s">
        <v>84</v>
      </c>
      <c r="D130" s="11" t="s">
        <v>84</v>
      </c>
      <c r="E130" s="11" t="s">
        <v>82</v>
      </c>
      <c r="F130" s="11" t="s">
        <v>84</v>
      </c>
      <c r="G130" s="11" t="s">
        <v>82</v>
      </c>
      <c r="H130" s="28" t="s">
        <v>82</v>
      </c>
      <c r="I130" s="11" t="s">
        <v>82</v>
      </c>
      <c r="J130" s="11" t="s">
        <v>84</v>
      </c>
      <c r="K130" s="11"/>
      <c r="L130" s="11" t="s">
        <v>84</v>
      </c>
      <c r="M130" s="7" t="s">
        <v>1865</v>
      </c>
      <c r="N130" s="21" t="s">
        <v>3636</v>
      </c>
      <c r="O130" s="11" t="s">
        <v>82</v>
      </c>
      <c r="P130" s="11"/>
      <c r="Q130" s="11"/>
      <c r="R130" s="11" t="s">
        <v>82</v>
      </c>
      <c r="S130" s="7" t="s">
        <v>1866</v>
      </c>
      <c r="T130" s="21" t="s">
        <v>1072</v>
      </c>
    </row>
    <row r="131" spans="1:20" ht="153" x14ac:dyDescent="0.2">
      <c r="A131" s="1">
        <v>130</v>
      </c>
      <c r="B131" s="24"/>
      <c r="C131" s="11" t="s">
        <v>84</v>
      </c>
      <c r="D131" s="11" t="s">
        <v>84</v>
      </c>
      <c r="E131" s="11" t="s">
        <v>82</v>
      </c>
      <c r="F131" s="11" t="s">
        <v>82</v>
      </c>
      <c r="G131" s="11" t="s">
        <v>82</v>
      </c>
      <c r="H131" s="28" t="s">
        <v>84</v>
      </c>
      <c r="I131" s="11" t="s">
        <v>84</v>
      </c>
      <c r="J131" s="11" t="s">
        <v>82</v>
      </c>
      <c r="K131" s="11"/>
      <c r="L131" s="11" t="s">
        <v>84</v>
      </c>
      <c r="M131" s="7" t="s">
        <v>1877</v>
      </c>
      <c r="N131" s="21" t="s">
        <v>3657</v>
      </c>
      <c r="O131" s="11" t="s">
        <v>84</v>
      </c>
      <c r="P131" s="11" t="s">
        <v>240</v>
      </c>
      <c r="Q131" s="7" t="s">
        <v>3701</v>
      </c>
      <c r="R131" s="11" t="s">
        <v>80</v>
      </c>
      <c r="S131" s="7"/>
      <c r="T131" s="21"/>
    </row>
    <row r="132" spans="1:20" x14ac:dyDescent="0.2">
      <c r="A132" s="1">
        <v>131</v>
      </c>
      <c r="B132" s="24"/>
      <c r="C132" s="11" t="s">
        <v>84</v>
      </c>
      <c r="D132" s="11" t="s">
        <v>84</v>
      </c>
      <c r="E132" s="11" t="s">
        <v>84</v>
      </c>
      <c r="F132" s="11" t="s">
        <v>82</v>
      </c>
      <c r="G132" s="11" t="s">
        <v>82</v>
      </c>
      <c r="H132" s="28" t="s">
        <v>82</v>
      </c>
      <c r="I132" s="11" t="s">
        <v>82</v>
      </c>
      <c r="J132" s="11" t="s">
        <v>82</v>
      </c>
      <c r="K132" s="11"/>
      <c r="L132" s="11" t="s">
        <v>82</v>
      </c>
      <c r="M132" s="7"/>
      <c r="N132" s="21"/>
      <c r="O132" s="11" t="s">
        <v>82</v>
      </c>
      <c r="P132" s="11"/>
      <c r="Q132" s="11"/>
      <c r="R132" s="11" t="s">
        <v>82</v>
      </c>
      <c r="S132" s="7"/>
      <c r="T132" s="21"/>
    </row>
    <row r="133" spans="1:20" ht="76.5" x14ac:dyDescent="0.2">
      <c r="A133" s="1">
        <v>132</v>
      </c>
      <c r="B133" s="24"/>
      <c r="C133" s="11" t="s">
        <v>84</v>
      </c>
      <c r="D133" s="11" t="s">
        <v>84</v>
      </c>
      <c r="E133" s="11" t="s">
        <v>82</v>
      </c>
      <c r="F133" s="11" t="s">
        <v>84</v>
      </c>
      <c r="G133" s="11" t="s">
        <v>82</v>
      </c>
      <c r="H133" s="28" t="s">
        <v>82</v>
      </c>
      <c r="I133" s="11" t="s">
        <v>84</v>
      </c>
      <c r="J133" s="11" t="s">
        <v>84</v>
      </c>
      <c r="K133" s="11"/>
      <c r="L133" s="11" t="s">
        <v>84</v>
      </c>
      <c r="M133" s="7" t="s">
        <v>1892</v>
      </c>
      <c r="N133" s="21" t="s">
        <v>3637</v>
      </c>
      <c r="O133" s="11" t="s">
        <v>82</v>
      </c>
      <c r="P133" s="11"/>
      <c r="Q133" s="11"/>
      <c r="R133" s="11" t="s">
        <v>84</v>
      </c>
      <c r="S133" s="7" t="s">
        <v>1893</v>
      </c>
      <c r="T133" s="21" t="s">
        <v>3722</v>
      </c>
    </row>
    <row r="134" spans="1:20" x14ac:dyDescent="0.2">
      <c r="A134" s="1">
        <v>133</v>
      </c>
      <c r="B134" s="24"/>
      <c r="C134" s="11" t="s">
        <v>84</v>
      </c>
      <c r="D134" s="11" t="s">
        <v>84</v>
      </c>
      <c r="E134" s="11" t="s">
        <v>82</v>
      </c>
      <c r="F134" s="11" t="s">
        <v>84</v>
      </c>
      <c r="G134" s="11" t="s">
        <v>82</v>
      </c>
      <c r="H134" s="28" t="s">
        <v>84</v>
      </c>
      <c r="I134" s="11" t="s">
        <v>82</v>
      </c>
      <c r="J134" s="11" t="s">
        <v>82</v>
      </c>
      <c r="K134" s="11"/>
      <c r="L134" s="11" t="s">
        <v>82</v>
      </c>
      <c r="M134" s="7"/>
      <c r="N134" s="21"/>
      <c r="O134" s="11" t="s">
        <v>84</v>
      </c>
      <c r="P134" s="11" t="s">
        <v>3896</v>
      </c>
      <c r="Q134" s="11"/>
      <c r="R134" s="11" t="s">
        <v>80</v>
      </c>
      <c r="S134" s="7"/>
      <c r="T134" s="21"/>
    </row>
    <row r="135" spans="1:20" x14ac:dyDescent="0.2">
      <c r="A135" s="1">
        <v>134</v>
      </c>
      <c r="B135" s="24"/>
      <c r="C135" s="11" t="s">
        <v>84</v>
      </c>
      <c r="D135" s="11" t="s">
        <v>84</v>
      </c>
      <c r="E135" s="11" t="s">
        <v>82</v>
      </c>
      <c r="F135" s="11" t="s">
        <v>82</v>
      </c>
      <c r="G135" s="11" t="s">
        <v>82</v>
      </c>
      <c r="H135" s="28" t="s">
        <v>82</v>
      </c>
      <c r="I135" s="11" t="s">
        <v>82</v>
      </c>
      <c r="J135" s="11" t="s">
        <v>82</v>
      </c>
      <c r="K135" s="11"/>
      <c r="L135" s="11" t="s">
        <v>82</v>
      </c>
      <c r="M135" s="7"/>
      <c r="N135" s="21"/>
      <c r="O135" s="11" t="s">
        <v>82</v>
      </c>
      <c r="P135" s="11"/>
      <c r="Q135" s="11"/>
      <c r="R135" s="11" t="s">
        <v>82</v>
      </c>
      <c r="S135" s="7"/>
      <c r="T135" s="21"/>
    </row>
    <row r="136" spans="1:20" ht="63.75" x14ac:dyDescent="0.2">
      <c r="A136" s="1">
        <v>135</v>
      </c>
      <c r="B136" s="24"/>
      <c r="C136" s="11" t="s">
        <v>84</v>
      </c>
      <c r="D136" s="11" t="s">
        <v>84</v>
      </c>
      <c r="E136" s="11" t="s">
        <v>82</v>
      </c>
      <c r="F136" s="11" t="s">
        <v>84</v>
      </c>
      <c r="G136" s="11" t="s">
        <v>82</v>
      </c>
      <c r="H136" s="11" t="s">
        <v>84</v>
      </c>
      <c r="I136" s="11" t="s">
        <v>82</v>
      </c>
      <c r="J136" s="11" t="s">
        <v>82</v>
      </c>
      <c r="K136" s="11"/>
      <c r="L136" s="11" t="s">
        <v>84</v>
      </c>
      <c r="M136" s="7" t="s">
        <v>2012</v>
      </c>
      <c r="N136" s="21" t="s">
        <v>3638</v>
      </c>
      <c r="O136" s="11" t="s">
        <v>84</v>
      </c>
      <c r="P136" s="11" t="s">
        <v>3943</v>
      </c>
      <c r="Q136" s="7" t="s">
        <v>3702</v>
      </c>
      <c r="R136" s="11" t="s">
        <v>80</v>
      </c>
      <c r="S136" s="7"/>
      <c r="T136" s="21"/>
    </row>
    <row r="137" spans="1:20" ht="38.25" x14ac:dyDescent="0.2">
      <c r="A137" s="1">
        <v>136</v>
      </c>
      <c r="B137" s="24"/>
      <c r="C137" s="11" t="s">
        <v>84</v>
      </c>
      <c r="D137" s="11" t="s">
        <v>84</v>
      </c>
      <c r="E137" s="11" t="s">
        <v>84</v>
      </c>
      <c r="F137" s="11" t="s">
        <v>84</v>
      </c>
      <c r="G137" s="11" t="s">
        <v>82</v>
      </c>
      <c r="H137" s="11" t="s">
        <v>82</v>
      </c>
      <c r="I137" s="11" t="s">
        <v>84</v>
      </c>
      <c r="J137" s="11" t="s">
        <v>82</v>
      </c>
      <c r="K137" s="11"/>
      <c r="L137" s="11" t="s">
        <v>84</v>
      </c>
      <c r="M137" s="7" t="s">
        <v>2016</v>
      </c>
      <c r="N137" s="21"/>
      <c r="O137" s="11" t="s">
        <v>82</v>
      </c>
      <c r="P137" s="11"/>
      <c r="Q137" s="11"/>
      <c r="R137" s="11" t="s">
        <v>84</v>
      </c>
      <c r="S137" s="7"/>
      <c r="T137" s="21"/>
    </row>
    <row r="138" spans="1:20" x14ac:dyDescent="0.2">
      <c r="A138" s="1">
        <v>137</v>
      </c>
      <c r="B138" s="24"/>
      <c r="C138" s="11" t="s">
        <v>84</v>
      </c>
      <c r="D138" s="11" t="s">
        <v>84</v>
      </c>
      <c r="E138" s="11" t="s">
        <v>84</v>
      </c>
      <c r="F138" s="11" t="s">
        <v>82</v>
      </c>
      <c r="G138" s="11" t="s">
        <v>82</v>
      </c>
      <c r="H138" s="21" t="s">
        <v>82</v>
      </c>
      <c r="I138" s="11" t="s">
        <v>84</v>
      </c>
      <c r="J138" s="11" t="s">
        <v>82</v>
      </c>
      <c r="K138" s="11"/>
      <c r="L138" s="11" t="s">
        <v>82</v>
      </c>
      <c r="M138" s="7"/>
      <c r="N138" s="21"/>
      <c r="O138" s="11" t="s">
        <v>82</v>
      </c>
      <c r="P138" s="11"/>
      <c r="Q138" s="11"/>
      <c r="R138" s="11" t="s">
        <v>82</v>
      </c>
      <c r="S138" s="7"/>
      <c r="T138" s="21"/>
    </row>
    <row r="139" spans="1:20" x14ac:dyDescent="0.2">
      <c r="A139" s="1">
        <v>138</v>
      </c>
      <c r="B139" s="33"/>
      <c r="C139" s="33" t="s">
        <v>84</v>
      </c>
      <c r="D139" s="33" t="s">
        <v>82</v>
      </c>
      <c r="E139" s="33" t="s">
        <v>82</v>
      </c>
      <c r="F139" s="33" t="s">
        <v>82</v>
      </c>
      <c r="G139" s="33" t="s">
        <v>82</v>
      </c>
      <c r="H139" s="33" t="s">
        <v>82</v>
      </c>
      <c r="I139" s="33" t="s">
        <v>82</v>
      </c>
      <c r="J139" s="33" t="s">
        <v>82</v>
      </c>
      <c r="K139" s="33"/>
      <c r="L139" s="33" t="s">
        <v>82</v>
      </c>
      <c r="M139" s="52"/>
      <c r="N139" s="45"/>
      <c r="O139" s="33" t="s">
        <v>82</v>
      </c>
      <c r="P139" s="33"/>
      <c r="Q139" s="33"/>
      <c r="R139" s="33" t="s">
        <v>82</v>
      </c>
      <c r="S139" s="52"/>
      <c r="T139" s="45"/>
    </row>
    <row r="140" spans="1:20" ht="51" x14ac:dyDescent="0.2">
      <c r="A140" s="1">
        <v>139</v>
      </c>
      <c r="B140" s="24"/>
      <c r="C140" s="11" t="s">
        <v>84</v>
      </c>
      <c r="D140" s="11" t="s">
        <v>84</v>
      </c>
      <c r="E140" s="11" t="s">
        <v>84</v>
      </c>
      <c r="F140" s="11" t="s">
        <v>82</v>
      </c>
      <c r="G140" s="11" t="s">
        <v>84</v>
      </c>
      <c r="H140" s="11" t="s">
        <v>82</v>
      </c>
      <c r="I140" s="11" t="s">
        <v>82</v>
      </c>
      <c r="J140" s="11" t="s">
        <v>82</v>
      </c>
      <c r="K140" s="11"/>
      <c r="L140" s="11" t="s">
        <v>82</v>
      </c>
      <c r="M140" s="7"/>
      <c r="N140" s="21"/>
      <c r="O140" s="11" t="s">
        <v>82</v>
      </c>
      <c r="P140" s="11"/>
      <c r="Q140" s="11"/>
      <c r="R140" s="11" t="s">
        <v>82</v>
      </c>
      <c r="S140" s="7" t="s">
        <v>2018</v>
      </c>
      <c r="T140" s="21"/>
    </row>
    <row r="141" spans="1:20" x14ac:dyDescent="0.2">
      <c r="A141" s="1">
        <v>140</v>
      </c>
      <c r="B141" s="24"/>
      <c r="C141" s="11" t="s">
        <v>84</v>
      </c>
      <c r="D141" s="11" t="s">
        <v>84</v>
      </c>
      <c r="E141" s="11" t="s">
        <v>84</v>
      </c>
      <c r="F141" s="11" t="s">
        <v>82</v>
      </c>
      <c r="G141" s="11" t="s">
        <v>82</v>
      </c>
      <c r="H141" s="11" t="s">
        <v>82</v>
      </c>
      <c r="I141" s="11" t="s">
        <v>82</v>
      </c>
      <c r="J141" s="11" t="s">
        <v>84</v>
      </c>
      <c r="K141" s="11"/>
      <c r="L141" s="11" t="s">
        <v>82</v>
      </c>
      <c r="M141" s="7"/>
      <c r="N141" s="21"/>
      <c r="O141" s="11" t="s">
        <v>82</v>
      </c>
      <c r="P141" s="11"/>
      <c r="Q141" s="11"/>
      <c r="R141" s="11" t="s">
        <v>82</v>
      </c>
      <c r="S141" s="7"/>
      <c r="T141" s="21"/>
    </row>
    <row r="142" spans="1:20" ht="76.5" x14ac:dyDescent="0.2">
      <c r="A142" s="1">
        <v>141</v>
      </c>
      <c r="B142" s="24"/>
      <c r="C142" s="11" t="s">
        <v>84</v>
      </c>
      <c r="D142" s="11" t="s">
        <v>84</v>
      </c>
      <c r="E142" s="11" t="s">
        <v>82</v>
      </c>
      <c r="F142" s="11" t="s">
        <v>82</v>
      </c>
      <c r="G142" s="11" t="s">
        <v>84</v>
      </c>
      <c r="H142" s="11" t="s">
        <v>82</v>
      </c>
      <c r="I142" s="11" t="s">
        <v>84</v>
      </c>
      <c r="J142" s="11" t="s">
        <v>84</v>
      </c>
      <c r="K142" s="11"/>
      <c r="L142" s="11" t="s">
        <v>84</v>
      </c>
      <c r="M142" s="7" t="s">
        <v>2021</v>
      </c>
      <c r="N142" s="21"/>
      <c r="O142" s="11" t="s">
        <v>82</v>
      </c>
      <c r="P142" s="11"/>
      <c r="Q142" s="11"/>
      <c r="R142" s="11" t="s">
        <v>84</v>
      </c>
      <c r="S142" s="7" t="s">
        <v>4211</v>
      </c>
      <c r="T142" s="21" t="s">
        <v>3724</v>
      </c>
    </row>
    <row r="143" spans="1:20" x14ac:dyDescent="0.2">
      <c r="A143" s="1">
        <v>142</v>
      </c>
      <c r="B143" s="33"/>
      <c r="C143" s="33" t="s">
        <v>84</v>
      </c>
      <c r="D143" s="33" t="s">
        <v>84</v>
      </c>
      <c r="E143" s="33" t="s">
        <v>84</v>
      </c>
      <c r="F143" s="33" t="s">
        <v>84</v>
      </c>
      <c r="G143" s="33" t="s">
        <v>82</v>
      </c>
      <c r="H143" s="45" t="s">
        <v>82</v>
      </c>
      <c r="I143" s="33" t="s">
        <v>84</v>
      </c>
      <c r="J143" s="33" t="s">
        <v>84</v>
      </c>
      <c r="K143" s="33"/>
      <c r="L143" s="33" t="s">
        <v>82</v>
      </c>
      <c r="M143" s="52"/>
      <c r="N143" s="45"/>
      <c r="O143" s="33" t="s">
        <v>82</v>
      </c>
      <c r="P143" s="33"/>
      <c r="Q143" s="33"/>
      <c r="R143" s="33" t="s">
        <v>82</v>
      </c>
      <c r="S143" s="52" t="s">
        <v>2024</v>
      </c>
      <c r="T143" s="45" t="s">
        <v>3724</v>
      </c>
    </row>
    <row r="144" spans="1:20" x14ac:dyDescent="0.2">
      <c r="A144" s="1">
        <v>143</v>
      </c>
      <c r="B144" s="24"/>
      <c r="C144" s="11" t="s">
        <v>84</v>
      </c>
      <c r="D144" s="11" t="s">
        <v>84</v>
      </c>
      <c r="E144" s="11" t="s">
        <v>82</v>
      </c>
      <c r="F144" s="11" t="s">
        <v>82</v>
      </c>
      <c r="G144" s="11" t="s">
        <v>82</v>
      </c>
      <c r="H144" s="11" t="s">
        <v>82</v>
      </c>
      <c r="I144" s="11" t="s">
        <v>84</v>
      </c>
      <c r="J144" s="11" t="s">
        <v>82</v>
      </c>
      <c r="K144" s="11"/>
      <c r="L144" s="11" t="s">
        <v>82</v>
      </c>
      <c r="M144" s="7"/>
      <c r="N144" s="21"/>
      <c r="O144" s="11" t="s">
        <v>82</v>
      </c>
      <c r="P144" s="11"/>
      <c r="Q144" s="11"/>
      <c r="R144" s="11" t="s">
        <v>82</v>
      </c>
      <c r="S144" s="7"/>
      <c r="T144" s="21"/>
    </row>
    <row r="145" spans="1:20" ht="51" x14ac:dyDescent="0.2">
      <c r="A145" s="1">
        <v>144</v>
      </c>
      <c r="B145" s="24"/>
      <c r="C145" s="11" t="s">
        <v>84</v>
      </c>
      <c r="D145" s="11" t="s">
        <v>84</v>
      </c>
      <c r="E145" s="11" t="s">
        <v>84</v>
      </c>
      <c r="F145" s="11" t="s">
        <v>82</v>
      </c>
      <c r="G145" s="11" t="s">
        <v>82</v>
      </c>
      <c r="H145" s="11" t="s">
        <v>82</v>
      </c>
      <c r="I145" s="11" t="s">
        <v>84</v>
      </c>
      <c r="J145" s="11" t="s">
        <v>82</v>
      </c>
      <c r="K145" s="11"/>
      <c r="L145" s="11" t="s">
        <v>84</v>
      </c>
      <c r="M145" s="7" t="s">
        <v>2027</v>
      </c>
      <c r="N145" s="21" t="s">
        <v>3658</v>
      </c>
      <c r="O145" s="11" t="s">
        <v>82</v>
      </c>
      <c r="P145" s="11"/>
      <c r="Q145" s="11"/>
      <c r="R145" s="11" t="s">
        <v>82</v>
      </c>
      <c r="S145" s="7" t="s">
        <v>2028</v>
      </c>
      <c r="T145" s="21" t="s">
        <v>3718</v>
      </c>
    </row>
    <row r="146" spans="1:20" ht="25.5" x14ac:dyDescent="0.2">
      <c r="A146" s="1">
        <v>145</v>
      </c>
      <c r="B146" s="24"/>
      <c r="C146" s="11" t="s">
        <v>84</v>
      </c>
      <c r="D146" s="11" t="s">
        <v>84</v>
      </c>
      <c r="E146" s="11" t="s">
        <v>82</v>
      </c>
      <c r="F146" s="11" t="s">
        <v>84</v>
      </c>
      <c r="G146" s="11" t="s">
        <v>84</v>
      </c>
      <c r="H146" s="11" t="s">
        <v>84</v>
      </c>
      <c r="I146" s="11" t="s">
        <v>84</v>
      </c>
      <c r="J146" s="11" t="s">
        <v>84</v>
      </c>
      <c r="K146" s="11"/>
      <c r="L146" s="11" t="s">
        <v>82</v>
      </c>
      <c r="M146" s="7"/>
      <c r="N146" s="21"/>
      <c r="O146" s="11" t="s">
        <v>84</v>
      </c>
      <c r="P146" s="11" t="s">
        <v>2030</v>
      </c>
      <c r="Q146" s="11"/>
      <c r="R146" s="11" t="s">
        <v>80</v>
      </c>
      <c r="S146" s="7"/>
      <c r="T146" s="21"/>
    </row>
    <row r="147" spans="1:20" x14ac:dyDescent="0.2">
      <c r="A147" s="1">
        <v>146</v>
      </c>
      <c r="B147" s="24"/>
      <c r="C147" s="11" t="s">
        <v>84</v>
      </c>
      <c r="D147" s="11" t="s">
        <v>84</v>
      </c>
      <c r="E147" s="11" t="s">
        <v>82</v>
      </c>
      <c r="F147" s="11" t="s">
        <v>82</v>
      </c>
      <c r="G147" s="11" t="s">
        <v>82</v>
      </c>
      <c r="H147" s="11" t="s">
        <v>82</v>
      </c>
      <c r="I147" s="11" t="s">
        <v>82</v>
      </c>
      <c r="J147" s="11" t="s">
        <v>82</v>
      </c>
      <c r="K147" s="11"/>
      <c r="L147" s="11" t="s">
        <v>84</v>
      </c>
      <c r="M147" s="7"/>
      <c r="N147" s="21"/>
      <c r="O147" s="11" t="s">
        <v>82</v>
      </c>
      <c r="P147" s="11"/>
      <c r="Q147" s="11"/>
      <c r="R147" s="11" t="s">
        <v>84</v>
      </c>
      <c r="S147" s="7"/>
      <c r="T147" s="21"/>
    </row>
    <row r="148" spans="1:20" x14ac:dyDescent="0.2">
      <c r="A148" s="1">
        <v>147</v>
      </c>
      <c r="B148" s="24"/>
      <c r="C148" s="11" t="s">
        <v>84</v>
      </c>
      <c r="D148" s="11" t="s">
        <v>84</v>
      </c>
      <c r="E148" s="11" t="s">
        <v>84</v>
      </c>
      <c r="F148" s="11" t="s">
        <v>82</v>
      </c>
      <c r="G148" s="11" t="s">
        <v>82</v>
      </c>
      <c r="H148" s="11" t="s">
        <v>82</v>
      </c>
      <c r="I148" s="11" t="s">
        <v>84</v>
      </c>
      <c r="J148" s="11" t="s">
        <v>82</v>
      </c>
      <c r="K148" s="11"/>
      <c r="L148" s="11" t="s">
        <v>82</v>
      </c>
      <c r="M148" s="7"/>
      <c r="N148" s="21"/>
      <c r="O148" s="11" t="s">
        <v>82</v>
      </c>
      <c r="P148" s="11"/>
      <c r="Q148" s="11"/>
      <c r="R148" s="11" t="s">
        <v>84</v>
      </c>
      <c r="S148" s="7"/>
      <c r="T148" s="21"/>
    </row>
    <row r="149" spans="1:20" ht="25.5" x14ac:dyDescent="0.2">
      <c r="A149" s="1">
        <v>148</v>
      </c>
      <c r="B149" s="24"/>
      <c r="C149" s="11" t="s">
        <v>84</v>
      </c>
      <c r="D149" s="11" t="s">
        <v>84</v>
      </c>
      <c r="E149" s="11" t="s">
        <v>84</v>
      </c>
      <c r="F149" s="11" t="s">
        <v>84</v>
      </c>
      <c r="G149" s="11" t="s">
        <v>82</v>
      </c>
      <c r="H149" s="11" t="s">
        <v>82</v>
      </c>
      <c r="I149" s="11" t="s">
        <v>84</v>
      </c>
      <c r="J149" s="11" t="s">
        <v>82</v>
      </c>
      <c r="K149" s="11"/>
      <c r="L149" s="11" t="s">
        <v>84</v>
      </c>
      <c r="M149" s="7" t="s">
        <v>2032</v>
      </c>
      <c r="N149" s="21" t="s">
        <v>3659</v>
      </c>
      <c r="O149" s="11" t="s">
        <v>82</v>
      </c>
      <c r="P149" s="11"/>
      <c r="Q149" s="11"/>
      <c r="R149" s="11" t="s">
        <v>82</v>
      </c>
      <c r="S149" s="7"/>
      <c r="T149" s="21"/>
    </row>
    <row r="150" spans="1:20" x14ac:dyDescent="0.2">
      <c r="A150" s="1">
        <v>149</v>
      </c>
      <c r="B150" s="24"/>
      <c r="C150" s="11" t="s">
        <v>84</v>
      </c>
      <c r="D150" s="11" t="s">
        <v>84</v>
      </c>
      <c r="E150" s="11" t="s">
        <v>84</v>
      </c>
      <c r="F150" s="11" t="s">
        <v>82</v>
      </c>
      <c r="G150" s="11" t="s">
        <v>82</v>
      </c>
      <c r="H150" s="11" t="s">
        <v>82</v>
      </c>
      <c r="I150" s="11" t="s">
        <v>84</v>
      </c>
      <c r="J150" s="11" t="s">
        <v>84</v>
      </c>
      <c r="K150" s="11"/>
      <c r="L150" s="11" t="s">
        <v>82</v>
      </c>
      <c r="M150" s="7"/>
      <c r="N150" s="21"/>
      <c r="O150" s="11" t="s">
        <v>82</v>
      </c>
      <c r="P150" s="11"/>
      <c r="Q150" s="11"/>
      <c r="R150" s="11" t="s">
        <v>82</v>
      </c>
      <c r="S150" s="7"/>
      <c r="T150" s="21"/>
    </row>
    <row r="151" spans="1:20" ht="25.5" x14ac:dyDescent="0.2">
      <c r="A151" s="1">
        <v>150</v>
      </c>
      <c r="B151" s="24"/>
      <c r="C151" s="11" t="s">
        <v>84</v>
      </c>
      <c r="D151" s="11" t="s">
        <v>84</v>
      </c>
      <c r="E151" s="11" t="s">
        <v>82</v>
      </c>
      <c r="F151" s="11" t="s">
        <v>82</v>
      </c>
      <c r="G151" s="11" t="s">
        <v>82</v>
      </c>
      <c r="H151" s="11" t="s">
        <v>82</v>
      </c>
      <c r="I151" s="11" t="s">
        <v>82</v>
      </c>
      <c r="J151" s="11" t="s">
        <v>84</v>
      </c>
      <c r="K151" s="11"/>
      <c r="L151" s="11" t="s">
        <v>84</v>
      </c>
      <c r="M151" s="7" t="s">
        <v>4212</v>
      </c>
      <c r="N151" s="21" t="s">
        <v>3660</v>
      </c>
      <c r="O151" s="11" t="s">
        <v>82</v>
      </c>
      <c r="P151" s="11"/>
      <c r="Q151" s="11"/>
      <c r="R151" s="11" t="s">
        <v>84</v>
      </c>
      <c r="S151" s="7"/>
      <c r="T151" s="21"/>
    </row>
    <row r="152" spans="1:20" x14ac:dyDescent="0.2">
      <c r="A152" s="1">
        <v>151</v>
      </c>
      <c r="B152" s="33"/>
      <c r="C152" s="33" t="s">
        <v>84</v>
      </c>
      <c r="D152" s="33" t="s">
        <v>84</v>
      </c>
      <c r="E152" s="33" t="s">
        <v>82</v>
      </c>
      <c r="F152" s="33" t="s">
        <v>84</v>
      </c>
      <c r="G152" s="33" t="s">
        <v>82</v>
      </c>
      <c r="H152" s="33" t="s">
        <v>82</v>
      </c>
      <c r="I152" s="33" t="s">
        <v>84</v>
      </c>
      <c r="J152" s="33" t="s">
        <v>82</v>
      </c>
      <c r="K152" s="33"/>
      <c r="L152" s="33" t="s">
        <v>82</v>
      </c>
      <c r="M152" s="52"/>
      <c r="N152" s="45"/>
      <c r="O152" s="33" t="s">
        <v>82</v>
      </c>
      <c r="P152" s="33"/>
      <c r="Q152" s="33"/>
      <c r="R152" s="33" t="s">
        <v>82</v>
      </c>
      <c r="S152" s="52"/>
      <c r="T152" s="45"/>
    </row>
    <row r="153" spans="1:20" ht="153" x14ac:dyDescent="0.2">
      <c r="A153" s="1">
        <v>152</v>
      </c>
      <c r="B153" s="24"/>
      <c r="C153" s="11" t="s">
        <v>84</v>
      </c>
      <c r="D153" s="11" t="s">
        <v>84</v>
      </c>
      <c r="E153" s="11" t="s">
        <v>82</v>
      </c>
      <c r="F153" s="11" t="s">
        <v>82</v>
      </c>
      <c r="G153" s="11" t="s">
        <v>82</v>
      </c>
      <c r="H153" s="11" t="s">
        <v>82</v>
      </c>
      <c r="I153" s="11" t="s">
        <v>84</v>
      </c>
      <c r="J153" s="11" t="s">
        <v>82</v>
      </c>
      <c r="K153" s="11" t="s">
        <v>2037</v>
      </c>
      <c r="L153" s="11" t="s">
        <v>84</v>
      </c>
      <c r="M153" s="7" t="s">
        <v>2038</v>
      </c>
      <c r="N153" s="21" t="s">
        <v>3632</v>
      </c>
      <c r="O153" s="11" t="s">
        <v>82</v>
      </c>
      <c r="P153" s="11"/>
      <c r="Q153" s="11"/>
      <c r="R153" s="11" t="s">
        <v>82</v>
      </c>
      <c r="S153" s="7" t="s">
        <v>2039</v>
      </c>
      <c r="T153" s="21" t="s">
        <v>3727</v>
      </c>
    </row>
    <row r="154" spans="1:20" x14ac:dyDescent="0.2">
      <c r="A154" s="1">
        <v>153</v>
      </c>
      <c r="B154" s="24"/>
      <c r="C154" s="11" t="s">
        <v>84</v>
      </c>
      <c r="D154" s="11" t="s">
        <v>84</v>
      </c>
      <c r="E154" s="11" t="s">
        <v>84</v>
      </c>
      <c r="F154" s="11" t="s">
        <v>84</v>
      </c>
      <c r="G154" s="11" t="s">
        <v>82</v>
      </c>
      <c r="H154" s="11" t="s">
        <v>82</v>
      </c>
      <c r="I154" s="11" t="s">
        <v>84</v>
      </c>
      <c r="J154" s="11" t="s">
        <v>82</v>
      </c>
      <c r="K154" s="11"/>
      <c r="L154" s="11" t="s">
        <v>84</v>
      </c>
      <c r="M154" s="7"/>
      <c r="N154" s="21"/>
      <c r="O154" s="11" t="s">
        <v>82</v>
      </c>
      <c r="P154" s="11"/>
      <c r="Q154" s="11"/>
      <c r="R154" s="11" t="s">
        <v>84</v>
      </c>
      <c r="S154" s="7"/>
      <c r="T154" s="21"/>
    </row>
    <row r="155" spans="1:20" x14ac:dyDescent="0.2">
      <c r="A155" s="1">
        <v>154</v>
      </c>
      <c r="B155" s="24"/>
      <c r="C155" s="11" t="s">
        <v>84</v>
      </c>
      <c r="D155" s="11" t="s">
        <v>84</v>
      </c>
      <c r="E155" s="11" t="s">
        <v>82</v>
      </c>
      <c r="F155" s="11" t="s">
        <v>82</v>
      </c>
      <c r="G155" s="11" t="s">
        <v>82</v>
      </c>
      <c r="H155" s="11" t="s">
        <v>82</v>
      </c>
      <c r="I155" s="11" t="s">
        <v>82</v>
      </c>
      <c r="J155" s="11" t="s">
        <v>82</v>
      </c>
      <c r="K155" s="11"/>
      <c r="L155" s="11" t="s">
        <v>84</v>
      </c>
      <c r="M155" s="7"/>
      <c r="N155" s="21"/>
      <c r="O155" s="11" t="s">
        <v>82</v>
      </c>
      <c r="P155" s="11"/>
      <c r="Q155" s="11"/>
      <c r="R155" s="11" t="s">
        <v>84</v>
      </c>
      <c r="S155" s="7" t="s">
        <v>1903</v>
      </c>
      <c r="T155" s="21" t="s">
        <v>1052</v>
      </c>
    </row>
    <row r="156" spans="1:20" x14ac:dyDescent="0.2">
      <c r="A156" s="1">
        <v>155</v>
      </c>
      <c r="B156" s="24"/>
      <c r="C156" s="11" t="s">
        <v>84</v>
      </c>
      <c r="D156" s="11" t="s">
        <v>84</v>
      </c>
      <c r="E156" s="11" t="s">
        <v>82</v>
      </c>
      <c r="F156" s="11" t="s">
        <v>82</v>
      </c>
      <c r="G156" s="11" t="s">
        <v>82</v>
      </c>
      <c r="H156" s="11" t="s">
        <v>82</v>
      </c>
      <c r="I156" s="11" t="s">
        <v>82</v>
      </c>
      <c r="J156" s="11" t="s">
        <v>82</v>
      </c>
      <c r="K156" s="11"/>
      <c r="L156" s="11" t="s">
        <v>82</v>
      </c>
      <c r="M156" s="7"/>
      <c r="N156" s="21"/>
      <c r="O156" s="11" t="s">
        <v>82</v>
      </c>
      <c r="P156" s="11"/>
      <c r="Q156" s="11"/>
      <c r="R156" s="11" t="s">
        <v>82</v>
      </c>
      <c r="S156" s="7"/>
      <c r="T156" s="21"/>
    </row>
    <row r="157" spans="1:20" ht="63.75" x14ac:dyDescent="0.2">
      <c r="A157" s="1">
        <v>156</v>
      </c>
      <c r="B157" s="24"/>
      <c r="C157" s="11" t="s">
        <v>84</v>
      </c>
      <c r="D157" s="11" t="s">
        <v>84</v>
      </c>
      <c r="E157" s="11" t="s">
        <v>82</v>
      </c>
      <c r="F157" s="11" t="s">
        <v>84</v>
      </c>
      <c r="G157" s="11" t="s">
        <v>82</v>
      </c>
      <c r="H157" s="11" t="s">
        <v>82</v>
      </c>
      <c r="I157" s="11" t="s">
        <v>82</v>
      </c>
      <c r="J157" s="11" t="s">
        <v>84</v>
      </c>
      <c r="K157" s="11"/>
      <c r="L157" s="11" t="s">
        <v>82</v>
      </c>
      <c r="M157" s="7"/>
      <c r="N157" s="21"/>
      <c r="O157" s="11" t="s">
        <v>82</v>
      </c>
      <c r="P157" s="11"/>
      <c r="Q157" s="11"/>
      <c r="R157" s="11" t="s">
        <v>82</v>
      </c>
      <c r="S157" s="7" t="s">
        <v>2041</v>
      </c>
      <c r="T157" s="21" t="s">
        <v>3724</v>
      </c>
    </row>
    <row r="158" spans="1:20" ht="127.5" x14ac:dyDescent="0.2">
      <c r="A158" s="1">
        <v>157</v>
      </c>
      <c r="B158" s="24"/>
      <c r="C158" s="11" t="s">
        <v>84</v>
      </c>
      <c r="D158" s="11" t="s">
        <v>84</v>
      </c>
      <c r="E158" s="11" t="s">
        <v>82</v>
      </c>
      <c r="F158" s="11" t="s">
        <v>82</v>
      </c>
      <c r="G158" s="11" t="s">
        <v>84</v>
      </c>
      <c r="H158" s="21" t="s">
        <v>81</v>
      </c>
      <c r="I158" s="11" t="s">
        <v>84</v>
      </c>
      <c r="J158" s="11" t="s">
        <v>82</v>
      </c>
      <c r="K158" s="11" t="s">
        <v>1934</v>
      </c>
      <c r="L158" s="11" t="s">
        <v>84</v>
      </c>
      <c r="M158" s="7"/>
      <c r="N158" s="21"/>
      <c r="O158" s="11" t="s">
        <v>84</v>
      </c>
      <c r="P158" s="11" t="s">
        <v>3944</v>
      </c>
      <c r="Q158" s="11" t="s">
        <v>2486</v>
      </c>
      <c r="R158" s="11" t="s">
        <v>80</v>
      </c>
      <c r="S158" s="7"/>
      <c r="T158" s="21"/>
    </row>
    <row r="159" spans="1:20" x14ac:dyDescent="0.2">
      <c r="A159" s="1">
        <v>158</v>
      </c>
      <c r="B159" s="24"/>
      <c r="C159" s="11" t="s">
        <v>84</v>
      </c>
      <c r="D159" s="11" t="s">
        <v>84</v>
      </c>
      <c r="E159" s="11" t="s">
        <v>84</v>
      </c>
      <c r="F159" s="11" t="s">
        <v>84</v>
      </c>
      <c r="G159" s="11" t="s">
        <v>82</v>
      </c>
      <c r="H159" s="11" t="s">
        <v>82</v>
      </c>
      <c r="I159" s="11" t="s">
        <v>84</v>
      </c>
      <c r="J159" s="11" t="s">
        <v>82</v>
      </c>
      <c r="K159" s="11"/>
      <c r="L159" s="11" t="s">
        <v>82</v>
      </c>
      <c r="M159" s="7"/>
      <c r="N159" s="21"/>
      <c r="O159" s="11" t="s">
        <v>82</v>
      </c>
      <c r="P159" s="11"/>
      <c r="Q159" s="11"/>
      <c r="R159" s="11" t="s">
        <v>82</v>
      </c>
      <c r="S159" s="7"/>
      <c r="T159" s="21"/>
    </row>
    <row r="160" spans="1:20" x14ac:dyDescent="0.2">
      <c r="A160" s="1">
        <v>159</v>
      </c>
      <c r="B160" s="24"/>
      <c r="C160" s="11" t="s">
        <v>84</v>
      </c>
      <c r="D160" s="11" t="s">
        <v>84</v>
      </c>
      <c r="E160" s="11" t="s">
        <v>84</v>
      </c>
      <c r="F160" s="11" t="s">
        <v>84</v>
      </c>
      <c r="G160" s="11" t="s">
        <v>82</v>
      </c>
      <c r="H160" s="11" t="s">
        <v>82</v>
      </c>
      <c r="I160" s="11" t="s">
        <v>82</v>
      </c>
      <c r="J160" s="11" t="s">
        <v>82</v>
      </c>
      <c r="K160" s="11"/>
      <c r="L160" s="11" t="s">
        <v>82</v>
      </c>
      <c r="M160" s="7"/>
      <c r="N160" s="21"/>
      <c r="O160" s="11" t="s">
        <v>82</v>
      </c>
      <c r="P160" s="11"/>
      <c r="Q160" s="11"/>
      <c r="R160" s="11" t="s">
        <v>82</v>
      </c>
      <c r="S160" s="7"/>
      <c r="T160" s="21"/>
    </row>
    <row r="161" spans="1:20" x14ac:dyDescent="0.2">
      <c r="A161" s="1">
        <v>160</v>
      </c>
      <c r="B161" s="24"/>
      <c r="C161" s="11" t="s">
        <v>84</v>
      </c>
      <c r="D161" s="11" t="s">
        <v>84</v>
      </c>
      <c r="E161" s="11" t="s">
        <v>84</v>
      </c>
      <c r="F161" s="11" t="s">
        <v>82</v>
      </c>
      <c r="G161" s="11" t="s">
        <v>82</v>
      </c>
      <c r="H161" s="11" t="s">
        <v>82</v>
      </c>
      <c r="I161" s="11" t="s">
        <v>82</v>
      </c>
      <c r="J161" s="11" t="s">
        <v>82</v>
      </c>
      <c r="K161" s="11"/>
      <c r="L161" s="11" t="s">
        <v>84</v>
      </c>
      <c r="M161" s="7" t="s">
        <v>2050</v>
      </c>
      <c r="N161" s="21" t="s">
        <v>3645</v>
      </c>
      <c r="O161" s="11" t="s">
        <v>82</v>
      </c>
      <c r="P161" s="11"/>
      <c r="Q161" s="11"/>
      <c r="R161" s="11" t="s">
        <v>84</v>
      </c>
      <c r="S161" s="7"/>
      <c r="T161" s="21"/>
    </row>
    <row r="162" spans="1:20" ht="63.75" x14ac:dyDescent="0.2">
      <c r="A162" s="1">
        <v>161</v>
      </c>
      <c r="B162" s="24"/>
      <c r="C162" s="11" t="s">
        <v>84</v>
      </c>
      <c r="D162" s="11" t="s">
        <v>84</v>
      </c>
      <c r="E162" s="11" t="s">
        <v>82</v>
      </c>
      <c r="F162" s="11" t="s">
        <v>82</v>
      </c>
      <c r="G162" s="11" t="s">
        <v>82</v>
      </c>
      <c r="H162" s="11" t="s">
        <v>82</v>
      </c>
      <c r="I162" s="11" t="s">
        <v>84</v>
      </c>
      <c r="J162" s="11" t="s">
        <v>84</v>
      </c>
      <c r="K162" s="11"/>
      <c r="L162" s="11" t="s">
        <v>84</v>
      </c>
      <c r="M162" s="7" t="s">
        <v>2052</v>
      </c>
      <c r="N162" s="21" t="s">
        <v>3639</v>
      </c>
      <c r="O162" s="11" t="s">
        <v>82</v>
      </c>
      <c r="P162" s="11"/>
      <c r="Q162" s="11"/>
      <c r="R162" s="11" t="s">
        <v>84</v>
      </c>
      <c r="S162" s="7" t="s">
        <v>2053</v>
      </c>
      <c r="T162" s="21"/>
    </row>
    <row r="163" spans="1:20" ht="76.5" x14ac:dyDescent="0.2">
      <c r="A163" s="1">
        <v>162</v>
      </c>
      <c r="B163" s="24"/>
      <c r="C163" s="11" t="s">
        <v>84</v>
      </c>
      <c r="D163" s="11" t="s">
        <v>84</v>
      </c>
      <c r="E163" s="11" t="s">
        <v>84</v>
      </c>
      <c r="F163" s="11" t="s">
        <v>84</v>
      </c>
      <c r="G163" s="11" t="s">
        <v>82</v>
      </c>
      <c r="H163" s="11" t="s">
        <v>82</v>
      </c>
      <c r="I163" s="11" t="s">
        <v>82</v>
      </c>
      <c r="J163" s="11" t="s">
        <v>84</v>
      </c>
      <c r="K163" s="11"/>
      <c r="L163" s="11" t="s">
        <v>84</v>
      </c>
      <c r="M163" s="7" t="s">
        <v>2055</v>
      </c>
      <c r="N163" s="21" t="s">
        <v>3640</v>
      </c>
      <c r="O163" s="11" t="s">
        <v>82</v>
      </c>
      <c r="P163" s="11"/>
      <c r="Q163" s="11"/>
      <c r="R163" s="11" t="s">
        <v>84</v>
      </c>
      <c r="S163" s="7" t="s">
        <v>2056</v>
      </c>
      <c r="T163" s="21" t="s">
        <v>1072</v>
      </c>
    </row>
    <row r="164" spans="1:20" x14ac:dyDescent="0.2">
      <c r="A164" s="1">
        <v>163</v>
      </c>
      <c r="B164" s="24"/>
      <c r="C164" s="11" t="s">
        <v>84</v>
      </c>
      <c r="D164" s="11" t="s">
        <v>84</v>
      </c>
      <c r="E164" s="11" t="s">
        <v>82</v>
      </c>
      <c r="F164" s="11" t="s">
        <v>84</v>
      </c>
      <c r="G164" s="11" t="s">
        <v>84</v>
      </c>
      <c r="H164" s="11" t="s">
        <v>82</v>
      </c>
      <c r="I164" s="11" t="s">
        <v>84</v>
      </c>
      <c r="J164" s="11" t="s">
        <v>82</v>
      </c>
      <c r="K164" s="11"/>
      <c r="L164" s="11" t="s">
        <v>82</v>
      </c>
      <c r="M164" s="7"/>
      <c r="N164" s="21"/>
      <c r="O164" s="11" t="s">
        <v>82</v>
      </c>
      <c r="P164" s="11"/>
      <c r="Q164" s="11"/>
      <c r="R164" s="11" t="s">
        <v>82</v>
      </c>
      <c r="S164" s="7"/>
      <c r="T164" s="21"/>
    </row>
    <row r="165" spans="1:20" x14ac:dyDescent="0.2">
      <c r="A165" s="1">
        <v>164</v>
      </c>
      <c r="B165" s="24"/>
      <c r="C165" s="11" t="s">
        <v>84</v>
      </c>
      <c r="D165" s="11" t="s">
        <v>84</v>
      </c>
      <c r="E165" s="11" t="s">
        <v>84</v>
      </c>
      <c r="F165" s="11" t="s">
        <v>84</v>
      </c>
      <c r="G165" s="11" t="s">
        <v>82</v>
      </c>
      <c r="H165" s="11" t="s">
        <v>82</v>
      </c>
      <c r="I165" s="11" t="s">
        <v>84</v>
      </c>
      <c r="J165" s="11" t="s">
        <v>82</v>
      </c>
      <c r="K165" s="11"/>
      <c r="L165" s="11" t="s">
        <v>82</v>
      </c>
      <c r="M165" s="7"/>
      <c r="N165" s="21"/>
      <c r="O165" s="11" t="s">
        <v>82</v>
      </c>
      <c r="P165" s="11"/>
      <c r="Q165" s="11"/>
      <c r="R165" s="11" t="s">
        <v>82</v>
      </c>
      <c r="S165" s="7"/>
      <c r="T165" s="21"/>
    </row>
    <row r="166" spans="1:20" ht="51" x14ac:dyDescent="0.2">
      <c r="A166" s="1">
        <v>165</v>
      </c>
      <c r="B166" s="24"/>
      <c r="C166" s="11" t="s">
        <v>84</v>
      </c>
      <c r="D166" s="11" t="s">
        <v>84</v>
      </c>
      <c r="E166" s="11" t="s">
        <v>84</v>
      </c>
      <c r="F166" s="11" t="s">
        <v>82</v>
      </c>
      <c r="G166" s="11" t="s">
        <v>82</v>
      </c>
      <c r="H166" s="11" t="s">
        <v>82</v>
      </c>
      <c r="I166" s="11" t="s">
        <v>84</v>
      </c>
      <c r="J166" s="11" t="s">
        <v>82</v>
      </c>
      <c r="K166" s="11"/>
      <c r="L166" s="11" t="s">
        <v>82</v>
      </c>
      <c r="M166" s="7"/>
      <c r="N166" s="21"/>
      <c r="O166" s="39" t="s">
        <v>84</v>
      </c>
      <c r="P166" s="39" t="s">
        <v>1114</v>
      </c>
      <c r="Q166" s="11"/>
      <c r="R166" s="11" t="s">
        <v>82</v>
      </c>
      <c r="S166" s="7" t="s">
        <v>2059</v>
      </c>
      <c r="T166" s="21" t="s">
        <v>3452</v>
      </c>
    </row>
    <row r="167" spans="1:20" ht="63.75" x14ac:dyDescent="0.2">
      <c r="A167" s="1">
        <v>166</v>
      </c>
      <c r="B167" s="24"/>
      <c r="C167" s="11" t="s">
        <v>84</v>
      </c>
      <c r="D167" s="11" t="s">
        <v>84</v>
      </c>
      <c r="E167" s="11" t="s">
        <v>82</v>
      </c>
      <c r="F167" s="11" t="s">
        <v>82</v>
      </c>
      <c r="G167" s="11" t="s">
        <v>82</v>
      </c>
      <c r="H167" s="11" t="s">
        <v>84</v>
      </c>
      <c r="I167" s="11" t="s">
        <v>82</v>
      </c>
      <c r="J167" s="11" t="s">
        <v>84</v>
      </c>
      <c r="K167" s="11"/>
      <c r="L167" s="11" t="s">
        <v>84</v>
      </c>
      <c r="M167" s="7" t="s">
        <v>2062</v>
      </c>
      <c r="N167" s="21" t="s">
        <v>3641</v>
      </c>
      <c r="O167" s="11" t="s">
        <v>84</v>
      </c>
      <c r="P167" s="11" t="s">
        <v>3892</v>
      </c>
      <c r="Q167" s="11" t="s">
        <v>3703</v>
      </c>
      <c r="R167" s="11" t="s">
        <v>80</v>
      </c>
      <c r="S167" s="7"/>
      <c r="T167" s="21"/>
    </row>
    <row r="168" spans="1:20" x14ac:dyDescent="0.2">
      <c r="A168" s="1">
        <v>167</v>
      </c>
      <c r="B168" s="24"/>
      <c r="C168" s="11" t="s">
        <v>84</v>
      </c>
      <c r="D168" s="11" t="s">
        <v>84</v>
      </c>
      <c r="E168" s="11" t="s">
        <v>84</v>
      </c>
      <c r="F168" s="11" t="s">
        <v>82</v>
      </c>
      <c r="G168" s="11" t="s">
        <v>82</v>
      </c>
      <c r="H168" s="21" t="s">
        <v>84</v>
      </c>
      <c r="I168" s="11" t="s">
        <v>84</v>
      </c>
      <c r="J168" s="11" t="s">
        <v>84</v>
      </c>
      <c r="K168" s="11"/>
      <c r="L168" s="11" t="s">
        <v>82</v>
      </c>
      <c r="M168" s="7"/>
      <c r="N168" s="21"/>
      <c r="O168" s="11" t="s">
        <v>84</v>
      </c>
      <c r="P168" s="11" t="s">
        <v>3945</v>
      </c>
      <c r="Q168" s="11" t="s">
        <v>2067</v>
      </c>
      <c r="R168" s="11" t="s">
        <v>80</v>
      </c>
      <c r="S168" s="7"/>
      <c r="T168" s="21"/>
    </row>
    <row r="169" spans="1:20" x14ac:dyDescent="0.2">
      <c r="A169" s="1">
        <v>168</v>
      </c>
      <c r="B169" s="24"/>
      <c r="C169" s="11" t="s">
        <v>84</v>
      </c>
      <c r="D169" s="11" t="s">
        <v>84</v>
      </c>
      <c r="E169" s="11" t="s">
        <v>84</v>
      </c>
      <c r="F169" s="11" t="s">
        <v>82</v>
      </c>
      <c r="G169" s="11" t="s">
        <v>82</v>
      </c>
      <c r="H169" s="11" t="s">
        <v>82</v>
      </c>
      <c r="I169" s="11" t="s">
        <v>82</v>
      </c>
      <c r="J169" s="11" t="s">
        <v>82</v>
      </c>
      <c r="K169" s="11"/>
      <c r="L169" s="11" t="s">
        <v>82</v>
      </c>
      <c r="M169" s="7"/>
      <c r="N169" s="21"/>
      <c r="O169" s="11" t="s">
        <v>82</v>
      </c>
      <c r="P169" s="11"/>
      <c r="Q169" s="11"/>
      <c r="R169" s="11" t="s">
        <v>84</v>
      </c>
      <c r="S169" s="7"/>
      <c r="T169" s="21"/>
    </row>
    <row r="170" spans="1:20" ht="25.5" x14ac:dyDescent="0.2">
      <c r="A170" s="1">
        <v>169</v>
      </c>
      <c r="B170" s="24"/>
      <c r="C170" s="11" t="s">
        <v>84</v>
      </c>
      <c r="D170" s="11" t="s">
        <v>84</v>
      </c>
      <c r="E170" s="11" t="s">
        <v>84</v>
      </c>
      <c r="F170" s="11" t="s">
        <v>82</v>
      </c>
      <c r="G170" s="11" t="s">
        <v>82</v>
      </c>
      <c r="H170" s="11" t="s">
        <v>82</v>
      </c>
      <c r="I170" s="11" t="s">
        <v>84</v>
      </c>
      <c r="J170" s="11" t="s">
        <v>84</v>
      </c>
      <c r="K170" s="11"/>
      <c r="L170" s="11" t="s">
        <v>82</v>
      </c>
      <c r="M170" s="7"/>
      <c r="N170" s="21"/>
      <c r="O170" s="11" t="s">
        <v>82</v>
      </c>
      <c r="P170" s="11"/>
      <c r="Q170" s="11"/>
      <c r="R170" s="11" t="s">
        <v>84</v>
      </c>
      <c r="S170" s="7" t="s">
        <v>2069</v>
      </c>
      <c r="T170" s="21"/>
    </row>
    <row r="171" spans="1:20" ht="63.75" x14ac:dyDescent="0.2">
      <c r="A171" s="1">
        <v>170</v>
      </c>
      <c r="B171" s="24"/>
      <c r="C171" s="11" t="s">
        <v>84</v>
      </c>
      <c r="D171" s="11" t="s">
        <v>84</v>
      </c>
      <c r="E171" s="11" t="s">
        <v>82</v>
      </c>
      <c r="F171" s="11" t="s">
        <v>84</v>
      </c>
      <c r="G171" s="11" t="s">
        <v>82</v>
      </c>
      <c r="H171" s="21" t="s">
        <v>82</v>
      </c>
      <c r="I171" s="11" t="s">
        <v>82</v>
      </c>
      <c r="J171" s="11" t="s">
        <v>82</v>
      </c>
      <c r="K171" s="11"/>
      <c r="L171" s="11" t="s">
        <v>84</v>
      </c>
      <c r="M171" s="7" t="s">
        <v>2071</v>
      </c>
      <c r="N171" s="21" t="s">
        <v>3661</v>
      </c>
      <c r="O171" s="11" t="s">
        <v>82</v>
      </c>
      <c r="P171" s="11"/>
      <c r="Q171" s="11"/>
      <c r="R171" s="11" t="s">
        <v>82</v>
      </c>
      <c r="S171" s="7" t="s">
        <v>2072</v>
      </c>
      <c r="T171" s="21" t="s">
        <v>3718</v>
      </c>
    </row>
    <row r="172" spans="1:20" ht="89.25" x14ac:dyDescent="0.2">
      <c r="A172" s="1">
        <v>171</v>
      </c>
      <c r="B172" s="24"/>
      <c r="C172" s="11" t="s">
        <v>84</v>
      </c>
      <c r="D172" s="11" t="s">
        <v>84</v>
      </c>
      <c r="E172" s="11" t="s">
        <v>82</v>
      </c>
      <c r="F172" s="11" t="s">
        <v>82</v>
      </c>
      <c r="G172" s="11" t="s">
        <v>82</v>
      </c>
      <c r="H172" s="21" t="s">
        <v>84</v>
      </c>
      <c r="I172" s="11" t="s">
        <v>82</v>
      </c>
      <c r="J172" s="11" t="s">
        <v>82</v>
      </c>
      <c r="K172" s="11"/>
      <c r="L172" s="11" t="s">
        <v>84</v>
      </c>
      <c r="M172" s="7" t="s">
        <v>2074</v>
      </c>
      <c r="N172" s="21" t="s">
        <v>3642</v>
      </c>
      <c r="O172" s="11" t="s">
        <v>84</v>
      </c>
      <c r="P172" s="11" t="s">
        <v>3946</v>
      </c>
      <c r="Q172" s="11" t="s">
        <v>2076</v>
      </c>
      <c r="R172" s="11" t="s">
        <v>80</v>
      </c>
      <c r="S172" s="7"/>
      <c r="T172" s="21"/>
    </row>
    <row r="173" spans="1:20" ht="63.75" x14ac:dyDescent="0.2">
      <c r="A173" s="1">
        <v>172</v>
      </c>
      <c r="B173" s="24"/>
      <c r="C173" s="11" t="s">
        <v>84</v>
      </c>
      <c r="D173" s="11" t="s">
        <v>84</v>
      </c>
      <c r="E173" s="11" t="s">
        <v>84</v>
      </c>
      <c r="F173" s="11" t="s">
        <v>84</v>
      </c>
      <c r="G173" s="11" t="s">
        <v>82</v>
      </c>
      <c r="H173" s="11" t="s">
        <v>84</v>
      </c>
      <c r="I173" s="11" t="s">
        <v>84</v>
      </c>
      <c r="J173" s="11" t="s">
        <v>84</v>
      </c>
      <c r="K173" s="11"/>
      <c r="L173" s="11" t="s">
        <v>82</v>
      </c>
      <c r="M173" s="7"/>
      <c r="N173" s="21"/>
      <c r="O173" s="11" t="s">
        <v>84</v>
      </c>
      <c r="P173" s="11" t="s">
        <v>3947</v>
      </c>
      <c r="Q173" s="7" t="s">
        <v>3704</v>
      </c>
      <c r="R173" s="11" t="s">
        <v>80</v>
      </c>
      <c r="S173" s="7"/>
      <c r="T173" s="21"/>
    </row>
    <row r="174" spans="1:20" x14ac:dyDescent="0.2">
      <c r="A174" s="1">
        <v>173</v>
      </c>
      <c r="B174" s="24"/>
      <c r="C174" s="11" t="s">
        <v>84</v>
      </c>
      <c r="D174" s="11" t="s">
        <v>84</v>
      </c>
      <c r="E174" s="11" t="s">
        <v>84</v>
      </c>
      <c r="F174" s="11" t="s">
        <v>82</v>
      </c>
      <c r="G174" s="11" t="s">
        <v>82</v>
      </c>
      <c r="H174" s="11" t="s">
        <v>84</v>
      </c>
      <c r="I174" s="11" t="s">
        <v>84</v>
      </c>
      <c r="J174" s="11" t="s">
        <v>82</v>
      </c>
      <c r="K174" s="11"/>
      <c r="L174" s="11" t="s">
        <v>82</v>
      </c>
      <c r="M174" s="11"/>
      <c r="N174" s="21"/>
      <c r="O174" s="11" t="s">
        <v>84</v>
      </c>
      <c r="P174" s="11" t="s">
        <v>240</v>
      </c>
      <c r="Q174" s="19" t="s">
        <v>813</v>
      </c>
      <c r="R174" s="11" t="s">
        <v>80</v>
      </c>
      <c r="S174" s="7"/>
      <c r="T174" s="21"/>
    </row>
    <row r="175" spans="1:20" x14ac:dyDescent="0.2">
      <c r="A175" s="1">
        <v>174</v>
      </c>
      <c r="B175" s="24"/>
      <c r="C175" s="11" t="s">
        <v>84</v>
      </c>
      <c r="D175" s="11" t="s">
        <v>84</v>
      </c>
      <c r="E175" s="11" t="s">
        <v>84</v>
      </c>
      <c r="F175" s="11" t="s">
        <v>82</v>
      </c>
      <c r="G175" s="11" t="s">
        <v>82</v>
      </c>
      <c r="H175" s="11" t="s">
        <v>82</v>
      </c>
      <c r="I175" s="11" t="s">
        <v>84</v>
      </c>
      <c r="J175" s="11" t="s">
        <v>84</v>
      </c>
      <c r="K175" s="11"/>
      <c r="L175" s="11" t="s">
        <v>82</v>
      </c>
      <c r="M175" s="11"/>
      <c r="N175" s="21"/>
      <c r="O175" s="11" t="s">
        <v>82</v>
      </c>
      <c r="P175" s="11"/>
      <c r="Q175" s="11"/>
      <c r="R175" s="11" t="s">
        <v>84</v>
      </c>
      <c r="S175" s="7"/>
      <c r="T175" s="21"/>
    </row>
    <row r="176" spans="1:20" ht="178.5" x14ac:dyDescent="0.2">
      <c r="A176" s="1">
        <v>175</v>
      </c>
      <c r="B176" s="24"/>
      <c r="C176" s="11" t="s">
        <v>84</v>
      </c>
      <c r="D176" s="11" t="s">
        <v>84</v>
      </c>
      <c r="E176" s="11" t="s">
        <v>84</v>
      </c>
      <c r="F176" s="11" t="s">
        <v>84</v>
      </c>
      <c r="G176" s="11" t="s">
        <v>82</v>
      </c>
      <c r="H176" s="11" t="s">
        <v>82</v>
      </c>
      <c r="I176" s="11" t="s">
        <v>84</v>
      </c>
      <c r="J176" s="11" t="s">
        <v>84</v>
      </c>
      <c r="K176" s="11"/>
      <c r="L176" s="11" t="s">
        <v>84</v>
      </c>
      <c r="M176" s="7" t="s">
        <v>2084</v>
      </c>
      <c r="N176" s="21" t="s">
        <v>3662</v>
      </c>
      <c r="O176" s="39" t="s">
        <v>84</v>
      </c>
      <c r="P176" s="39" t="s">
        <v>1114</v>
      </c>
      <c r="Q176" s="11"/>
      <c r="R176" s="11" t="s">
        <v>82</v>
      </c>
      <c r="S176" s="7" t="s">
        <v>4213</v>
      </c>
      <c r="T176" s="21" t="s">
        <v>3724</v>
      </c>
    </row>
    <row r="177" spans="1:20" x14ac:dyDescent="0.2">
      <c r="A177" s="1">
        <v>176</v>
      </c>
      <c r="B177" s="24"/>
      <c r="C177" s="11" t="s">
        <v>84</v>
      </c>
      <c r="D177" s="11" t="s">
        <v>84</v>
      </c>
      <c r="E177" s="11" t="s">
        <v>84</v>
      </c>
      <c r="F177" s="11" t="s">
        <v>82</v>
      </c>
      <c r="G177" s="11" t="s">
        <v>82</v>
      </c>
      <c r="H177" s="11" t="s">
        <v>82</v>
      </c>
      <c r="I177" s="11" t="s">
        <v>84</v>
      </c>
      <c r="J177" s="11" t="s">
        <v>84</v>
      </c>
      <c r="K177" s="11"/>
      <c r="L177" s="11" t="s">
        <v>82</v>
      </c>
      <c r="M177" s="7"/>
      <c r="N177" s="21"/>
      <c r="O177" s="11" t="s">
        <v>82</v>
      </c>
      <c r="P177" s="11"/>
      <c r="Q177" s="11"/>
      <c r="R177" s="11" t="s">
        <v>84</v>
      </c>
      <c r="S177" s="7" t="s">
        <v>246</v>
      </c>
      <c r="T177" s="21"/>
    </row>
    <row r="178" spans="1:20" ht="38.25" x14ac:dyDescent="0.2">
      <c r="A178" s="1">
        <v>177</v>
      </c>
      <c r="B178" s="24"/>
      <c r="C178" s="11" t="s">
        <v>84</v>
      </c>
      <c r="D178" s="11" t="s">
        <v>84</v>
      </c>
      <c r="E178" s="11" t="s">
        <v>84</v>
      </c>
      <c r="F178" s="11" t="s">
        <v>84</v>
      </c>
      <c r="G178" s="11" t="s">
        <v>82</v>
      </c>
      <c r="H178" s="11" t="s">
        <v>82</v>
      </c>
      <c r="I178" s="11" t="s">
        <v>82</v>
      </c>
      <c r="J178" s="11" t="s">
        <v>82</v>
      </c>
      <c r="K178" s="11"/>
      <c r="L178" s="11" t="s">
        <v>84</v>
      </c>
      <c r="M178" s="7" t="s">
        <v>2088</v>
      </c>
      <c r="N178" s="21" t="s">
        <v>3663</v>
      </c>
      <c r="O178" s="11" t="s">
        <v>82</v>
      </c>
      <c r="P178" s="11"/>
      <c r="Q178" s="11"/>
      <c r="R178" s="11" t="s">
        <v>84</v>
      </c>
      <c r="S178" s="7" t="s">
        <v>2089</v>
      </c>
      <c r="T178" s="21" t="s">
        <v>709</v>
      </c>
    </row>
    <row r="179" spans="1:20" ht="229.5" x14ac:dyDescent="0.2">
      <c r="A179" s="1">
        <v>178</v>
      </c>
      <c r="B179" s="24"/>
      <c r="C179" s="11" t="s">
        <v>84</v>
      </c>
      <c r="D179" s="11" t="s">
        <v>84</v>
      </c>
      <c r="E179" s="11" t="s">
        <v>84</v>
      </c>
      <c r="F179" s="11" t="s">
        <v>84</v>
      </c>
      <c r="G179" s="11" t="s">
        <v>82</v>
      </c>
      <c r="H179" s="11" t="s">
        <v>84</v>
      </c>
      <c r="I179" s="11" t="s">
        <v>82</v>
      </c>
      <c r="J179" s="11" t="s">
        <v>84</v>
      </c>
      <c r="K179" s="11"/>
      <c r="L179" s="11" t="s">
        <v>84</v>
      </c>
      <c r="M179" s="7" t="s">
        <v>3692</v>
      </c>
      <c r="N179" s="21" t="s">
        <v>3664</v>
      </c>
      <c r="O179" s="11" t="s">
        <v>84</v>
      </c>
      <c r="P179" s="11" t="s">
        <v>2092</v>
      </c>
      <c r="Q179" s="11" t="s">
        <v>3001</v>
      </c>
      <c r="R179" s="11" t="s">
        <v>80</v>
      </c>
      <c r="S179" s="7"/>
      <c r="T179" s="21"/>
    </row>
    <row r="180" spans="1:20" ht="25.5" x14ac:dyDescent="0.2">
      <c r="A180" s="1">
        <v>179</v>
      </c>
      <c r="B180" s="24"/>
      <c r="C180" s="11" t="s">
        <v>84</v>
      </c>
      <c r="D180" s="11" t="s">
        <v>84</v>
      </c>
      <c r="E180" s="11" t="s">
        <v>84</v>
      </c>
      <c r="F180" s="11" t="s">
        <v>82</v>
      </c>
      <c r="G180" s="11" t="s">
        <v>82</v>
      </c>
      <c r="H180" s="11" t="s">
        <v>82</v>
      </c>
      <c r="I180" s="11" t="s">
        <v>84</v>
      </c>
      <c r="J180" s="11" t="s">
        <v>82</v>
      </c>
      <c r="K180" s="11"/>
      <c r="L180" s="11" t="s">
        <v>82</v>
      </c>
      <c r="M180" s="7"/>
      <c r="N180" s="21"/>
      <c r="O180" s="11" t="s">
        <v>82</v>
      </c>
      <c r="P180" s="11"/>
      <c r="Q180" s="11"/>
      <c r="R180" s="11" t="s">
        <v>84</v>
      </c>
      <c r="S180" s="7" t="s">
        <v>2095</v>
      </c>
      <c r="T180" s="21" t="s">
        <v>1052</v>
      </c>
    </row>
    <row r="181" spans="1:20" ht="76.5" x14ac:dyDescent="0.2">
      <c r="A181" s="1">
        <v>180</v>
      </c>
      <c r="B181" s="24"/>
      <c r="C181" s="11" t="s">
        <v>84</v>
      </c>
      <c r="D181" s="11" t="s">
        <v>84</v>
      </c>
      <c r="E181" s="11" t="s">
        <v>84</v>
      </c>
      <c r="F181" s="11" t="s">
        <v>84</v>
      </c>
      <c r="G181" s="11" t="s">
        <v>82</v>
      </c>
      <c r="H181" s="11" t="s">
        <v>82</v>
      </c>
      <c r="I181" s="11" t="s">
        <v>84</v>
      </c>
      <c r="J181" s="11" t="s">
        <v>82</v>
      </c>
      <c r="K181" s="11"/>
      <c r="L181" s="11" t="s">
        <v>82</v>
      </c>
      <c r="M181" s="7"/>
      <c r="N181" s="21"/>
      <c r="O181" s="11" t="s">
        <v>82</v>
      </c>
      <c r="P181" s="11"/>
      <c r="Q181" s="11"/>
      <c r="R181" s="11" t="s">
        <v>82</v>
      </c>
      <c r="S181" s="7" t="s">
        <v>2097</v>
      </c>
      <c r="T181" s="21" t="s">
        <v>3718</v>
      </c>
    </row>
    <row r="182" spans="1:20" ht="63.75" x14ac:dyDescent="0.2">
      <c r="A182" s="1">
        <v>181</v>
      </c>
      <c r="B182" s="24"/>
      <c r="C182" s="11" t="s">
        <v>84</v>
      </c>
      <c r="D182" s="11" t="s">
        <v>84</v>
      </c>
      <c r="E182" s="11" t="s">
        <v>84</v>
      </c>
      <c r="F182" s="11" t="s">
        <v>84</v>
      </c>
      <c r="G182" s="11" t="s">
        <v>82</v>
      </c>
      <c r="H182" s="11" t="s">
        <v>82</v>
      </c>
      <c r="I182" s="11" t="s">
        <v>82</v>
      </c>
      <c r="J182" s="11" t="s">
        <v>82</v>
      </c>
      <c r="K182" s="11"/>
      <c r="L182" s="11" t="s">
        <v>84</v>
      </c>
      <c r="M182" s="7" t="s">
        <v>2099</v>
      </c>
      <c r="N182" s="21" t="s">
        <v>3643</v>
      </c>
      <c r="O182" s="11" t="s">
        <v>82</v>
      </c>
      <c r="P182" s="11"/>
      <c r="Q182" s="11"/>
      <c r="R182" s="11" t="s">
        <v>82</v>
      </c>
      <c r="S182" s="7"/>
      <c r="T182" s="21"/>
    </row>
    <row r="183" spans="1:20" ht="51" x14ac:dyDescent="0.2">
      <c r="A183" s="1">
        <v>182</v>
      </c>
      <c r="B183" s="24"/>
      <c r="C183" s="11" t="s">
        <v>84</v>
      </c>
      <c r="D183" s="11" t="s">
        <v>84</v>
      </c>
      <c r="E183" s="11" t="s">
        <v>82</v>
      </c>
      <c r="F183" s="11" t="s">
        <v>82</v>
      </c>
      <c r="G183" s="11" t="s">
        <v>82</v>
      </c>
      <c r="H183" s="11" t="s">
        <v>82</v>
      </c>
      <c r="I183" s="11" t="s">
        <v>82</v>
      </c>
      <c r="J183" s="11" t="s">
        <v>82</v>
      </c>
      <c r="K183" s="11"/>
      <c r="L183" s="11" t="s">
        <v>84</v>
      </c>
      <c r="M183" s="7" t="s">
        <v>2100</v>
      </c>
      <c r="N183" s="21" t="s">
        <v>3644</v>
      </c>
      <c r="O183" s="11" t="s">
        <v>82</v>
      </c>
      <c r="P183" s="11"/>
      <c r="Q183" s="11"/>
      <c r="R183" s="11" t="s">
        <v>84</v>
      </c>
      <c r="S183" s="7" t="s">
        <v>2101</v>
      </c>
      <c r="T183" s="21" t="s">
        <v>3716</v>
      </c>
    </row>
    <row r="184" spans="1:20" ht="25.5" x14ac:dyDescent="0.2">
      <c r="A184" s="1">
        <v>183</v>
      </c>
      <c r="B184" s="24"/>
      <c r="C184" s="11" t="s">
        <v>84</v>
      </c>
      <c r="D184" s="11" t="s">
        <v>84</v>
      </c>
      <c r="E184" s="11" t="s">
        <v>84</v>
      </c>
      <c r="F184" s="11" t="s">
        <v>82</v>
      </c>
      <c r="G184" s="11" t="s">
        <v>82</v>
      </c>
      <c r="H184" s="11" t="s">
        <v>82</v>
      </c>
      <c r="I184" s="11" t="s">
        <v>82</v>
      </c>
      <c r="J184" s="11" t="s">
        <v>82</v>
      </c>
      <c r="K184" s="11"/>
      <c r="L184" s="11" t="s">
        <v>84</v>
      </c>
      <c r="M184" s="7" t="s">
        <v>2104</v>
      </c>
      <c r="N184" s="21" t="s">
        <v>3665</v>
      </c>
      <c r="O184" s="11" t="s">
        <v>82</v>
      </c>
      <c r="P184" s="11"/>
      <c r="Q184" s="11"/>
      <c r="R184" s="11" t="s">
        <v>84</v>
      </c>
      <c r="S184" s="7" t="s">
        <v>2105</v>
      </c>
      <c r="T184" s="21"/>
    </row>
    <row r="185" spans="1:20" x14ac:dyDescent="0.2">
      <c r="A185" s="1">
        <v>184</v>
      </c>
      <c r="B185" s="24"/>
      <c r="C185" s="11" t="s">
        <v>84</v>
      </c>
      <c r="D185" s="11" t="s">
        <v>84</v>
      </c>
      <c r="E185" s="11" t="s">
        <v>82</v>
      </c>
      <c r="F185" s="11" t="s">
        <v>82</v>
      </c>
      <c r="G185" s="11" t="s">
        <v>82</v>
      </c>
      <c r="H185" s="11" t="s">
        <v>84</v>
      </c>
      <c r="I185" s="11" t="s">
        <v>82</v>
      </c>
      <c r="J185" s="11" t="s">
        <v>82</v>
      </c>
      <c r="K185" s="11"/>
      <c r="L185" s="11" t="s">
        <v>82</v>
      </c>
      <c r="M185" s="7"/>
      <c r="N185" s="21"/>
      <c r="O185" s="11" t="s">
        <v>84</v>
      </c>
      <c r="P185" s="11" t="s">
        <v>360</v>
      </c>
      <c r="Q185" s="11" t="s">
        <v>2487</v>
      </c>
      <c r="R185" s="11" t="s">
        <v>80</v>
      </c>
      <c r="S185" s="7"/>
      <c r="T185" s="21"/>
    </row>
    <row r="186" spans="1:20" ht="25.5" x14ac:dyDescent="0.2">
      <c r="A186" s="1">
        <v>185</v>
      </c>
      <c r="B186" s="24"/>
      <c r="C186" s="11" t="s">
        <v>84</v>
      </c>
      <c r="D186" s="11" t="s">
        <v>84</v>
      </c>
      <c r="E186" s="11" t="s">
        <v>84</v>
      </c>
      <c r="F186" s="11" t="s">
        <v>84</v>
      </c>
      <c r="G186" s="11" t="s">
        <v>82</v>
      </c>
      <c r="H186" s="11" t="s">
        <v>84</v>
      </c>
      <c r="I186" s="11" t="s">
        <v>84</v>
      </c>
      <c r="J186" s="11" t="s">
        <v>84</v>
      </c>
      <c r="K186" s="11"/>
      <c r="L186" s="11" t="s">
        <v>84</v>
      </c>
      <c r="M186" s="7"/>
      <c r="N186" s="21"/>
      <c r="O186" s="11" t="s">
        <v>84</v>
      </c>
      <c r="P186" s="11" t="s">
        <v>3948</v>
      </c>
      <c r="Q186" s="7" t="s">
        <v>3705</v>
      </c>
      <c r="R186" s="11" t="s">
        <v>80</v>
      </c>
      <c r="S186" s="7"/>
      <c r="T186" s="21"/>
    </row>
    <row r="187" spans="1:20" ht="63.75" x14ac:dyDescent="0.2">
      <c r="A187" s="1">
        <v>186</v>
      </c>
      <c r="B187" s="24"/>
      <c r="C187" s="11" t="s">
        <v>84</v>
      </c>
      <c r="D187" s="11" t="s">
        <v>84</v>
      </c>
      <c r="E187" s="11" t="s">
        <v>84</v>
      </c>
      <c r="F187" s="11" t="s">
        <v>82</v>
      </c>
      <c r="G187" s="11" t="s">
        <v>82</v>
      </c>
      <c r="H187" s="11" t="s">
        <v>82</v>
      </c>
      <c r="I187" s="11" t="s">
        <v>82</v>
      </c>
      <c r="J187" s="11" t="s">
        <v>82</v>
      </c>
      <c r="K187" s="11"/>
      <c r="L187" s="11" t="s">
        <v>82</v>
      </c>
      <c r="M187" s="7"/>
      <c r="N187" s="21"/>
      <c r="O187" s="11" t="s">
        <v>82</v>
      </c>
      <c r="P187" s="11"/>
      <c r="Q187" s="11"/>
      <c r="R187" s="11" t="s">
        <v>84</v>
      </c>
      <c r="S187" s="7" t="s">
        <v>2111</v>
      </c>
      <c r="T187" s="21"/>
    </row>
    <row r="188" spans="1:20" x14ac:dyDescent="0.2">
      <c r="A188" s="1">
        <v>187</v>
      </c>
      <c r="B188" s="24"/>
      <c r="C188" s="11" t="s">
        <v>84</v>
      </c>
      <c r="D188" s="11" t="s">
        <v>84</v>
      </c>
      <c r="E188" s="11" t="s">
        <v>84</v>
      </c>
      <c r="F188" s="11" t="s">
        <v>84</v>
      </c>
      <c r="G188" s="11" t="s">
        <v>82</v>
      </c>
      <c r="H188" s="11" t="s">
        <v>82</v>
      </c>
      <c r="I188" s="11" t="s">
        <v>84</v>
      </c>
      <c r="J188" s="11" t="s">
        <v>84</v>
      </c>
      <c r="K188" s="11"/>
      <c r="L188" s="11" t="s">
        <v>84</v>
      </c>
      <c r="M188" s="7"/>
      <c r="N188" s="21"/>
      <c r="O188" s="11" t="s">
        <v>82</v>
      </c>
      <c r="P188" s="11"/>
      <c r="Q188" s="11"/>
      <c r="R188" s="11" t="s">
        <v>84</v>
      </c>
      <c r="S188" s="7"/>
      <c r="T188" s="21"/>
    </row>
    <row r="189" spans="1:20" x14ac:dyDescent="0.2">
      <c r="A189" s="1">
        <v>188</v>
      </c>
      <c r="B189" s="24"/>
      <c r="C189" s="11" t="s">
        <v>84</v>
      </c>
      <c r="D189" s="11" t="s">
        <v>84</v>
      </c>
      <c r="E189" s="11" t="s">
        <v>84</v>
      </c>
      <c r="F189" s="11" t="s">
        <v>82</v>
      </c>
      <c r="G189" s="11" t="s">
        <v>82</v>
      </c>
      <c r="H189" s="11" t="s">
        <v>82</v>
      </c>
      <c r="I189" s="11" t="s">
        <v>82</v>
      </c>
      <c r="J189" s="11" t="s">
        <v>82</v>
      </c>
      <c r="K189" s="11"/>
      <c r="L189" s="11" t="s">
        <v>82</v>
      </c>
      <c r="M189" s="7"/>
      <c r="N189" s="21"/>
      <c r="O189" s="11" t="s">
        <v>82</v>
      </c>
      <c r="P189" s="11"/>
      <c r="Q189" s="11"/>
      <c r="R189" s="11" t="s">
        <v>82</v>
      </c>
      <c r="S189" s="7" t="s">
        <v>2112</v>
      </c>
      <c r="T189" s="21" t="s">
        <v>1072</v>
      </c>
    </row>
    <row r="190" spans="1:20" ht="38.25" x14ac:dyDescent="0.2">
      <c r="A190" s="1">
        <v>189</v>
      </c>
      <c r="B190" s="24"/>
      <c r="C190" s="11" t="s">
        <v>84</v>
      </c>
      <c r="D190" s="11" t="s">
        <v>84</v>
      </c>
      <c r="E190" s="11" t="s">
        <v>84</v>
      </c>
      <c r="F190" s="11" t="s">
        <v>82</v>
      </c>
      <c r="G190" s="11" t="s">
        <v>82</v>
      </c>
      <c r="H190" s="11" t="s">
        <v>84</v>
      </c>
      <c r="I190" s="11" t="s">
        <v>84</v>
      </c>
      <c r="J190" s="11" t="s">
        <v>82</v>
      </c>
      <c r="K190" s="11"/>
      <c r="L190" s="11" t="s">
        <v>82</v>
      </c>
      <c r="M190" s="7"/>
      <c r="N190" s="21"/>
      <c r="O190" s="11" t="s">
        <v>84</v>
      </c>
      <c r="P190" s="11" t="s">
        <v>3949</v>
      </c>
      <c r="Q190" s="7" t="s">
        <v>3706</v>
      </c>
      <c r="R190" s="11" t="s">
        <v>80</v>
      </c>
      <c r="S190" s="7"/>
      <c r="T190" s="21"/>
    </row>
    <row r="191" spans="1:20" ht="165.75" x14ac:dyDescent="0.2">
      <c r="A191" s="1">
        <v>190</v>
      </c>
      <c r="B191" s="24"/>
      <c r="C191" s="11" t="s">
        <v>84</v>
      </c>
      <c r="D191" s="11" t="s">
        <v>84</v>
      </c>
      <c r="E191" s="11" t="s">
        <v>82</v>
      </c>
      <c r="F191" s="11" t="s">
        <v>82</v>
      </c>
      <c r="G191" s="11" t="s">
        <v>82</v>
      </c>
      <c r="H191" s="11" t="s">
        <v>82</v>
      </c>
      <c r="I191" s="11" t="s">
        <v>82</v>
      </c>
      <c r="J191" s="11" t="s">
        <v>82</v>
      </c>
      <c r="K191" s="11"/>
      <c r="L191" s="11" t="s">
        <v>84</v>
      </c>
      <c r="M191" s="7" t="s">
        <v>2119</v>
      </c>
      <c r="N191" s="21" t="s">
        <v>3666</v>
      </c>
      <c r="O191" s="11" t="s">
        <v>82</v>
      </c>
      <c r="P191" s="11"/>
      <c r="Q191" s="11"/>
      <c r="R191" s="11" t="s">
        <v>84</v>
      </c>
      <c r="S191" s="7"/>
      <c r="T191" s="21"/>
    </row>
    <row r="192" spans="1:20" x14ac:dyDescent="0.2">
      <c r="A192" s="1">
        <v>191</v>
      </c>
      <c r="B192" s="24"/>
      <c r="C192" s="11" t="s">
        <v>84</v>
      </c>
      <c r="D192" s="11" t="s">
        <v>84</v>
      </c>
      <c r="E192" s="11" t="s">
        <v>84</v>
      </c>
      <c r="F192" s="11" t="s">
        <v>82</v>
      </c>
      <c r="G192" s="11" t="s">
        <v>82</v>
      </c>
      <c r="H192" s="11" t="s">
        <v>82</v>
      </c>
      <c r="I192" s="11" t="s">
        <v>84</v>
      </c>
      <c r="J192" s="11" t="s">
        <v>82</v>
      </c>
      <c r="K192" s="11"/>
      <c r="L192" s="11" t="s">
        <v>82</v>
      </c>
      <c r="M192" s="7"/>
      <c r="N192" s="21"/>
      <c r="O192" s="11" t="s">
        <v>82</v>
      </c>
      <c r="P192" s="11"/>
      <c r="Q192" s="11"/>
      <c r="R192" s="11" t="s">
        <v>82</v>
      </c>
      <c r="S192" s="7"/>
      <c r="T192" s="21"/>
    </row>
    <row r="193" spans="1:21" x14ac:dyDescent="0.2">
      <c r="A193" s="1">
        <v>192</v>
      </c>
      <c r="B193" s="24"/>
      <c r="C193" s="11" t="s">
        <v>84</v>
      </c>
      <c r="D193" s="11" t="s">
        <v>84</v>
      </c>
      <c r="E193" s="11" t="s">
        <v>84</v>
      </c>
      <c r="F193" s="11" t="s">
        <v>82</v>
      </c>
      <c r="G193" s="11" t="s">
        <v>82</v>
      </c>
      <c r="H193" s="11" t="s">
        <v>82</v>
      </c>
      <c r="I193" s="11" t="s">
        <v>82</v>
      </c>
      <c r="J193" s="11" t="s">
        <v>84</v>
      </c>
      <c r="K193" s="11"/>
      <c r="L193" s="11" t="s">
        <v>82</v>
      </c>
      <c r="M193" s="7"/>
      <c r="N193" s="21"/>
      <c r="O193" s="11" t="s">
        <v>82</v>
      </c>
      <c r="P193" s="11"/>
      <c r="Q193" s="11"/>
      <c r="R193" s="11" t="s">
        <v>84</v>
      </c>
      <c r="S193" s="7"/>
      <c r="T193" s="21"/>
    </row>
    <row r="194" spans="1:21" x14ac:dyDescent="0.2">
      <c r="A194" s="1">
        <v>193</v>
      </c>
      <c r="B194" s="24"/>
      <c r="C194" s="11" t="s">
        <v>84</v>
      </c>
      <c r="D194" s="11" t="s">
        <v>84</v>
      </c>
      <c r="E194" s="11" t="s">
        <v>82</v>
      </c>
      <c r="F194" s="11" t="s">
        <v>82</v>
      </c>
      <c r="G194" s="11" t="s">
        <v>82</v>
      </c>
      <c r="H194" s="11" t="s">
        <v>82</v>
      </c>
      <c r="I194" s="11" t="s">
        <v>84</v>
      </c>
      <c r="J194" s="11" t="s">
        <v>84</v>
      </c>
      <c r="K194" s="11"/>
      <c r="L194" s="11" t="s">
        <v>82</v>
      </c>
      <c r="M194" s="7"/>
      <c r="N194" s="21"/>
      <c r="O194" s="11" t="s">
        <v>82</v>
      </c>
      <c r="P194" s="11"/>
      <c r="Q194" s="11"/>
      <c r="R194" s="11" t="s">
        <v>82</v>
      </c>
      <c r="S194" s="7"/>
      <c r="T194" s="21"/>
    </row>
    <row r="195" spans="1:21" x14ac:dyDescent="0.2">
      <c r="A195" s="1">
        <v>194</v>
      </c>
      <c r="B195" s="24"/>
      <c r="C195" s="11" t="s">
        <v>84</v>
      </c>
      <c r="D195" s="11" t="s">
        <v>84</v>
      </c>
      <c r="E195" s="11" t="s">
        <v>84</v>
      </c>
      <c r="F195" s="11" t="s">
        <v>82</v>
      </c>
      <c r="G195" s="11" t="s">
        <v>82</v>
      </c>
      <c r="H195" s="11" t="s">
        <v>82</v>
      </c>
      <c r="I195" s="11" t="s">
        <v>82</v>
      </c>
      <c r="J195" s="11" t="s">
        <v>82</v>
      </c>
      <c r="K195" s="11"/>
      <c r="L195" s="11" t="s">
        <v>84</v>
      </c>
      <c r="M195" s="7" t="s">
        <v>3685</v>
      </c>
      <c r="N195" s="21" t="s">
        <v>3685</v>
      </c>
      <c r="O195" s="11" t="s">
        <v>82</v>
      </c>
      <c r="P195" s="11"/>
      <c r="Q195" s="11"/>
      <c r="R195" s="11" t="s">
        <v>84</v>
      </c>
      <c r="S195" s="7"/>
      <c r="T195" s="21"/>
    </row>
    <row r="196" spans="1:21" x14ac:dyDescent="0.2">
      <c r="A196" s="1">
        <v>195</v>
      </c>
      <c r="B196" s="38"/>
      <c r="C196" s="28" t="s">
        <v>84</v>
      </c>
      <c r="D196" s="28" t="s">
        <v>84</v>
      </c>
      <c r="E196" s="28" t="s">
        <v>82</v>
      </c>
      <c r="F196" s="28" t="s">
        <v>82</v>
      </c>
      <c r="G196" s="28" t="s">
        <v>82</v>
      </c>
      <c r="H196" s="28" t="s">
        <v>84</v>
      </c>
      <c r="I196" s="28" t="s">
        <v>82</v>
      </c>
      <c r="J196" s="28" t="s">
        <v>84</v>
      </c>
      <c r="K196" s="28"/>
      <c r="L196" s="28" t="s">
        <v>82</v>
      </c>
      <c r="M196" s="54"/>
      <c r="N196" s="44"/>
      <c r="O196" s="28" t="s">
        <v>84</v>
      </c>
      <c r="P196" s="28" t="s">
        <v>2126</v>
      </c>
      <c r="Q196" s="28"/>
      <c r="R196" s="28" t="s">
        <v>80</v>
      </c>
      <c r="S196" s="54"/>
      <c r="T196" s="44"/>
      <c r="U196" s="33"/>
    </row>
    <row r="197" spans="1:21" ht="25.5" x14ac:dyDescent="0.2">
      <c r="A197" s="1">
        <v>196</v>
      </c>
      <c r="B197" s="38"/>
      <c r="C197" s="11" t="s">
        <v>84</v>
      </c>
      <c r="D197" s="11" t="s">
        <v>84</v>
      </c>
      <c r="E197" s="11" t="s">
        <v>84</v>
      </c>
      <c r="F197" s="11" t="s">
        <v>82</v>
      </c>
      <c r="G197" s="11" t="s">
        <v>82</v>
      </c>
      <c r="H197" s="11" t="s">
        <v>84</v>
      </c>
      <c r="I197" s="11" t="s">
        <v>82</v>
      </c>
      <c r="J197" s="11" t="s">
        <v>84</v>
      </c>
      <c r="K197" s="11"/>
      <c r="L197" s="11" t="s">
        <v>82</v>
      </c>
      <c r="M197" s="7"/>
      <c r="N197" s="21"/>
      <c r="O197" s="11" t="s">
        <v>84</v>
      </c>
      <c r="P197" s="11" t="s">
        <v>3950</v>
      </c>
      <c r="Q197" s="11" t="s">
        <v>3707</v>
      </c>
      <c r="R197" s="11" t="s">
        <v>80</v>
      </c>
      <c r="S197" s="7"/>
      <c r="T197" s="21"/>
    </row>
    <row r="198" spans="1:21" ht="25.5" x14ac:dyDescent="0.2">
      <c r="A198" s="1">
        <v>197</v>
      </c>
      <c r="B198" s="38"/>
      <c r="C198" s="33" t="s">
        <v>84</v>
      </c>
      <c r="D198" s="33" t="s">
        <v>84</v>
      </c>
      <c r="E198" s="33" t="s">
        <v>84</v>
      </c>
      <c r="F198" s="33" t="s">
        <v>84</v>
      </c>
      <c r="G198" s="33" t="s">
        <v>82</v>
      </c>
      <c r="H198" s="33" t="s">
        <v>82</v>
      </c>
      <c r="I198" s="33" t="s">
        <v>82</v>
      </c>
      <c r="J198" s="33" t="s">
        <v>82</v>
      </c>
      <c r="K198" s="33"/>
      <c r="L198" s="33" t="s">
        <v>82</v>
      </c>
      <c r="M198" s="52"/>
      <c r="N198" s="45"/>
      <c r="O198" s="33" t="s">
        <v>82</v>
      </c>
      <c r="P198" s="33"/>
      <c r="Q198" s="33"/>
      <c r="R198" s="33" t="s">
        <v>82</v>
      </c>
      <c r="S198" s="52" t="s">
        <v>2516</v>
      </c>
      <c r="T198" s="45" t="s">
        <v>3452</v>
      </c>
    </row>
    <row r="199" spans="1:21" ht="63.75" x14ac:dyDescent="0.2">
      <c r="A199" s="1">
        <v>198</v>
      </c>
      <c r="B199" s="38"/>
      <c r="C199" s="33" t="s">
        <v>84</v>
      </c>
      <c r="D199" s="33" t="s">
        <v>84</v>
      </c>
      <c r="E199" s="33" t="s">
        <v>82</v>
      </c>
      <c r="F199" s="33" t="s">
        <v>82</v>
      </c>
      <c r="G199" s="33" t="s">
        <v>84</v>
      </c>
      <c r="H199" s="33" t="s">
        <v>84</v>
      </c>
      <c r="I199" s="33" t="s">
        <v>84</v>
      </c>
      <c r="J199" s="33" t="s">
        <v>84</v>
      </c>
      <c r="K199" s="33"/>
      <c r="L199" s="33" t="s">
        <v>84</v>
      </c>
      <c r="M199" s="52" t="s">
        <v>2519</v>
      </c>
      <c r="N199" s="45"/>
      <c r="O199" s="33" t="s">
        <v>84</v>
      </c>
      <c r="P199" s="33" t="s">
        <v>2126</v>
      </c>
      <c r="Q199" s="33" t="s">
        <v>2520</v>
      </c>
      <c r="R199" s="33" t="s">
        <v>80</v>
      </c>
      <c r="S199" s="52"/>
      <c r="T199" s="45"/>
    </row>
    <row r="200" spans="1:21" ht="25.5" x14ac:dyDescent="0.2">
      <c r="A200" s="1">
        <v>199</v>
      </c>
      <c r="B200" s="38"/>
      <c r="C200" s="11" t="s">
        <v>84</v>
      </c>
      <c r="D200" s="11" t="s">
        <v>84</v>
      </c>
      <c r="E200" s="11" t="s">
        <v>84</v>
      </c>
      <c r="F200" s="11" t="s">
        <v>82</v>
      </c>
      <c r="G200" s="11" t="s">
        <v>82</v>
      </c>
      <c r="H200" s="11" t="s">
        <v>82</v>
      </c>
      <c r="I200" s="11" t="s">
        <v>82</v>
      </c>
      <c r="J200" s="11" t="s">
        <v>82</v>
      </c>
      <c r="K200" s="11"/>
      <c r="L200" s="11" t="s">
        <v>82</v>
      </c>
      <c r="M200" s="7"/>
      <c r="N200" s="21"/>
      <c r="O200" s="11" t="s">
        <v>82</v>
      </c>
      <c r="P200" s="11"/>
      <c r="Q200" s="11"/>
      <c r="R200" s="11" t="s">
        <v>84</v>
      </c>
      <c r="S200" s="7" t="s">
        <v>2522</v>
      </c>
      <c r="T200" s="21"/>
    </row>
    <row r="201" spans="1:21" x14ac:dyDescent="0.2">
      <c r="A201" s="1">
        <v>200</v>
      </c>
      <c r="B201" s="38"/>
      <c r="C201" s="11" t="s">
        <v>84</v>
      </c>
      <c r="D201" s="11" t="s">
        <v>84</v>
      </c>
      <c r="E201" s="11" t="s">
        <v>84</v>
      </c>
      <c r="F201" s="11" t="s">
        <v>84</v>
      </c>
      <c r="G201" s="11" t="s">
        <v>84</v>
      </c>
      <c r="H201" s="11" t="s">
        <v>84</v>
      </c>
      <c r="I201" s="11" t="s">
        <v>84</v>
      </c>
      <c r="J201" s="11" t="s">
        <v>82</v>
      </c>
      <c r="K201" s="11"/>
      <c r="L201" s="11" t="s">
        <v>82</v>
      </c>
      <c r="M201" s="7"/>
      <c r="N201" s="21"/>
      <c r="O201" s="11" t="s">
        <v>84</v>
      </c>
      <c r="P201" s="11" t="s">
        <v>3951</v>
      </c>
      <c r="Q201" s="11" t="s">
        <v>2526</v>
      </c>
      <c r="R201" s="11" t="s">
        <v>80</v>
      </c>
      <c r="S201" s="7"/>
      <c r="T201" s="21"/>
    </row>
    <row r="202" spans="1:21" x14ac:dyDescent="0.2">
      <c r="A202" s="1">
        <v>201</v>
      </c>
      <c r="B202" s="38"/>
      <c r="C202" s="11" t="s">
        <v>84</v>
      </c>
      <c r="D202" s="11" t="s">
        <v>84</v>
      </c>
      <c r="E202" s="11" t="s">
        <v>84</v>
      </c>
      <c r="F202" s="11" t="s">
        <v>84</v>
      </c>
      <c r="G202" s="11" t="s">
        <v>82</v>
      </c>
      <c r="H202" s="11" t="s">
        <v>82</v>
      </c>
      <c r="I202" s="11" t="s">
        <v>84</v>
      </c>
      <c r="J202" s="11" t="s">
        <v>82</v>
      </c>
      <c r="K202" s="11"/>
      <c r="L202" s="11" t="s">
        <v>82</v>
      </c>
      <c r="M202" s="7"/>
      <c r="N202" s="21"/>
      <c r="O202" s="11" t="s">
        <v>82</v>
      </c>
      <c r="P202" s="11"/>
      <c r="Q202" s="11"/>
      <c r="R202" s="11" t="s">
        <v>82</v>
      </c>
      <c r="S202" s="7"/>
      <c r="T202" s="21"/>
    </row>
    <row r="203" spans="1:21" ht="25.5" x14ac:dyDescent="0.2">
      <c r="A203" s="1">
        <v>202</v>
      </c>
      <c r="B203" s="38"/>
      <c r="C203" s="11" t="s">
        <v>84</v>
      </c>
      <c r="D203" s="11" t="s">
        <v>84</v>
      </c>
      <c r="E203" s="11" t="s">
        <v>84</v>
      </c>
      <c r="F203" s="11" t="s">
        <v>82</v>
      </c>
      <c r="G203" s="11" t="s">
        <v>82</v>
      </c>
      <c r="H203" s="21" t="s">
        <v>81</v>
      </c>
      <c r="I203" s="11" t="s">
        <v>84</v>
      </c>
      <c r="J203" s="11" t="s">
        <v>84</v>
      </c>
      <c r="K203" s="11"/>
      <c r="L203" s="11" t="s">
        <v>82</v>
      </c>
      <c r="M203" s="7"/>
      <c r="N203" s="21"/>
      <c r="O203" s="11" t="s">
        <v>84</v>
      </c>
      <c r="P203" s="11" t="s">
        <v>3952</v>
      </c>
      <c r="Q203" s="11" t="s">
        <v>4214</v>
      </c>
      <c r="R203" s="11" t="s">
        <v>80</v>
      </c>
      <c r="S203" s="7"/>
      <c r="T203" s="21"/>
    </row>
    <row r="204" spans="1:21" x14ac:dyDescent="0.2">
      <c r="A204" s="1">
        <v>203</v>
      </c>
      <c r="B204" s="38"/>
      <c r="C204" s="11" t="s">
        <v>84</v>
      </c>
      <c r="D204" s="11" t="s">
        <v>84</v>
      </c>
      <c r="E204" s="11" t="s">
        <v>82</v>
      </c>
      <c r="F204" s="11" t="s">
        <v>84</v>
      </c>
      <c r="G204" s="11" t="s">
        <v>82</v>
      </c>
      <c r="H204" s="11" t="s">
        <v>82</v>
      </c>
      <c r="I204" s="11" t="s">
        <v>84</v>
      </c>
      <c r="J204" s="11" t="s">
        <v>82</v>
      </c>
      <c r="K204" s="11"/>
      <c r="L204" s="11" t="s">
        <v>82</v>
      </c>
      <c r="M204" s="7"/>
      <c r="N204" s="21"/>
      <c r="O204" s="11" t="s">
        <v>82</v>
      </c>
      <c r="P204" s="11"/>
      <c r="Q204" s="11"/>
      <c r="R204" s="11" t="s">
        <v>84</v>
      </c>
      <c r="S204" s="7"/>
      <c r="T204" s="21"/>
    </row>
    <row r="205" spans="1:21" x14ac:dyDescent="0.2">
      <c r="A205" s="1">
        <v>204</v>
      </c>
      <c r="B205" s="38"/>
      <c r="C205" s="11" t="s">
        <v>84</v>
      </c>
      <c r="D205" s="11" t="s">
        <v>84</v>
      </c>
      <c r="E205" s="11" t="s">
        <v>84</v>
      </c>
      <c r="F205" s="11" t="s">
        <v>84</v>
      </c>
      <c r="G205" s="11" t="s">
        <v>82</v>
      </c>
      <c r="H205" s="11" t="s">
        <v>84</v>
      </c>
      <c r="I205" s="11" t="s">
        <v>84</v>
      </c>
      <c r="J205" s="11" t="s">
        <v>82</v>
      </c>
      <c r="K205" s="11"/>
      <c r="L205" s="11" t="s">
        <v>82</v>
      </c>
      <c r="M205" s="7"/>
      <c r="N205" s="21"/>
      <c r="O205" s="11" t="s">
        <v>84</v>
      </c>
      <c r="P205" s="11" t="s">
        <v>1724</v>
      </c>
      <c r="Q205" s="11"/>
      <c r="R205" s="11" t="s">
        <v>80</v>
      </c>
      <c r="S205" s="7"/>
      <c r="T205" s="21"/>
    </row>
    <row r="206" spans="1:21" x14ac:dyDescent="0.2">
      <c r="A206" s="1">
        <v>205</v>
      </c>
      <c r="B206" s="38"/>
      <c r="C206" s="11" t="s">
        <v>84</v>
      </c>
      <c r="D206" s="11" t="s">
        <v>84</v>
      </c>
      <c r="E206" s="11" t="s">
        <v>84</v>
      </c>
      <c r="F206" s="11" t="s">
        <v>82</v>
      </c>
      <c r="G206" s="11" t="s">
        <v>82</v>
      </c>
      <c r="H206" s="11" t="s">
        <v>82</v>
      </c>
      <c r="I206" s="11" t="s">
        <v>82</v>
      </c>
      <c r="J206" s="11" t="s">
        <v>82</v>
      </c>
      <c r="K206" s="11"/>
      <c r="L206" s="11" t="s">
        <v>82</v>
      </c>
      <c r="M206" s="7"/>
      <c r="N206" s="21"/>
      <c r="O206" s="11" t="s">
        <v>82</v>
      </c>
      <c r="P206" s="11"/>
      <c r="Q206" s="11"/>
      <c r="R206" s="11" t="s">
        <v>82</v>
      </c>
      <c r="S206" s="7"/>
      <c r="T206" s="21"/>
    </row>
    <row r="207" spans="1:21" ht="25.5" x14ac:dyDescent="0.2">
      <c r="A207" s="1">
        <v>206</v>
      </c>
      <c r="B207" s="38"/>
      <c r="C207" s="33" t="s">
        <v>84</v>
      </c>
      <c r="D207" s="33" t="s">
        <v>82</v>
      </c>
      <c r="E207" s="33" t="s">
        <v>82</v>
      </c>
      <c r="F207" s="33" t="s">
        <v>82</v>
      </c>
      <c r="G207" s="33" t="s">
        <v>82</v>
      </c>
      <c r="H207" s="33" t="s">
        <v>84</v>
      </c>
      <c r="I207" s="33" t="s">
        <v>82</v>
      </c>
      <c r="J207" s="33" t="s">
        <v>84</v>
      </c>
      <c r="K207" s="33"/>
      <c r="L207" s="33" t="s">
        <v>82</v>
      </c>
      <c r="M207" s="52"/>
      <c r="N207" s="45"/>
      <c r="O207" s="33" t="s">
        <v>84</v>
      </c>
      <c r="P207" s="33" t="s">
        <v>3953</v>
      </c>
      <c r="Q207" s="52" t="s">
        <v>3708</v>
      </c>
      <c r="R207" s="33" t="s">
        <v>80</v>
      </c>
      <c r="S207" s="52"/>
      <c r="T207" s="45"/>
    </row>
    <row r="208" spans="1:21" x14ac:dyDescent="0.2">
      <c r="A208" s="1">
        <v>207</v>
      </c>
      <c r="B208" s="38"/>
      <c r="C208" s="11" t="s">
        <v>84</v>
      </c>
      <c r="D208" s="11" t="s">
        <v>84</v>
      </c>
      <c r="E208" s="11" t="s">
        <v>84</v>
      </c>
      <c r="F208" s="11" t="s">
        <v>84</v>
      </c>
      <c r="G208" s="11" t="s">
        <v>82</v>
      </c>
      <c r="H208" s="11" t="s">
        <v>82</v>
      </c>
      <c r="I208" s="11" t="s">
        <v>82</v>
      </c>
      <c r="J208" s="11" t="s">
        <v>82</v>
      </c>
      <c r="K208" s="11"/>
      <c r="L208" s="11" t="s">
        <v>82</v>
      </c>
      <c r="M208" s="7"/>
      <c r="N208" s="21"/>
      <c r="O208" s="11" t="s">
        <v>82</v>
      </c>
      <c r="P208" s="11"/>
      <c r="Q208" s="11"/>
      <c r="R208" s="11" t="s">
        <v>84</v>
      </c>
      <c r="S208" s="7"/>
      <c r="T208" s="21"/>
    </row>
    <row r="209" spans="1:20" x14ac:dyDescent="0.2">
      <c r="A209" s="1">
        <v>208</v>
      </c>
      <c r="B209" s="38"/>
      <c r="C209" s="11" t="s">
        <v>84</v>
      </c>
      <c r="D209" s="11" t="s">
        <v>84</v>
      </c>
      <c r="E209" s="11" t="s">
        <v>84</v>
      </c>
      <c r="F209" s="11" t="s">
        <v>82</v>
      </c>
      <c r="G209" s="11" t="s">
        <v>82</v>
      </c>
      <c r="H209" s="11" t="s">
        <v>82</v>
      </c>
      <c r="I209" s="11" t="s">
        <v>84</v>
      </c>
      <c r="J209" s="11" t="s">
        <v>82</v>
      </c>
      <c r="K209" s="11"/>
      <c r="L209" s="11" t="s">
        <v>82</v>
      </c>
      <c r="M209" s="7"/>
      <c r="N209" s="21"/>
      <c r="O209" s="11" t="s">
        <v>82</v>
      </c>
      <c r="P209" s="11"/>
      <c r="Q209" s="11"/>
      <c r="R209" s="11" t="s">
        <v>82</v>
      </c>
      <c r="S209" s="7"/>
      <c r="T209" s="21"/>
    </row>
    <row r="210" spans="1:20" ht="51" x14ac:dyDescent="0.2">
      <c r="A210" s="1">
        <v>209</v>
      </c>
      <c r="B210" s="38"/>
      <c r="C210" s="11" t="s">
        <v>84</v>
      </c>
      <c r="D210" s="11" t="s">
        <v>84</v>
      </c>
      <c r="E210" s="11" t="s">
        <v>84</v>
      </c>
      <c r="F210" s="11" t="s">
        <v>82</v>
      </c>
      <c r="G210" s="11" t="s">
        <v>82</v>
      </c>
      <c r="H210" s="11" t="s">
        <v>82</v>
      </c>
      <c r="I210" s="11" t="s">
        <v>82</v>
      </c>
      <c r="J210" s="11" t="s">
        <v>82</v>
      </c>
      <c r="K210" s="11"/>
      <c r="L210" s="11" t="s">
        <v>82</v>
      </c>
      <c r="M210" s="7"/>
      <c r="N210" s="21"/>
      <c r="O210" s="11" t="s">
        <v>82</v>
      </c>
      <c r="P210" s="11"/>
      <c r="Q210" s="11"/>
      <c r="R210" s="11" t="s">
        <v>82</v>
      </c>
      <c r="S210" s="7" t="s">
        <v>2573</v>
      </c>
      <c r="T210" s="21" t="s">
        <v>3723</v>
      </c>
    </row>
    <row r="211" spans="1:20" ht="51" x14ac:dyDescent="0.2">
      <c r="A211" s="1">
        <v>210</v>
      </c>
      <c r="B211" s="38"/>
      <c r="C211" s="11" t="s">
        <v>84</v>
      </c>
      <c r="D211" s="11" t="s">
        <v>84</v>
      </c>
      <c r="E211" s="11" t="s">
        <v>84</v>
      </c>
      <c r="F211" s="11" t="s">
        <v>84</v>
      </c>
      <c r="G211" s="11" t="s">
        <v>82</v>
      </c>
      <c r="H211" s="11" t="s">
        <v>84</v>
      </c>
      <c r="I211" s="11" t="s">
        <v>82</v>
      </c>
      <c r="J211" s="11" t="s">
        <v>82</v>
      </c>
      <c r="K211" s="11"/>
      <c r="L211" s="11" t="s">
        <v>84</v>
      </c>
      <c r="M211" s="7" t="s">
        <v>2584</v>
      </c>
      <c r="N211" s="21" t="s">
        <v>3667</v>
      </c>
      <c r="O211" s="11" t="s">
        <v>84</v>
      </c>
      <c r="P211" s="11" t="s">
        <v>2585</v>
      </c>
      <c r="Q211" s="7" t="s">
        <v>3709</v>
      </c>
      <c r="R211" s="11" t="s">
        <v>80</v>
      </c>
      <c r="S211" s="7"/>
      <c r="T211" s="21"/>
    </row>
    <row r="212" spans="1:20" ht="38.25" x14ac:dyDescent="0.2">
      <c r="A212" s="1">
        <v>211</v>
      </c>
      <c r="B212" s="38"/>
      <c r="C212" s="11" t="s">
        <v>84</v>
      </c>
      <c r="D212" s="11" t="s">
        <v>84</v>
      </c>
      <c r="E212" s="11" t="s">
        <v>84</v>
      </c>
      <c r="F212" s="11" t="s">
        <v>84</v>
      </c>
      <c r="G212" s="11" t="s">
        <v>82</v>
      </c>
      <c r="H212" s="21" t="s">
        <v>82</v>
      </c>
      <c r="I212" s="11" t="s">
        <v>84</v>
      </c>
      <c r="J212" s="11" t="s">
        <v>84</v>
      </c>
      <c r="K212" s="11"/>
      <c r="L212" s="11" t="s">
        <v>84</v>
      </c>
      <c r="M212" s="7" t="s">
        <v>2594</v>
      </c>
      <c r="N212" s="21" t="s">
        <v>3668</v>
      </c>
      <c r="O212" s="11" t="s">
        <v>82</v>
      </c>
      <c r="P212" s="11"/>
      <c r="Q212" s="11"/>
      <c r="R212" s="11" t="s">
        <v>84</v>
      </c>
      <c r="S212" s="7" t="s">
        <v>2595</v>
      </c>
      <c r="T212" s="21" t="s">
        <v>3724</v>
      </c>
    </row>
    <row r="213" spans="1:20" x14ac:dyDescent="0.2">
      <c r="A213" s="1">
        <v>212</v>
      </c>
      <c r="B213" s="38"/>
      <c r="C213" s="11" t="s">
        <v>84</v>
      </c>
      <c r="D213" s="11" t="s">
        <v>84</v>
      </c>
      <c r="E213" s="11" t="s">
        <v>84</v>
      </c>
      <c r="F213" s="11" t="s">
        <v>84</v>
      </c>
      <c r="G213" s="11" t="s">
        <v>82</v>
      </c>
      <c r="H213" s="11" t="s">
        <v>84</v>
      </c>
      <c r="I213" s="11" t="s">
        <v>84</v>
      </c>
      <c r="J213" s="11" t="s">
        <v>84</v>
      </c>
      <c r="K213" s="11"/>
      <c r="L213" s="11" t="s">
        <v>82</v>
      </c>
      <c r="M213" s="7"/>
      <c r="N213" s="21"/>
      <c r="O213" s="11" t="s">
        <v>84</v>
      </c>
      <c r="P213" s="11" t="s">
        <v>2614</v>
      </c>
      <c r="Q213" s="19" t="s">
        <v>2615</v>
      </c>
      <c r="R213" s="11" t="s">
        <v>80</v>
      </c>
      <c r="S213" s="7"/>
      <c r="T213" s="21"/>
    </row>
    <row r="214" spans="1:20" x14ac:dyDescent="0.2">
      <c r="A214" s="1">
        <v>213</v>
      </c>
      <c r="B214" s="38"/>
      <c r="C214" s="11" t="s">
        <v>84</v>
      </c>
      <c r="D214" s="11" t="s">
        <v>84</v>
      </c>
      <c r="E214" s="11" t="s">
        <v>82</v>
      </c>
      <c r="F214" s="11" t="s">
        <v>82</v>
      </c>
      <c r="G214" s="11" t="s">
        <v>82</v>
      </c>
      <c r="H214" s="11" t="s">
        <v>84</v>
      </c>
      <c r="I214" s="11" t="s">
        <v>82</v>
      </c>
      <c r="J214" s="11" t="s">
        <v>82</v>
      </c>
      <c r="K214" s="11"/>
      <c r="L214" s="11" t="s">
        <v>82</v>
      </c>
      <c r="M214" s="7"/>
      <c r="N214" s="21"/>
      <c r="O214" s="11" t="s">
        <v>84</v>
      </c>
      <c r="P214" s="11" t="s">
        <v>360</v>
      </c>
      <c r="Q214" s="11"/>
      <c r="R214" s="11" t="s">
        <v>80</v>
      </c>
      <c r="S214" s="7"/>
      <c r="T214" s="21"/>
    </row>
    <row r="215" spans="1:20" x14ac:dyDescent="0.2">
      <c r="A215" s="1">
        <v>214</v>
      </c>
      <c r="B215" s="38"/>
      <c r="C215" s="11" t="s">
        <v>84</v>
      </c>
      <c r="D215" s="11" t="s">
        <v>84</v>
      </c>
      <c r="E215" s="11" t="s">
        <v>82</v>
      </c>
      <c r="F215" s="11" t="s">
        <v>82</v>
      </c>
      <c r="G215" s="11" t="s">
        <v>82</v>
      </c>
      <c r="H215" s="11" t="s">
        <v>82</v>
      </c>
      <c r="I215" s="11" t="s">
        <v>82</v>
      </c>
      <c r="J215" s="11" t="s">
        <v>82</v>
      </c>
      <c r="K215" s="11"/>
      <c r="L215" s="11" t="s">
        <v>82</v>
      </c>
      <c r="M215" s="7"/>
      <c r="N215" s="21"/>
      <c r="O215" s="11" t="s">
        <v>82</v>
      </c>
      <c r="P215" s="11"/>
      <c r="Q215" s="11"/>
      <c r="R215" s="11" t="s">
        <v>82</v>
      </c>
      <c r="S215" s="7"/>
      <c r="T215" s="21"/>
    </row>
    <row r="216" spans="1:20" x14ac:dyDescent="0.2">
      <c r="A216" s="1">
        <v>215</v>
      </c>
      <c r="B216" s="38"/>
      <c r="C216" s="33" t="s">
        <v>84</v>
      </c>
      <c r="D216" s="33" t="s">
        <v>84</v>
      </c>
      <c r="E216" s="33" t="s">
        <v>84</v>
      </c>
      <c r="F216" s="33" t="s">
        <v>84</v>
      </c>
      <c r="G216" s="33" t="s">
        <v>84</v>
      </c>
      <c r="H216" s="33" t="s">
        <v>82</v>
      </c>
      <c r="I216" s="33" t="s">
        <v>84</v>
      </c>
      <c r="J216" s="33" t="s">
        <v>84</v>
      </c>
      <c r="K216" s="33"/>
      <c r="L216" s="33" t="s">
        <v>82</v>
      </c>
      <c r="M216" s="52"/>
      <c r="N216" s="45"/>
      <c r="O216" s="33" t="s">
        <v>82</v>
      </c>
      <c r="P216" s="33"/>
      <c r="Q216" s="33"/>
      <c r="R216" s="33" t="s">
        <v>82</v>
      </c>
      <c r="S216" s="52"/>
      <c r="T216" s="45"/>
    </row>
    <row r="217" spans="1:20" ht="191.25" x14ac:dyDescent="0.2">
      <c r="A217" s="1">
        <v>216</v>
      </c>
      <c r="B217" s="38"/>
      <c r="C217" s="11" t="s">
        <v>84</v>
      </c>
      <c r="D217" s="11" t="s">
        <v>84</v>
      </c>
      <c r="E217" s="11" t="s">
        <v>82</v>
      </c>
      <c r="F217" s="11" t="s">
        <v>84</v>
      </c>
      <c r="G217" s="11" t="s">
        <v>82</v>
      </c>
      <c r="H217" s="11" t="s">
        <v>84</v>
      </c>
      <c r="I217" s="11" t="s">
        <v>84</v>
      </c>
      <c r="J217" s="11" t="s">
        <v>82</v>
      </c>
      <c r="K217" s="11"/>
      <c r="L217" s="11" t="s">
        <v>84</v>
      </c>
      <c r="M217" s="7" t="s">
        <v>2641</v>
      </c>
      <c r="N217" s="21" t="s">
        <v>3645</v>
      </c>
      <c r="O217" s="11" t="s">
        <v>84</v>
      </c>
      <c r="P217" s="11" t="s">
        <v>3893</v>
      </c>
      <c r="Q217" s="11" t="s">
        <v>2643</v>
      </c>
      <c r="R217" s="11" t="s">
        <v>80</v>
      </c>
      <c r="S217" s="7"/>
      <c r="T217" s="21"/>
    </row>
    <row r="218" spans="1:20" ht="25.5" x14ac:dyDescent="0.2">
      <c r="A218" s="1">
        <v>217</v>
      </c>
      <c r="B218" s="38"/>
      <c r="C218" s="11" t="s">
        <v>84</v>
      </c>
      <c r="D218" s="11" t="s">
        <v>84</v>
      </c>
      <c r="E218" s="11" t="s">
        <v>82</v>
      </c>
      <c r="F218" s="11" t="s">
        <v>82</v>
      </c>
      <c r="G218" s="11" t="s">
        <v>82</v>
      </c>
      <c r="H218" s="11" t="s">
        <v>82</v>
      </c>
      <c r="I218" s="11" t="s">
        <v>82</v>
      </c>
      <c r="J218" s="11" t="s">
        <v>82</v>
      </c>
      <c r="K218" s="11"/>
      <c r="L218" s="11" t="s">
        <v>84</v>
      </c>
      <c r="M218" s="7" t="s">
        <v>2653</v>
      </c>
      <c r="N218" s="21" t="s">
        <v>3636</v>
      </c>
      <c r="O218" s="11" t="s">
        <v>82</v>
      </c>
      <c r="P218" s="11"/>
      <c r="Q218" s="11"/>
      <c r="R218" s="11" t="s">
        <v>82</v>
      </c>
      <c r="S218" s="7"/>
      <c r="T218" s="21"/>
    </row>
    <row r="219" spans="1:20" ht="25.5" x14ac:dyDescent="0.2">
      <c r="A219" s="1">
        <v>218</v>
      </c>
      <c r="B219" s="38"/>
      <c r="C219" s="11" t="s">
        <v>84</v>
      </c>
      <c r="D219" s="11" t="s">
        <v>84</v>
      </c>
      <c r="E219" s="11" t="s">
        <v>84</v>
      </c>
      <c r="F219" s="11" t="s">
        <v>84</v>
      </c>
      <c r="G219" s="11" t="s">
        <v>84</v>
      </c>
      <c r="H219" s="11" t="s">
        <v>82</v>
      </c>
      <c r="I219" s="11" t="s">
        <v>84</v>
      </c>
      <c r="J219" s="11" t="s">
        <v>84</v>
      </c>
      <c r="K219" s="11"/>
      <c r="L219" s="11" t="s">
        <v>84</v>
      </c>
      <c r="M219" s="7" t="s">
        <v>2656</v>
      </c>
      <c r="N219" s="21" t="s">
        <v>3637</v>
      </c>
      <c r="O219" s="11" t="s">
        <v>82</v>
      </c>
      <c r="P219" s="11"/>
      <c r="Q219" s="11"/>
      <c r="R219" s="11" t="s">
        <v>84</v>
      </c>
      <c r="S219" s="7" t="s">
        <v>2657</v>
      </c>
      <c r="T219" s="21" t="s">
        <v>1072</v>
      </c>
    </row>
    <row r="220" spans="1:20" x14ac:dyDescent="0.2">
      <c r="A220" s="1">
        <v>219</v>
      </c>
      <c r="B220" s="38"/>
      <c r="C220" s="11" t="s">
        <v>84</v>
      </c>
      <c r="D220" s="11" t="s">
        <v>84</v>
      </c>
      <c r="E220" s="11" t="s">
        <v>84</v>
      </c>
      <c r="F220" s="11" t="s">
        <v>82</v>
      </c>
      <c r="G220" s="11" t="s">
        <v>82</v>
      </c>
      <c r="H220" s="11" t="s">
        <v>82</v>
      </c>
      <c r="I220" s="11" t="s">
        <v>84</v>
      </c>
      <c r="J220" s="11" t="s">
        <v>82</v>
      </c>
      <c r="K220" s="11"/>
      <c r="L220" s="11" t="s">
        <v>82</v>
      </c>
      <c r="M220" s="7"/>
      <c r="N220" s="21"/>
      <c r="O220" s="11" t="s">
        <v>82</v>
      </c>
      <c r="P220" s="11"/>
      <c r="Q220" s="11"/>
      <c r="R220" s="11" t="s">
        <v>84</v>
      </c>
      <c r="S220" s="7"/>
      <c r="T220" s="21"/>
    </row>
    <row r="221" spans="1:20" ht="63.75" x14ac:dyDescent="0.2">
      <c r="A221" s="1">
        <v>220</v>
      </c>
      <c r="B221" s="38"/>
      <c r="C221" s="11" t="s">
        <v>84</v>
      </c>
      <c r="D221" s="11" t="s">
        <v>82</v>
      </c>
      <c r="E221" s="11" t="s">
        <v>82</v>
      </c>
      <c r="F221" s="11" t="s">
        <v>82</v>
      </c>
      <c r="G221" s="11" t="s">
        <v>82</v>
      </c>
      <c r="H221" s="11" t="s">
        <v>82</v>
      </c>
      <c r="I221" s="11" t="s">
        <v>82</v>
      </c>
      <c r="J221" s="11" t="s">
        <v>82</v>
      </c>
      <c r="K221" s="11"/>
      <c r="L221" s="11" t="s">
        <v>82</v>
      </c>
      <c r="M221" s="7"/>
      <c r="N221" s="21"/>
      <c r="O221" s="11" t="s">
        <v>82</v>
      </c>
      <c r="P221" s="11"/>
      <c r="Q221" s="11"/>
      <c r="R221" s="11" t="s">
        <v>82</v>
      </c>
      <c r="S221" s="7" t="s">
        <v>2668</v>
      </c>
      <c r="T221" s="21" t="s">
        <v>3452</v>
      </c>
    </row>
    <row r="222" spans="1:20" ht="25.5" x14ac:dyDescent="0.2">
      <c r="A222" s="1">
        <v>221</v>
      </c>
      <c r="B222" s="38"/>
      <c r="C222" s="11" t="s">
        <v>84</v>
      </c>
      <c r="D222" s="11" t="s">
        <v>84</v>
      </c>
      <c r="E222" s="11" t="s">
        <v>82</v>
      </c>
      <c r="F222" s="11" t="s">
        <v>84</v>
      </c>
      <c r="G222" s="11" t="s">
        <v>82</v>
      </c>
      <c r="H222" s="11" t="s">
        <v>82</v>
      </c>
      <c r="I222" s="11" t="s">
        <v>84</v>
      </c>
      <c r="J222" s="11" t="s">
        <v>84</v>
      </c>
      <c r="K222" s="11"/>
      <c r="L222" s="11" t="s">
        <v>82</v>
      </c>
      <c r="M222" s="7"/>
      <c r="N222" s="21"/>
      <c r="O222" s="11" t="s">
        <v>82</v>
      </c>
      <c r="P222" s="11"/>
      <c r="Q222" s="11"/>
      <c r="R222" s="11" t="s">
        <v>82</v>
      </c>
      <c r="S222" s="7" t="s">
        <v>2676</v>
      </c>
      <c r="T222" s="21"/>
    </row>
    <row r="223" spans="1:20" x14ac:dyDescent="0.2">
      <c r="A223" s="1">
        <v>222</v>
      </c>
      <c r="B223" s="38"/>
      <c r="C223" s="11" t="s">
        <v>84</v>
      </c>
      <c r="D223" s="11" t="s">
        <v>84</v>
      </c>
      <c r="E223" s="11" t="s">
        <v>84</v>
      </c>
      <c r="F223" s="11" t="s">
        <v>82</v>
      </c>
      <c r="G223" s="11" t="s">
        <v>84</v>
      </c>
      <c r="H223" s="11" t="s">
        <v>82</v>
      </c>
      <c r="I223" s="11" t="s">
        <v>82</v>
      </c>
      <c r="J223" s="11" t="s">
        <v>82</v>
      </c>
      <c r="K223" s="11"/>
      <c r="L223" s="11" t="s">
        <v>82</v>
      </c>
      <c r="M223" s="7"/>
      <c r="N223" s="21"/>
      <c r="O223" s="11" t="s">
        <v>82</v>
      </c>
      <c r="P223" s="11"/>
      <c r="Q223" s="11"/>
      <c r="R223" s="11" t="s">
        <v>84</v>
      </c>
      <c r="S223" s="7" t="s">
        <v>2682</v>
      </c>
      <c r="T223" s="21"/>
    </row>
    <row r="224" spans="1:20" x14ac:dyDescent="0.2">
      <c r="A224" s="1">
        <v>223</v>
      </c>
      <c r="B224" s="38"/>
      <c r="C224" s="33" t="s">
        <v>84</v>
      </c>
      <c r="D224" s="33" t="s">
        <v>84</v>
      </c>
      <c r="E224" s="33" t="s">
        <v>84</v>
      </c>
      <c r="F224" s="33" t="s">
        <v>82</v>
      </c>
      <c r="G224" s="33" t="s">
        <v>82</v>
      </c>
      <c r="H224" s="33" t="s">
        <v>82</v>
      </c>
      <c r="I224" s="33" t="s">
        <v>84</v>
      </c>
      <c r="J224" s="33" t="s">
        <v>84</v>
      </c>
      <c r="K224" s="33"/>
      <c r="L224" s="33" t="s">
        <v>82</v>
      </c>
      <c r="M224" s="52"/>
      <c r="N224" s="45"/>
      <c r="O224" s="33" t="s">
        <v>82</v>
      </c>
      <c r="P224" s="33"/>
      <c r="Q224" s="33"/>
      <c r="R224" s="33" t="s">
        <v>82</v>
      </c>
      <c r="S224" s="52"/>
      <c r="T224" s="45"/>
    </row>
    <row r="225" spans="1:20" x14ac:dyDescent="0.2">
      <c r="A225" s="1">
        <v>224</v>
      </c>
      <c r="B225" s="38"/>
      <c r="C225" s="11" t="s">
        <v>84</v>
      </c>
      <c r="D225" s="11" t="s">
        <v>84</v>
      </c>
      <c r="E225" s="11" t="s">
        <v>84</v>
      </c>
      <c r="F225" s="11" t="s">
        <v>82</v>
      </c>
      <c r="G225" s="11" t="s">
        <v>82</v>
      </c>
      <c r="H225" s="11" t="s">
        <v>82</v>
      </c>
      <c r="I225" s="11" t="s">
        <v>82</v>
      </c>
      <c r="J225" s="11" t="s">
        <v>82</v>
      </c>
      <c r="K225" s="11"/>
      <c r="L225" s="11" t="s">
        <v>82</v>
      </c>
      <c r="M225" s="7"/>
      <c r="N225" s="21"/>
      <c r="O225" s="11" t="s">
        <v>82</v>
      </c>
      <c r="P225" s="11"/>
      <c r="Q225" s="11"/>
      <c r="R225" s="11" t="s">
        <v>82</v>
      </c>
      <c r="S225" s="7"/>
      <c r="T225" s="21"/>
    </row>
    <row r="226" spans="1:20" x14ac:dyDescent="0.2">
      <c r="A226" s="1">
        <v>225</v>
      </c>
      <c r="B226" s="38"/>
      <c r="C226" s="11" t="s">
        <v>84</v>
      </c>
      <c r="D226" s="11" t="s">
        <v>84</v>
      </c>
      <c r="E226" s="11" t="s">
        <v>84</v>
      </c>
      <c r="F226" s="11" t="s">
        <v>84</v>
      </c>
      <c r="G226" s="11" t="s">
        <v>84</v>
      </c>
      <c r="H226" s="11" t="s">
        <v>82</v>
      </c>
      <c r="I226" s="11" t="s">
        <v>82</v>
      </c>
      <c r="J226" s="11" t="s">
        <v>82</v>
      </c>
      <c r="K226" s="11"/>
      <c r="L226" s="11" t="s">
        <v>82</v>
      </c>
      <c r="M226" s="7"/>
      <c r="N226" s="21"/>
      <c r="O226" s="11" t="s">
        <v>82</v>
      </c>
      <c r="P226" s="11"/>
      <c r="Q226" s="11"/>
      <c r="R226" s="11" t="s">
        <v>84</v>
      </c>
      <c r="S226" s="7"/>
      <c r="T226" s="21"/>
    </row>
    <row r="227" spans="1:20" x14ac:dyDescent="0.2">
      <c r="A227" s="1">
        <v>226</v>
      </c>
      <c r="B227" s="38"/>
      <c r="C227" s="11" t="s">
        <v>84</v>
      </c>
      <c r="D227" s="11" t="s">
        <v>84</v>
      </c>
      <c r="E227" s="11" t="s">
        <v>84</v>
      </c>
      <c r="F227" s="11" t="s">
        <v>84</v>
      </c>
      <c r="G227" s="11" t="s">
        <v>82</v>
      </c>
      <c r="H227" s="11" t="s">
        <v>82</v>
      </c>
      <c r="I227" s="11" t="s">
        <v>84</v>
      </c>
      <c r="J227" s="11" t="s">
        <v>82</v>
      </c>
      <c r="K227" s="11"/>
      <c r="L227" s="11" t="s">
        <v>82</v>
      </c>
      <c r="M227" s="7"/>
      <c r="N227" s="21"/>
      <c r="O227" s="11" t="s">
        <v>82</v>
      </c>
      <c r="P227" s="11"/>
      <c r="Q227" s="11"/>
      <c r="R227" s="11" t="s">
        <v>84</v>
      </c>
      <c r="S227" s="7" t="s">
        <v>2719</v>
      </c>
      <c r="T227" s="21" t="s">
        <v>3713</v>
      </c>
    </row>
    <row r="228" spans="1:20" x14ac:dyDescent="0.2">
      <c r="A228" s="1">
        <v>227</v>
      </c>
      <c r="B228" s="38"/>
      <c r="C228" s="11" t="s">
        <v>84</v>
      </c>
      <c r="D228" s="11" t="s">
        <v>84</v>
      </c>
      <c r="E228" s="11" t="s">
        <v>84</v>
      </c>
      <c r="F228" s="11" t="s">
        <v>84</v>
      </c>
      <c r="G228" s="11" t="s">
        <v>82</v>
      </c>
      <c r="H228" s="11" t="s">
        <v>82</v>
      </c>
      <c r="I228" s="11" t="s">
        <v>84</v>
      </c>
      <c r="J228" s="11" t="s">
        <v>84</v>
      </c>
      <c r="K228" s="11"/>
      <c r="L228" s="11" t="s">
        <v>82</v>
      </c>
      <c r="M228" s="7"/>
      <c r="N228" s="21"/>
      <c r="O228" s="11" t="s">
        <v>82</v>
      </c>
      <c r="P228" s="11"/>
      <c r="Q228" s="11"/>
      <c r="R228" s="11" t="s">
        <v>82</v>
      </c>
      <c r="S228" s="7"/>
      <c r="T228" s="21"/>
    </row>
    <row r="229" spans="1:20" x14ac:dyDescent="0.2">
      <c r="A229" s="1">
        <v>228</v>
      </c>
      <c r="B229" s="38"/>
      <c r="C229" s="11" t="s">
        <v>84</v>
      </c>
      <c r="D229" s="11" t="s">
        <v>84</v>
      </c>
      <c r="E229" s="11" t="s">
        <v>84</v>
      </c>
      <c r="F229" s="11" t="s">
        <v>84</v>
      </c>
      <c r="G229" s="11" t="s">
        <v>84</v>
      </c>
      <c r="H229" s="11" t="s">
        <v>82</v>
      </c>
      <c r="I229" s="11" t="s">
        <v>82</v>
      </c>
      <c r="J229" s="11" t="s">
        <v>82</v>
      </c>
      <c r="K229" s="11"/>
      <c r="L229" s="11" t="s">
        <v>84</v>
      </c>
      <c r="M229" s="7"/>
      <c r="N229" s="21"/>
      <c r="O229" s="11" t="s">
        <v>82</v>
      </c>
      <c r="P229" s="11"/>
      <c r="Q229" s="11"/>
      <c r="R229" s="11" t="s">
        <v>82</v>
      </c>
      <c r="S229" s="7"/>
      <c r="T229" s="21"/>
    </row>
    <row r="230" spans="1:20" x14ac:dyDescent="0.2">
      <c r="A230" s="1">
        <v>229</v>
      </c>
      <c r="B230" s="38"/>
      <c r="C230" s="11" t="s">
        <v>84</v>
      </c>
      <c r="D230" s="11" t="s">
        <v>84</v>
      </c>
      <c r="E230" s="11" t="s">
        <v>82</v>
      </c>
      <c r="F230" s="11" t="s">
        <v>82</v>
      </c>
      <c r="G230" s="11" t="s">
        <v>82</v>
      </c>
      <c r="H230" s="11" t="s">
        <v>82</v>
      </c>
      <c r="I230" s="11" t="s">
        <v>84</v>
      </c>
      <c r="J230" s="11" t="s">
        <v>82</v>
      </c>
      <c r="K230" s="11"/>
      <c r="L230" s="11" t="s">
        <v>82</v>
      </c>
      <c r="M230" s="7"/>
      <c r="N230" s="21"/>
      <c r="O230" s="11" t="s">
        <v>82</v>
      </c>
      <c r="P230" s="11"/>
      <c r="Q230" s="11"/>
      <c r="R230" s="11" t="s">
        <v>82</v>
      </c>
      <c r="S230" s="7"/>
      <c r="T230" s="21"/>
    </row>
    <row r="231" spans="1:20" x14ac:dyDescent="0.2">
      <c r="A231" s="1">
        <v>230</v>
      </c>
      <c r="B231" s="38"/>
      <c r="C231" s="11" t="s">
        <v>84</v>
      </c>
      <c r="D231" s="11" t="s">
        <v>84</v>
      </c>
      <c r="E231" s="11" t="s">
        <v>82</v>
      </c>
      <c r="F231" s="11" t="s">
        <v>84</v>
      </c>
      <c r="G231" s="11" t="s">
        <v>82</v>
      </c>
      <c r="H231" s="11" t="s">
        <v>82</v>
      </c>
      <c r="I231" s="11" t="s">
        <v>84</v>
      </c>
      <c r="J231" s="11" t="s">
        <v>84</v>
      </c>
      <c r="K231" s="11"/>
      <c r="L231" s="11" t="s">
        <v>82</v>
      </c>
      <c r="M231" s="7"/>
      <c r="N231" s="21"/>
      <c r="O231" s="11" t="s">
        <v>82</v>
      </c>
      <c r="P231" s="11"/>
      <c r="Q231" s="11"/>
      <c r="R231" s="11" t="s">
        <v>82</v>
      </c>
      <c r="S231" s="7"/>
      <c r="T231" s="21"/>
    </row>
    <row r="232" spans="1:20" ht="178.5" x14ac:dyDescent="0.2">
      <c r="A232" s="1">
        <v>231</v>
      </c>
      <c r="B232" s="38"/>
      <c r="C232" s="11" t="s">
        <v>84</v>
      </c>
      <c r="D232" s="11" t="s">
        <v>84</v>
      </c>
      <c r="E232" s="11" t="s">
        <v>82</v>
      </c>
      <c r="F232" s="11" t="s">
        <v>82</v>
      </c>
      <c r="G232" s="11" t="s">
        <v>82</v>
      </c>
      <c r="H232" s="11" t="s">
        <v>82</v>
      </c>
      <c r="I232" s="11" t="s">
        <v>84</v>
      </c>
      <c r="J232" s="11" t="s">
        <v>84</v>
      </c>
      <c r="K232" s="11" t="s">
        <v>2746</v>
      </c>
      <c r="L232" s="11" t="s">
        <v>84</v>
      </c>
      <c r="M232" s="7" t="s">
        <v>2747</v>
      </c>
      <c r="N232" s="21" t="s">
        <v>3628</v>
      </c>
      <c r="O232" s="11" t="s">
        <v>82</v>
      </c>
      <c r="P232" s="11"/>
      <c r="Q232" s="11"/>
      <c r="R232" s="11" t="s">
        <v>84</v>
      </c>
      <c r="S232" s="7" t="s">
        <v>2748</v>
      </c>
      <c r="T232" s="21" t="s">
        <v>3724</v>
      </c>
    </row>
    <row r="233" spans="1:20" ht="25.5" x14ac:dyDescent="0.2">
      <c r="A233" s="1">
        <v>232</v>
      </c>
      <c r="B233" s="38"/>
      <c r="C233" s="11" t="s">
        <v>82</v>
      </c>
      <c r="D233" s="11" t="s">
        <v>84</v>
      </c>
      <c r="E233" s="11" t="s">
        <v>84</v>
      </c>
      <c r="F233" s="11" t="s">
        <v>82</v>
      </c>
      <c r="G233" s="11" t="s">
        <v>82</v>
      </c>
      <c r="H233" s="11" t="s">
        <v>84</v>
      </c>
      <c r="I233" s="11" t="s">
        <v>82</v>
      </c>
      <c r="J233" s="11" t="s">
        <v>82</v>
      </c>
      <c r="K233" s="11"/>
      <c r="L233" s="11" t="s">
        <v>82</v>
      </c>
      <c r="M233" s="7"/>
      <c r="N233" s="21"/>
      <c r="O233" s="11" t="s">
        <v>84</v>
      </c>
      <c r="P233" s="11" t="s">
        <v>3954</v>
      </c>
      <c r="Q233" s="11" t="s">
        <v>3710</v>
      </c>
      <c r="R233" s="11" t="s">
        <v>80</v>
      </c>
      <c r="S233" s="7"/>
      <c r="T233" s="21"/>
    </row>
    <row r="234" spans="1:20" ht="38.25" x14ac:dyDescent="0.2">
      <c r="A234" s="1">
        <v>233</v>
      </c>
      <c r="B234" s="38"/>
      <c r="C234" s="11" t="s">
        <v>84</v>
      </c>
      <c r="D234" s="11" t="s">
        <v>84</v>
      </c>
      <c r="E234" s="11" t="s">
        <v>84</v>
      </c>
      <c r="F234" s="11" t="s">
        <v>82</v>
      </c>
      <c r="G234" s="11" t="s">
        <v>82</v>
      </c>
      <c r="H234" s="11" t="s">
        <v>82</v>
      </c>
      <c r="I234" s="11" t="s">
        <v>84</v>
      </c>
      <c r="J234" s="11" t="s">
        <v>84</v>
      </c>
      <c r="K234" s="11"/>
      <c r="L234" s="11" t="s">
        <v>82</v>
      </c>
      <c r="M234" s="7"/>
      <c r="N234" s="21"/>
      <c r="O234" s="11" t="s">
        <v>82</v>
      </c>
      <c r="P234" s="11"/>
      <c r="Q234" s="11"/>
      <c r="R234" s="11" t="s">
        <v>84</v>
      </c>
      <c r="S234" s="7" t="s">
        <v>2770</v>
      </c>
      <c r="T234" s="21" t="s">
        <v>3452</v>
      </c>
    </row>
    <row r="235" spans="1:20" x14ac:dyDescent="0.2">
      <c r="A235" s="1">
        <v>234</v>
      </c>
      <c r="B235" s="38"/>
      <c r="C235" s="11" t="s">
        <v>84</v>
      </c>
      <c r="D235" s="11" t="s">
        <v>84</v>
      </c>
      <c r="E235" s="11" t="s">
        <v>82</v>
      </c>
      <c r="F235" s="11" t="s">
        <v>82</v>
      </c>
      <c r="G235" s="11" t="s">
        <v>82</v>
      </c>
      <c r="H235" s="11" t="s">
        <v>82</v>
      </c>
      <c r="I235" s="11" t="s">
        <v>82</v>
      </c>
      <c r="J235" s="11" t="s">
        <v>82</v>
      </c>
      <c r="K235" s="11"/>
      <c r="L235" s="11" t="s">
        <v>82</v>
      </c>
      <c r="M235" s="7"/>
      <c r="N235" s="21"/>
      <c r="O235" s="11" t="s">
        <v>82</v>
      </c>
      <c r="P235" s="11"/>
      <c r="Q235" s="11"/>
      <c r="R235" s="11" t="s">
        <v>82</v>
      </c>
      <c r="S235" s="7"/>
      <c r="T235" s="21"/>
    </row>
    <row r="236" spans="1:20" ht="38.25" x14ac:dyDescent="0.2">
      <c r="A236" s="1">
        <v>235</v>
      </c>
      <c r="B236" s="38"/>
      <c r="C236" s="11" t="s">
        <v>84</v>
      </c>
      <c r="D236" s="11" t="s">
        <v>84</v>
      </c>
      <c r="E236" s="11" t="s">
        <v>82</v>
      </c>
      <c r="F236" s="11" t="s">
        <v>84</v>
      </c>
      <c r="G236" s="11" t="s">
        <v>82</v>
      </c>
      <c r="H236" s="11" t="s">
        <v>82</v>
      </c>
      <c r="I236" s="11" t="s">
        <v>82</v>
      </c>
      <c r="J236" s="11" t="s">
        <v>82</v>
      </c>
      <c r="K236" s="11"/>
      <c r="L236" s="11" t="s">
        <v>84</v>
      </c>
      <c r="M236" s="7" t="s">
        <v>2779</v>
      </c>
      <c r="N236" s="21" t="s">
        <v>3669</v>
      </c>
      <c r="O236" s="11" t="s">
        <v>82</v>
      </c>
      <c r="P236" s="11"/>
      <c r="Q236" s="11"/>
      <c r="R236" s="11" t="s">
        <v>84</v>
      </c>
      <c r="S236" s="7" t="s">
        <v>2780</v>
      </c>
      <c r="T236" s="21" t="s">
        <v>3717</v>
      </c>
    </row>
    <row r="237" spans="1:20" x14ac:dyDescent="0.2">
      <c r="A237" s="1">
        <v>236</v>
      </c>
      <c r="B237" s="38"/>
      <c r="C237" s="11" t="s">
        <v>84</v>
      </c>
      <c r="D237" s="11" t="s">
        <v>84</v>
      </c>
      <c r="E237" s="11" t="s">
        <v>84</v>
      </c>
      <c r="F237" s="11" t="s">
        <v>84</v>
      </c>
      <c r="G237" s="11" t="s">
        <v>82</v>
      </c>
      <c r="H237" s="11" t="s">
        <v>82</v>
      </c>
      <c r="I237" s="11" t="s">
        <v>84</v>
      </c>
      <c r="J237" s="11" t="s">
        <v>84</v>
      </c>
      <c r="K237" s="11"/>
      <c r="L237" s="11" t="s">
        <v>82</v>
      </c>
      <c r="M237" s="7"/>
      <c r="N237" s="21"/>
      <c r="O237" s="11" t="s">
        <v>82</v>
      </c>
      <c r="P237" s="11"/>
      <c r="Q237" s="11"/>
      <c r="R237" s="11" t="s">
        <v>82</v>
      </c>
      <c r="S237" s="7" t="s">
        <v>2797</v>
      </c>
      <c r="T237" s="21" t="s">
        <v>3716</v>
      </c>
    </row>
    <row r="238" spans="1:20" ht="38.25" x14ac:dyDescent="0.2">
      <c r="A238" s="1">
        <v>237</v>
      </c>
      <c r="B238" s="38"/>
      <c r="C238" s="11" t="s">
        <v>84</v>
      </c>
      <c r="D238" s="11" t="s">
        <v>84</v>
      </c>
      <c r="E238" s="11" t="s">
        <v>82</v>
      </c>
      <c r="F238" s="11" t="s">
        <v>84</v>
      </c>
      <c r="G238" s="11" t="s">
        <v>82</v>
      </c>
      <c r="H238" s="11" t="s">
        <v>84</v>
      </c>
      <c r="I238" s="11" t="s">
        <v>82</v>
      </c>
      <c r="J238" s="11" t="s">
        <v>82</v>
      </c>
      <c r="K238" s="11"/>
      <c r="L238" s="11" t="s">
        <v>84</v>
      </c>
      <c r="M238" s="7" t="s">
        <v>4215</v>
      </c>
      <c r="N238" s="21" t="s">
        <v>3670</v>
      </c>
      <c r="O238" s="11" t="s">
        <v>84</v>
      </c>
      <c r="P238" s="11" t="s">
        <v>518</v>
      </c>
      <c r="Q238" s="11" t="s">
        <v>2810</v>
      </c>
      <c r="R238" s="11" t="s">
        <v>80</v>
      </c>
      <c r="S238" s="7"/>
      <c r="T238" s="21"/>
    </row>
    <row r="239" spans="1:20" x14ac:dyDescent="0.2">
      <c r="A239" s="1">
        <v>238</v>
      </c>
      <c r="B239" s="38"/>
      <c r="C239" s="11" t="s">
        <v>84</v>
      </c>
      <c r="D239" s="11" t="s">
        <v>84</v>
      </c>
      <c r="E239" s="11" t="s">
        <v>84</v>
      </c>
      <c r="F239" s="11" t="s">
        <v>84</v>
      </c>
      <c r="G239" s="11" t="s">
        <v>82</v>
      </c>
      <c r="H239" s="39" t="s">
        <v>82</v>
      </c>
      <c r="I239" s="11" t="s">
        <v>84</v>
      </c>
      <c r="J239" s="11" t="s">
        <v>82</v>
      </c>
      <c r="K239" s="11"/>
      <c r="L239" s="11" t="s">
        <v>82</v>
      </c>
      <c r="M239" s="7"/>
      <c r="N239" s="21"/>
      <c r="O239" s="11" t="s">
        <v>82</v>
      </c>
      <c r="P239" s="11"/>
      <c r="Q239" s="11"/>
      <c r="R239" s="11" t="s">
        <v>82</v>
      </c>
      <c r="S239" s="7"/>
      <c r="T239" s="21"/>
    </row>
    <row r="240" spans="1:20" x14ac:dyDescent="0.2">
      <c r="A240" s="1">
        <v>239</v>
      </c>
      <c r="B240" s="38"/>
      <c r="C240" s="28" t="s">
        <v>84</v>
      </c>
      <c r="D240" s="28" t="s">
        <v>84</v>
      </c>
      <c r="E240" s="28" t="s">
        <v>84</v>
      </c>
      <c r="F240" s="28" t="s">
        <v>82</v>
      </c>
      <c r="G240" s="28" t="s">
        <v>82</v>
      </c>
      <c r="H240" s="43" t="s">
        <v>82</v>
      </c>
      <c r="I240" s="28" t="s">
        <v>84</v>
      </c>
      <c r="J240" s="28" t="s">
        <v>84</v>
      </c>
      <c r="K240" s="28"/>
      <c r="L240" s="28" t="s">
        <v>84</v>
      </c>
      <c r="M240" s="54" t="s">
        <v>982</v>
      </c>
      <c r="N240" s="44" t="s">
        <v>982</v>
      </c>
      <c r="O240" s="28" t="s">
        <v>82</v>
      </c>
      <c r="P240" s="28"/>
      <c r="Q240" s="28"/>
      <c r="R240" s="28" t="s">
        <v>84</v>
      </c>
      <c r="S240" s="54" t="s">
        <v>2832</v>
      </c>
      <c r="T240" s="44" t="s">
        <v>1072</v>
      </c>
    </row>
    <row r="241" spans="1:20" x14ac:dyDescent="0.2">
      <c r="A241" s="1">
        <v>240</v>
      </c>
      <c r="B241" s="24"/>
      <c r="C241" s="33" t="s">
        <v>84</v>
      </c>
      <c r="D241" s="33" t="s">
        <v>84</v>
      </c>
      <c r="E241" s="33" t="s">
        <v>84</v>
      </c>
      <c r="F241" s="33" t="s">
        <v>84</v>
      </c>
      <c r="G241" s="33" t="s">
        <v>82</v>
      </c>
      <c r="H241" s="46" t="s">
        <v>84</v>
      </c>
      <c r="I241" s="33" t="s">
        <v>82</v>
      </c>
      <c r="J241" s="33" t="s">
        <v>82</v>
      </c>
      <c r="K241" s="33"/>
      <c r="L241" s="33" t="s">
        <v>82</v>
      </c>
      <c r="M241" s="52"/>
      <c r="N241" s="45"/>
      <c r="O241" s="33" t="s">
        <v>84</v>
      </c>
      <c r="P241" s="33" t="s">
        <v>3955</v>
      </c>
      <c r="Q241" s="33"/>
      <c r="R241" s="33" t="s">
        <v>80</v>
      </c>
      <c r="S241" s="52"/>
      <c r="T241" s="45"/>
    </row>
    <row r="242" spans="1:20" ht="38.25" x14ac:dyDescent="0.2">
      <c r="A242" s="1">
        <v>241</v>
      </c>
      <c r="B242" s="24"/>
      <c r="C242" s="11" t="s">
        <v>84</v>
      </c>
      <c r="D242" s="11" t="s">
        <v>84</v>
      </c>
      <c r="E242" s="11" t="s">
        <v>84</v>
      </c>
      <c r="F242" s="11" t="s">
        <v>82</v>
      </c>
      <c r="G242" s="11" t="s">
        <v>82</v>
      </c>
      <c r="H242" s="11" t="s">
        <v>82</v>
      </c>
      <c r="I242" s="11" t="s">
        <v>82</v>
      </c>
      <c r="J242" s="11" t="s">
        <v>82</v>
      </c>
      <c r="K242" s="11"/>
      <c r="L242" s="11" t="s">
        <v>84</v>
      </c>
      <c r="M242" s="7" t="s">
        <v>2857</v>
      </c>
      <c r="N242" s="21" t="s">
        <v>2857</v>
      </c>
      <c r="O242" s="39" t="s">
        <v>84</v>
      </c>
      <c r="P242" s="39" t="s">
        <v>1114</v>
      </c>
      <c r="Q242" s="11"/>
      <c r="R242" s="11" t="s">
        <v>84</v>
      </c>
      <c r="S242" s="7" t="s">
        <v>2858</v>
      </c>
      <c r="T242" s="21" t="s">
        <v>3716</v>
      </c>
    </row>
    <row r="243" spans="1:20" ht="25.5" x14ac:dyDescent="0.2">
      <c r="A243" s="1">
        <v>242</v>
      </c>
      <c r="B243" s="24"/>
      <c r="C243" s="11" t="s">
        <v>84</v>
      </c>
      <c r="D243" s="11" t="s">
        <v>84</v>
      </c>
      <c r="E243" s="11" t="s">
        <v>84</v>
      </c>
      <c r="F243" s="11" t="s">
        <v>82</v>
      </c>
      <c r="G243" s="11" t="s">
        <v>82</v>
      </c>
      <c r="H243" s="11" t="s">
        <v>82</v>
      </c>
      <c r="I243" s="11" t="s">
        <v>82</v>
      </c>
      <c r="J243" s="11" t="s">
        <v>82</v>
      </c>
      <c r="K243" s="11"/>
      <c r="L243" s="11" t="s">
        <v>82</v>
      </c>
      <c r="M243" s="7"/>
      <c r="N243" s="21"/>
      <c r="O243" s="11" t="s">
        <v>82</v>
      </c>
      <c r="P243" s="11"/>
      <c r="Q243" s="11"/>
      <c r="R243" s="11" t="s">
        <v>84</v>
      </c>
      <c r="S243" s="7" t="s">
        <v>2874</v>
      </c>
      <c r="T243" s="21" t="s">
        <v>3713</v>
      </c>
    </row>
    <row r="244" spans="1:20" ht="25.5" x14ac:dyDescent="0.2">
      <c r="A244" s="1">
        <v>243</v>
      </c>
      <c r="B244" s="24"/>
      <c r="C244" s="11" t="s">
        <v>84</v>
      </c>
      <c r="D244" s="11" t="s">
        <v>84</v>
      </c>
      <c r="E244" s="11" t="s">
        <v>84</v>
      </c>
      <c r="F244" s="11" t="s">
        <v>84</v>
      </c>
      <c r="G244" s="11" t="s">
        <v>82</v>
      </c>
      <c r="H244" s="11" t="s">
        <v>84</v>
      </c>
      <c r="I244" s="11" t="s">
        <v>84</v>
      </c>
      <c r="J244" s="11" t="s">
        <v>82</v>
      </c>
      <c r="K244" s="11"/>
      <c r="L244" s="11" t="s">
        <v>84</v>
      </c>
      <c r="M244" s="7"/>
      <c r="N244" s="21"/>
      <c r="O244" s="11" t="s">
        <v>84</v>
      </c>
      <c r="P244" s="11" t="s">
        <v>3956</v>
      </c>
      <c r="Q244" s="19" t="s">
        <v>2891</v>
      </c>
      <c r="R244" s="11" t="s">
        <v>80</v>
      </c>
      <c r="S244" s="7"/>
      <c r="T244" s="21"/>
    </row>
    <row r="245" spans="1:20" ht="76.5" x14ac:dyDescent="0.2">
      <c r="A245" s="1">
        <v>244</v>
      </c>
      <c r="B245" s="24"/>
      <c r="C245" s="11" t="s">
        <v>84</v>
      </c>
      <c r="D245" s="11" t="s">
        <v>84</v>
      </c>
      <c r="E245" s="11" t="s">
        <v>84</v>
      </c>
      <c r="F245" s="11" t="s">
        <v>82</v>
      </c>
      <c r="G245" s="11" t="s">
        <v>82</v>
      </c>
      <c r="H245" s="11" t="s">
        <v>82</v>
      </c>
      <c r="I245" s="11" t="s">
        <v>84</v>
      </c>
      <c r="J245" s="11" t="s">
        <v>84</v>
      </c>
      <c r="K245" s="11"/>
      <c r="L245" s="11" t="s">
        <v>84</v>
      </c>
      <c r="M245" s="7" t="s">
        <v>4216</v>
      </c>
      <c r="N245" s="21" t="s">
        <v>3686</v>
      </c>
      <c r="O245" s="11" t="s">
        <v>82</v>
      </c>
      <c r="P245" s="11"/>
      <c r="Q245" s="11"/>
      <c r="R245" s="11" t="s">
        <v>84</v>
      </c>
      <c r="S245" s="7" t="s">
        <v>4217</v>
      </c>
      <c r="T245" s="21" t="s">
        <v>3725</v>
      </c>
    </row>
    <row r="246" spans="1:20" x14ac:dyDescent="0.2">
      <c r="A246" s="1">
        <v>245</v>
      </c>
      <c r="B246" s="24"/>
      <c r="C246" s="11" t="s">
        <v>84</v>
      </c>
      <c r="D246" s="11" t="s">
        <v>84</v>
      </c>
      <c r="E246" s="11" t="s">
        <v>84</v>
      </c>
      <c r="F246" s="11" t="s">
        <v>82</v>
      </c>
      <c r="G246" s="11" t="s">
        <v>82</v>
      </c>
      <c r="H246" s="11" t="s">
        <v>82</v>
      </c>
      <c r="I246" s="11" t="s">
        <v>84</v>
      </c>
      <c r="J246" s="11" t="s">
        <v>84</v>
      </c>
      <c r="K246" s="11"/>
      <c r="L246" s="11" t="s">
        <v>82</v>
      </c>
      <c r="M246" s="7"/>
      <c r="N246" s="21"/>
      <c r="O246" s="11" t="s">
        <v>82</v>
      </c>
      <c r="P246" s="11"/>
      <c r="Q246" s="11"/>
      <c r="R246" s="11" t="s">
        <v>82</v>
      </c>
      <c r="S246" s="7"/>
      <c r="T246" s="21"/>
    </row>
    <row r="247" spans="1:20" x14ac:dyDescent="0.2">
      <c r="A247" s="1">
        <v>246</v>
      </c>
      <c r="B247" s="24"/>
      <c r="C247" s="11" t="s">
        <v>84</v>
      </c>
      <c r="D247" s="11" t="s">
        <v>84</v>
      </c>
      <c r="E247" s="11" t="s">
        <v>82</v>
      </c>
      <c r="F247" s="11" t="s">
        <v>84</v>
      </c>
      <c r="G247" s="11" t="s">
        <v>82</v>
      </c>
      <c r="H247" s="11" t="s">
        <v>82</v>
      </c>
      <c r="I247" s="11" t="s">
        <v>84</v>
      </c>
      <c r="J247" s="11" t="s">
        <v>84</v>
      </c>
      <c r="K247" s="11"/>
      <c r="L247" s="11" t="s">
        <v>82</v>
      </c>
      <c r="M247" s="7"/>
      <c r="N247" s="21"/>
      <c r="O247" s="11" t="s">
        <v>82</v>
      </c>
      <c r="P247" s="11"/>
      <c r="Q247" s="11"/>
      <c r="R247" s="11" t="s">
        <v>82</v>
      </c>
      <c r="S247" s="7"/>
      <c r="T247" s="21"/>
    </row>
    <row r="248" spans="1:20" x14ac:dyDescent="0.2">
      <c r="A248" s="1">
        <v>247</v>
      </c>
      <c r="B248" s="24"/>
      <c r="C248" s="11" t="s">
        <v>84</v>
      </c>
      <c r="D248" s="11" t="s">
        <v>84</v>
      </c>
      <c r="E248" s="11" t="s">
        <v>84</v>
      </c>
      <c r="F248" s="11" t="s">
        <v>82</v>
      </c>
      <c r="G248" s="11" t="s">
        <v>82</v>
      </c>
      <c r="H248" s="11" t="s">
        <v>82</v>
      </c>
      <c r="I248" s="11" t="s">
        <v>82</v>
      </c>
      <c r="J248" s="11" t="s">
        <v>84</v>
      </c>
      <c r="K248" s="11"/>
      <c r="L248" s="11" t="s">
        <v>82</v>
      </c>
      <c r="M248" s="7"/>
      <c r="N248" s="21"/>
      <c r="O248" s="11" t="s">
        <v>82</v>
      </c>
      <c r="P248" s="11"/>
      <c r="Q248" s="11"/>
      <c r="R248" s="11" t="s">
        <v>82</v>
      </c>
      <c r="S248" s="7"/>
      <c r="T248" s="21"/>
    </row>
    <row r="249" spans="1:20" x14ac:dyDescent="0.2">
      <c r="A249" s="1">
        <v>248</v>
      </c>
      <c r="B249" s="24"/>
      <c r="C249" s="11" t="s">
        <v>84</v>
      </c>
      <c r="D249" s="11" t="s">
        <v>84</v>
      </c>
      <c r="E249" s="11" t="s">
        <v>84</v>
      </c>
      <c r="F249" s="11" t="s">
        <v>82</v>
      </c>
      <c r="G249" s="11" t="s">
        <v>82</v>
      </c>
      <c r="H249" s="11" t="s">
        <v>82</v>
      </c>
      <c r="I249" s="11" t="s">
        <v>84</v>
      </c>
      <c r="J249" s="11" t="s">
        <v>84</v>
      </c>
      <c r="K249" s="11"/>
      <c r="L249" s="11" t="s">
        <v>82</v>
      </c>
      <c r="M249" s="7"/>
      <c r="N249" s="21"/>
      <c r="O249" s="11" t="s">
        <v>82</v>
      </c>
      <c r="P249" s="11"/>
      <c r="Q249" s="11"/>
      <c r="R249" s="11" t="s">
        <v>84</v>
      </c>
      <c r="S249" s="7"/>
      <c r="T249" s="21"/>
    </row>
    <row r="250" spans="1:20" x14ac:dyDescent="0.2">
      <c r="A250" s="1">
        <v>249</v>
      </c>
      <c r="B250" s="24"/>
      <c r="C250" s="11" t="s">
        <v>84</v>
      </c>
      <c r="D250" s="11" t="s">
        <v>84</v>
      </c>
      <c r="E250" s="11" t="s">
        <v>82</v>
      </c>
      <c r="F250" s="11" t="s">
        <v>82</v>
      </c>
      <c r="G250" s="11" t="s">
        <v>82</v>
      </c>
      <c r="H250" s="11" t="s">
        <v>82</v>
      </c>
      <c r="I250" s="11" t="s">
        <v>82</v>
      </c>
      <c r="J250" s="11" t="s">
        <v>82</v>
      </c>
      <c r="K250" s="11"/>
      <c r="L250" s="11" t="s">
        <v>84</v>
      </c>
      <c r="M250" s="7"/>
      <c r="N250" s="21"/>
      <c r="O250" s="11" t="s">
        <v>82</v>
      </c>
      <c r="P250" s="11"/>
      <c r="Q250" s="11"/>
      <c r="R250" s="11" t="s">
        <v>82</v>
      </c>
      <c r="S250" s="7"/>
      <c r="T250" s="21"/>
    </row>
    <row r="251" spans="1:20" x14ac:dyDescent="0.2">
      <c r="A251" s="1">
        <v>250</v>
      </c>
      <c r="B251" s="24"/>
      <c r="C251" s="11" t="s">
        <v>84</v>
      </c>
      <c r="D251" s="11" t="s">
        <v>84</v>
      </c>
      <c r="E251" s="11" t="s">
        <v>84</v>
      </c>
      <c r="F251" s="11" t="s">
        <v>82</v>
      </c>
      <c r="G251" s="11" t="s">
        <v>82</v>
      </c>
      <c r="H251" s="11" t="s">
        <v>82</v>
      </c>
      <c r="I251" s="11" t="s">
        <v>82</v>
      </c>
      <c r="J251" s="11" t="s">
        <v>82</v>
      </c>
      <c r="K251" s="11"/>
      <c r="L251" s="11" t="s">
        <v>84</v>
      </c>
      <c r="M251" s="7"/>
      <c r="N251" s="21"/>
      <c r="O251" s="11" t="s">
        <v>82</v>
      </c>
      <c r="P251" s="11"/>
      <c r="Q251" s="11"/>
      <c r="R251" s="11" t="s">
        <v>82</v>
      </c>
      <c r="S251" s="7"/>
      <c r="T251" s="21"/>
    </row>
    <row r="252" spans="1:20" ht="25.5" x14ac:dyDescent="0.2">
      <c r="A252" s="1">
        <v>251</v>
      </c>
      <c r="B252" s="24"/>
      <c r="C252" s="11" t="s">
        <v>84</v>
      </c>
      <c r="D252" s="11" t="s">
        <v>84</v>
      </c>
      <c r="E252" s="11" t="s">
        <v>82</v>
      </c>
      <c r="F252" s="11" t="s">
        <v>82</v>
      </c>
      <c r="G252" s="11" t="s">
        <v>82</v>
      </c>
      <c r="H252" s="11" t="s">
        <v>82</v>
      </c>
      <c r="I252" s="11" t="s">
        <v>82</v>
      </c>
      <c r="J252" s="11" t="s">
        <v>82</v>
      </c>
      <c r="K252" s="11"/>
      <c r="L252" s="11" t="s">
        <v>84</v>
      </c>
      <c r="M252" s="7" t="s">
        <v>2936</v>
      </c>
      <c r="N252" s="21" t="s">
        <v>3671</v>
      </c>
      <c r="O252" s="11" t="s">
        <v>82</v>
      </c>
      <c r="P252" s="11"/>
      <c r="Q252" s="11"/>
      <c r="R252" s="11" t="s">
        <v>84</v>
      </c>
      <c r="S252" s="7" t="s">
        <v>2937</v>
      </c>
      <c r="T252" s="21"/>
    </row>
    <row r="253" spans="1:20" ht="89.25" x14ac:dyDescent="0.2">
      <c r="A253" s="1">
        <v>252</v>
      </c>
      <c r="B253" s="24"/>
      <c r="C253" s="11" t="s">
        <v>84</v>
      </c>
      <c r="D253" s="11" t="s">
        <v>84</v>
      </c>
      <c r="E253" s="11" t="s">
        <v>82</v>
      </c>
      <c r="F253" s="11" t="s">
        <v>84</v>
      </c>
      <c r="G253" s="11" t="s">
        <v>82</v>
      </c>
      <c r="H253" s="11" t="s">
        <v>82</v>
      </c>
      <c r="I253" s="11" t="s">
        <v>84</v>
      </c>
      <c r="J253" s="11" t="s">
        <v>84</v>
      </c>
      <c r="K253" s="11" t="s">
        <v>2944</v>
      </c>
      <c r="L253" s="11" t="s">
        <v>84</v>
      </c>
      <c r="M253" s="7" t="s">
        <v>3693</v>
      </c>
      <c r="N253" s="21" t="s">
        <v>3672</v>
      </c>
      <c r="O253" s="11" t="s">
        <v>82</v>
      </c>
      <c r="P253" s="11"/>
      <c r="Q253" s="11"/>
      <c r="R253" s="11" t="s">
        <v>82</v>
      </c>
      <c r="S253" s="7" t="s">
        <v>4218</v>
      </c>
      <c r="T253" s="21" t="s">
        <v>3718</v>
      </c>
    </row>
    <row r="254" spans="1:20" ht="25.5" x14ac:dyDescent="0.2">
      <c r="A254" s="1">
        <v>253</v>
      </c>
      <c r="B254" s="24"/>
      <c r="C254" s="11" t="s">
        <v>84</v>
      </c>
      <c r="D254" s="11" t="s">
        <v>84</v>
      </c>
      <c r="E254" s="11" t="s">
        <v>84</v>
      </c>
      <c r="F254" s="11" t="s">
        <v>82</v>
      </c>
      <c r="G254" s="11" t="s">
        <v>82</v>
      </c>
      <c r="H254" s="11" t="s">
        <v>82</v>
      </c>
      <c r="I254" s="11" t="s">
        <v>82</v>
      </c>
      <c r="J254" s="11" t="s">
        <v>82</v>
      </c>
      <c r="K254" s="11"/>
      <c r="L254" s="11" t="s">
        <v>82</v>
      </c>
      <c r="M254" s="7"/>
      <c r="N254" s="21"/>
      <c r="O254" s="11" t="s">
        <v>82</v>
      </c>
      <c r="P254" s="11"/>
      <c r="Q254" s="11"/>
      <c r="R254" s="11" t="s">
        <v>84</v>
      </c>
      <c r="S254" s="7" t="s">
        <v>2965</v>
      </c>
      <c r="T254" s="21" t="s">
        <v>3718</v>
      </c>
    </row>
    <row r="255" spans="1:20" ht="25.5" x14ac:dyDescent="0.2">
      <c r="A255" s="1">
        <v>254</v>
      </c>
      <c r="B255" s="24"/>
      <c r="C255" s="11" t="s">
        <v>84</v>
      </c>
      <c r="D255" s="11" t="s">
        <v>84</v>
      </c>
      <c r="E255" s="11" t="s">
        <v>84</v>
      </c>
      <c r="F255" s="11" t="s">
        <v>82</v>
      </c>
      <c r="G255" s="11" t="s">
        <v>82</v>
      </c>
      <c r="H255" s="39" t="s">
        <v>81</v>
      </c>
      <c r="I255" s="11" t="s">
        <v>82</v>
      </c>
      <c r="J255" s="11" t="s">
        <v>84</v>
      </c>
      <c r="K255" s="11"/>
      <c r="L255" s="11" t="s">
        <v>82</v>
      </c>
      <c r="M255" s="7"/>
      <c r="N255" s="21"/>
      <c r="O255" s="11" t="s">
        <v>84</v>
      </c>
      <c r="P255" s="11" t="s">
        <v>3957</v>
      </c>
      <c r="Q255" s="11" t="s">
        <v>2970</v>
      </c>
      <c r="R255" s="11" t="s">
        <v>80</v>
      </c>
      <c r="S255" s="7"/>
      <c r="T255" s="21"/>
    </row>
    <row r="256" spans="1:20" ht="51" x14ac:dyDescent="0.2">
      <c r="A256" s="1">
        <v>255</v>
      </c>
      <c r="B256" s="24"/>
      <c r="C256" s="33" t="s">
        <v>84</v>
      </c>
      <c r="D256" s="33" t="s">
        <v>84</v>
      </c>
      <c r="E256" s="33" t="s">
        <v>84</v>
      </c>
      <c r="F256" s="33" t="s">
        <v>84</v>
      </c>
      <c r="G256" s="33" t="s">
        <v>82</v>
      </c>
      <c r="H256" s="33" t="s">
        <v>84</v>
      </c>
      <c r="I256" s="33" t="s">
        <v>84</v>
      </c>
      <c r="J256" s="33" t="s">
        <v>82</v>
      </c>
      <c r="K256" s="33"/>
      <c r="L256" s="33" t="s">
        <v>82</v>
      </c>
      <c r="M256" s="52"/>
      <c r="N256" s="45"/>
      <c r="O256" s="33" t="s">
        <v>84</v>
      </c>
      <c r="P256" s="33" t="s">
        <v>1376</v>
      </c>
      <c r="Q256" s="52" t="s">
        <v>3002</v>
      </c>
      <c r="R256" s="33" t="s">
        <v>80</v>
      </c>
      <c r="S256" s="52"/>
      <c r="T256" s="45"/>
    </row>
    <row r="257" spans="1:20" ht="51" x14ac:dyDescent="0.2">
      <c r="A257" s="1">
        <v>256</v>
      </c>
      <c r="B257" s="24"/>
      <c r="C257" s="33" t="s">
        <v>84</v>
      </c>
      <c r="D257" s="33" t="s">
        <v>84</v>
      </c>
      <c r="E257" s="33" t="s">
        <v>84</v>
      </c>
      <c r="F257" s="33" t="s">
        <v>84</v>
      </c>
      <c r="G257" s="33" t="s">
        <v>82</v>
      </c>
      <c r="H257" s="33" t="s">
        <v>82</v>
      </c>
      <c r="I257" s="33" t="s">
        <v>84</v>
      </c>
      <c r="J257" s="33" t="s">
        <v>82</v>
      </c>
      <c r="K257" s="33"/>
      <c r="L257" s="33" t="s">
        <v>84</v>
      </c>
      <c r="M257" s="52" t="s">
        <v>2982</v>
      </c>
      <c r="N257" s="45" t="s">
        <v>3673</v>
      </c>
      <c r="O257" s="33" t="s">
        <v>82</v>
      </c>
      <c r="P257" s="33"/>
      <c r="Q257" s="33"/>
      <c r="R257" s="33" t="s">
        <v>84</v>
      </c>
      <c r="S257" s="52" t="s">
        <v>4219</v>
      </c>
      <c r="T257" s="45"/>
    </row>
    <row r="258" spans="1:20" x14ac:dyDescent="0.2">
      <c r="A258" s="1">
        <v>257</v>
      </c>
      <c r="B258" s="24"/>
      <c r="C258" s="11" t="s">
        <v>84</v>
      </c>
      <c r="D258" s="11" t="s">
        <v>84</v>
      </c>
      <c r="E258" s="11" t="s">
        <v>84</v>
      </c>
      <c r="F258" s="11" t="s">
        <v>82</v>
      </c>
      <c r="G258" s="11" t="s">
        <v>82</v>
      </c>
      <c r="H258" s="11" t="s">
        <v>82</v>
      </c>
      <c r="I258" s="11" t="s">
        <v>84</v>
      </c>
      <c r="J258" s="11" t="s">
        <v>82</v>
      </c>
      <c r="K258" s="11"/>
      <c r="L258" s="11" t="s">
        <v>82</v>
      </c>
      <c r="M258" s="7"/>
      <c r="N258" s="21"/>
      <c r="O258" s="11" t="s">
        <v>82</v>
      </c>
      <c r="P258" s="11"/>
      <c r="Q258" s="11"/>
      <c r="R258" s="11" t="s">
        <v>82</v>
      </c>
      <c r="S258" s="7"/>
      <c r="T258" s="21"/>
    </row>
    <row r="259" spans="1:20" x14ac:dyDescent="0.2">
      <c r="A259" s="1">
        <v>258</v>
      </c>
      <c r="B259" s="24"/>
      <c r="C259" s="11" t="s">
        <v>84</v>
      </c>
      <c r="D259" s="11" t="s">
        <v>84</v>
      </c>
      <c r="E259" s="11" t="s">
        <v>84</v>
      </c>
      <c r="F259" s="11" t="s">
        <v>84</v>
      </c>
      <c r="G259" s="11" t="s">
        <v>82</v>
      </c>
      <c r="H259" s="11" t="s">
        <v>82</v>
      </c>
      <c r="I259" s="11" t="s">
        <v>82</v>
      </c>
      <c r="J259" s="11" t="s">
        <v>82</v>
      </c>
      <c r="K259" s="11"/>
      <c r="L259" s="11" t="s">
        <v>84</v>
      </c>
      <c r="M259" s="7" t="s">
        <v>2991</v>
      </c>
      <c r="N259" s="21" t="s">
        <v>427</v>
      </c>
      <c r="O259" s="11" t="s">
        <v>82</v>
      </c>
      <c r="P259" s="11"/>
      <c r="Q259" s="11"/>
      <c r="R259" s="11" t="s">
        <v>82</v>
      </c>
      <c r="S259" s="7"/>
      <c r="T259" s="21"/>
    </row>
    <row r="260" spans="1:20" x14ac:dyDescent="0.2">
      <c r="A260" s="1">
        <v>259</v>
      </c>
      <c r="B260" s="24"/>
      <c r="C260" s="11" t="s">
        <v>84</v>
      </c>
      <c r="D260" s="11" t="s">
        <v>84</v>
      </c>
      <c r="E260" s="11" t="s">
        <v>84</v>
      </c>
      <c r="F260" s="11" t="s">
        <v>84</v>
      </c>
      <c r="G260" s="11" t="s">
        <v>82</v>
      </c>
      <c r="H260" s="11" t="s">
        <v>82</v>
      </c>
      <c r="I260" s="11" t="s">
        <v>84</v>
      </c>
      <c r="J260" s="11" t="s">
        <v>82</v>
      </c>
      <c r="K260" s="11"/>
      <c r="L260" s="11" t="s">
        <v>82</v>
      </c>
      <c r="M260" s="7"/>
      <c r="N260" s="21"/>
      <c r="O260" s="39" t="s">
        <v>84</v>
      </c>
      <c r="P260" s="39" t="s">
        <v>1114</v>
      </c>
      <c r="Q260" s="11"/>
      <c r="R260" s="11" t="s">
        <v>82</v>
      </c>
      <c r="S260" s="7"/>
      <c r="T260" s="21"/>
    </row>
    <row r="261" spans="1:20" ht="51" x14ac:dyDescent="0.2">
      <c r="A261" s="1">
        <v>260</v>
      </c>
      <c r="B261" s="24"/>
      <c r="C261" s="11" t="s">
        <v>84</v>
      </c>
      <c r="D261" s="11" t="s">
        <v>84</v>
      </c>
      <c r="E261" s="11" t="s">
        <v>84</v>
      </c>
      <c r="F261" s="11" t="s">
        <v>84</v>
      </c>
      <c r="G261" s="11" t="s">
        <v>82</v>
      </c>
      <c r="H261" s="11" t="s">
        <v>82</v>
      </c>
      <c r="I261" s="11" t="s">
        <v>84</v>
      </c>
      <c r="J261" s="11" t="s">
        <v>82</v>
      </c>
      <c r="K261" s="11"/>
      <c r="L261" s="11" t="s">
        <v>84</v>
      </c>
      <c r="M261" s="7" t="s">
        <v>3063</v>
      </c>
      <c r="N261" s="21" t="s">
        <v>3674</v>
      </c>
      <c r="O261" s="11" t="s">
        <v>82</v>
      </c>
      <c r="P261" s="11"/>
      <c r="Q261" s="11"/>
      <c r="R261" s="11" t="s">
        <v>84</v>
      </c>
      <c r="S261" s="7" t="s">
        <v>3064</v>
      </c>
      <c r="T261" s="21" t="s">
        <v>3718</v>
      </c>
    </row>
    <row r="262" spans="1:20" ht="25.5" x14ac:dyDescent="0.2">
      <c r="A262" s="1">
        <v>261</v>
      </c>
      <c r="B262" s="24"/>
      <c r="C262" s="11" t="s">
        <v>84</v>
      </c>
      <c r="D262" s="11" t="s">
        <v>84</v>
      </c>
      <c r="E262" s="11" t="s">
        <v>84</v>
      </c>
      <c r="F262" s="11" t="s">
        <v>82</v>
      </c>
      <c r="G262" s="11" t="s">
        <v>82</v>
      </c>
      <c r="H262" s="39" t="s">
        <v>84</v>
      </c>
      <c r="I262" s="11" t="s">
        <v>84</v>
      </c>
      <c r="J262" s="11" t="s">
        <v>82</v>
      </c>
      <c r="K262" s="11"/>
      <c r="L262" s="11" t="s">
        <v>82</v>
      </c>
      <c r="M262" s="7"/>
      <c r="N262" s="21"/>
      <c r="O262" s="11" t="s">
        <v>84</v>
      </c>
      <c r="P262" s="11" t="s">
        <v>1114</v>
      </c>
      <c r="Q262" s="7" t="s">
        <v>3711</v>
      </c>
      <c r="R262" s="11" t="s">
        <v>80</v>
      </c>
      <c r="S262" s="7"/>
      <c r="T262" s="21"/>
    </row>
    <row r="263" spans="1:20" ht="102" x14ac:dyDescent="0.2">
      <c r="A263" s="1">
        <v>262</v>
      </c>
      <c r="B263" s="24"/>
      <c r="C263" s="11" t="s">
        <v>84</v>
      </c>
      <c r="D263" s="11" t="s">
        <v>84</v>
      </c>
      <c r="E263" s="11" t="s">
        <v>84</v>
      </c>
      <c r="F263" s="11" t="s">
        <v>84</v>
      </c>
      <c r="G263" s="11" t="s">
        <v>82</v>
      </c>
      <c r="H263" s="39" t="s">
        <v>82</v>
      </c>
      <c r="I263" s="11" t="s">
        <v>84</v>
      </c>
      <c r="J263" s="11" t="s">
        <v>84</v>
      </c>
      <c r="K263" s="11"/>
      <c r="L263" s="11" t="s">
        <v>84</v>
      </c>
      <c r="M263" s="7" t="s">
        <v>3093</v>
      </c>
      <c r="N263" s="21" t="s">
        <v>3687</v>
      </c>
      <c r="O263" s="11" t="s">
        <v>82</v>
      </c>
      <c r="P263" s="11"/>
      <c r="Q263" s="11"/>
      <c r="R263" s="11" t="s">
        <v>84</v>
      </c>
      <c r="S263" s="7"/>
      <c r="T263" s="21"/>
    </row>
    <row r="264" spans="1:20" x14ac:dyDescent="0.2">
      <c r="A264" s="1">
        <v>263</v>
      </c>
      <c r="B264" s="24"/>
      <c r="C264" s="11" t="s">
        <v>84</v>
      </c>
      <c r="D264" s="11" t="s">
        <v>84</v>
      </c>
      <c r="E264" s="11" t="s">
        <v>84</v>
      </c>
      <c r="F264" s="11" t="s">
        <v>82</v>
      </c>
      <c r="G264" s="11" t="s">
        <v>82</v>
      </c>
      <c r="H264" s="11" t="s">
        <v>82</v>
      </c>
      <c r="I264" s="11" t="s">
        <v>84</v>
      </c>
      <c r="J264" s="11" t="s">
        <v>82</v>
      </c>
      <c r="K264" s="11"/>
      <c r="L264" s="11" t="s">
        <v>84</v>
      </c>
      <c r="M264" s="7"/>
      <c r="N264" s="21"/>
      <c r="O264" s="11" t="s">
        <v>82</v>
      </c>
      <c r="P264" s="11"/>
      <c r="Q264" s="11"/>
      <c r="R264" s="11" t="s">
        <v>84</v>
      </c>
      <c r="S264" s="7"/>
      <c r="T264" s="21"/>
    </row>
    <row r="265" spans="1:20" x14ac:dyDescent="0.2">
      <c r="A265" s="1">
        <v>264</v>
      </c>
      <c r="B265" s="24"/>
      <c r="C265" s="11" t="s">
        <v>84</v>
      </c>
      <c r="D265" s="11" t="s">
        <v>84</v>
      </c>
      <c r="E265" s="11" t="s">
        <v>84</v>
      </c>
      <c r="F265" s="11" t="s">
        <v>82</v>
      </c>
      <c r="G265" s="11" t="s">
        <v>82</v>
      </c>
      <c r="H265" s="39" t="s">
        <v>82</v>
      </c>
      <c r="I265" s="11" t="s">
        <v>82</v>
      </c>
      <c r="J265" s="11" t="s">
        <v>82</v>
      </c>
      <c r="K265" s="11"/>
      <c r="L265" s="11" t="s">
        <v>82</v>
      </c>
      <c r="M265" s="7"/>
      <c r="N265" s="21"/>
      <c r="O265" s="11" t="s">
        <v>82</v>
      </c>
      <c r="P265" s="11"/>
      <c r="Q265" s="11"/>
      <c r="R265" s="11" t="s">
        <v>84</v>
      </c>
      <c r="S265" s="7"/>
      <c r="T265" s="21"/>
    </row>
    <row r="266" spans="1:20" x14ac:dyDescent="0.2">
      <c r="A266" s="1">
        <v>265</v>
      </c>
      <c r="B266" s="24"/>
      <c r="C266" s="11" t="s">
        <v>84</v>
      </c>
      <c r="D266" s="11" t="s">
        <v>84</v>
      </c>
      <c r="E266" s="11" t="s">
        <v>84</v>
      </c>
      <c r="F266" s="11" t="s">
        <v>84</v>
      </c>
      <c r="G266" s="11" t="s">
        <v>84</v>
      </c>
      <c r="H266" s="11" t="s">
        <v>82</v>
      </c>
      <c r="I266" s="11" t="s">
        <v>84</v>
      </c>
      <c r="J266" s="11" t="s">
        <v>84</v>
      </c>
      <c r="K266" s="11"/>
      <c r="L266" s="11" t="s">
        <v>82</v>
      </c>
      <c r="M266" s="7"/>
      <c r="N266" s="21"/>
      <c r="O266" s="11" t="s">
        <v>82</v>
      </c>
      <c r="P266" s="11"/>
      <c r="Q266" s="11"/>
      <c r="R266" s="11" t="s">
        <v>82</v>
      </c>
      <c r="S266" s="7"/>
      <c r="T266" s="21"/>
    </row>
    <row r="267" spans="1:20" x14ac:dyDescent="0.2">
      <c r="A267" s="1">
        <v>266</v>
      </c>
      <c r="B267" s="24"/>
      <c r="C267" s="11" t="s">
        <v>84</v>
      </c>
      <c r="D267" s="11" t="s">
        <v>84</v>
      </c>
      <c r="E267" s="11" t="s">
        <v>84</v>
      </c>
      <c r="F267" s="11" t="s">
        <v>82</v>
      </c>
      <c r="G267" s="11" t="s">
        <v>82</v>
      </c>
      <c r="H267" s="39" t="s">
        <v>82</v>
      </c>
      <c r="I267" s="11" t="s">
        <v>84</v>
      </c>
      <c r="J267" s="11" t="s">
        <v>82</v>
      </c>
      <c r="K267" s="11"/>
      <c r="L267" s="11" t="s">
        <v>82</v>
      </c>
      <c r="M267" s="7"/>
      <c r="N267" s="21"/>
      <c r="O267" s="11" t="s">
        <v>82</v>
      </c>
      <c r="P267" s="11"/>
      <c r="Q267" s="11"/>
      <c r="R267" s="11" t="s">
        <v>84</v>
      </c>
      <c r="S267" s="7"/>
      <c r="T267" s="21"/>
    </row>
    <row r="268" spans="1:20" ht="38.25" x14ac:dyDescent="0.2">
      <c r="A268" s="1">
        <v>267</v>
      </c>
      <c r="B268" s="24"/>
      <c r="C268" s="11" t="s">
        <v>84</v>
      </c>
      <c r="D268" s="11" t="s">
        <v>84</v>
      </c>
      <c r="E268" s="11" t="s">
        <v>84</v>
      </c>
      <c r="F268" s="11" t="s">
        <v>82</v>
      </c>
      <c r="G268" s="11" t="s">
        <v>82</v>
      </c>
      <c r="H268" s="11" t="s">
        <v>82</v>
      </c>
      <c r="I268" s="11" t="s">
        <v>84</v>
      </c>
      <c r="J268" s="11" t="s">
        <v>84</v>
      </c>
      <c r="K268" s="11"/>
      <c r="L268" s="11" t="s">
        <v>82</v>
      </c>
      <c r="M268" s="7"/>
      <c r="N268" s="21"/>
      <c r="O268" s="11" t="s">
        <v>82</v>
      </c>
      <c r="P268" s="11"/>
      <c r="Q268" s="11"/>
      <c r="R268" s="11" t="s">
        <v>82</v>
      </c>
      <c r="S268" s="7" t="s">
        <v>3120</v>
      </c>
      <c r="T268" s="21"/>
    </row>
    <row r="269" spans="1:20" ht="63.75" x14ac:dyDescent="0.2">
      <c r="A269" s="1">
        <v>268</v>
      </c>
      <c r="B269" s="24"/>
      <c r="C269" s="11" t="s">
        <v>84</v>
      </c>
      <c r="D269" s="11" t="s">
        <v>84</v>
      </c>
      <c r="E269" s="11" t="s">
        <v>84</v>
      </c>
      <c r="F269" s="11" t="s">
        <v>82</v>
      </c>
      <c r="G269" s="11" t="s">
        <v>82</v>
      </c>
      <c r="H269" s="11" t="s">
        <v>82</v>
      </c>
      <c r="I269" s="11" t="s">
        <v>82</v>
      </c>
      <c r="J269" s="11" t="s">
        <v>82</v>
      </c>
      <c r="K269" s="11"/>
      <c r="L269" s="11" t="s">
        <v>84</v>
      </c>
      <c r="M269" s="7" t="s">
        <v>3133</v>
      </c>
      <c r="N269" s="21" t="s">
        <v>3675</v>
      </c>
      <c r="O269" s="11" t="s">
        <v>82</v>
      </c>
      <c r="P269" s="11"/>
      <c r="Q269" s="11"/>
      <c r="R269" s="11" t="s">
        <v>84</v>
      </c>
      <c r="S269" s="7" t="s">
        <v>147</v>
      </c>
      <c r="T269" s="21"/>
    </row>
    <row r="270" spans="1:20" x14ac:dyDescent="0.2">
      <c r="A270" s="1">
        <v>269</v>
      </c>
      <c r="B270" s="24"/>
      <c r="C270" s="11" t="s">
        <v>84</v>
      </c>
      <c r="D270" s="11" t="s">
        <v>84</v>
      </c>
      <c r="E270" s="11" t="s">
        <v>84</v>
      </c>
      <c r="F270" s="11" t="s">
        <v>82</v>
      </c>
      <c r="G270" s="11" t="s">
        <v>82</v>
      </c>
      <c r="H270" s="11" t="s">
        <v>82</v>
      </c>
      <c r="I270" s="11" t="s">
        <v>82</v>
      </c>
      <c r="J270" s="11" t="s">
        <v>82</v>
      </c>
      <c r="K270" s="11"/>
      <c r="L270" s="11" t="s">
        <v>82</v>
      </c>
      <c r="M270" s="7"/>
      <c r="N270" s="21"/>
      <c r="O270" s="11" t="s">
        <v>82</v>
      </c>
      <c r="P270" s="11"/>
      <c r="Q270" s="11"/>
      <c r="R270" s="11" t="s">
        <v>82</v>
      </c>
      <c r="S270" s="7" t="s">
        <v>82</v>
      </c>
      <c r="T270" s="21"/>
    </row>
    <row r="271" spans="1:20" ht="38.25" x14ac:dyDescent="0.2">
      <c r="A271" s="1">
        <v>270</v>
      </c>
      <c r="B271" s="24"/>
      <c r="C271" s="11" t="s">
        <v>84</v>
      </c>
      <c r="D271" s="11" t="s">
        <v>84</v>
      </c>
      <c r="E271" s="11" t="s">
        <v>84</v>
      </c>
      <c r="F271" s="11" t="s">
        <v>84</v>
      </c>
      <c r="G271" s="11" t="s">
        <v>82</v>
      </c>
      <c r="H271" s="11" t="s">
        <v>82</v>
      </c>
      <c r="I271" s="11" t="s">
        <v>82</v>
      </c>
      <c r="J271" s="11" t="s">
        <v>82</v>
      </c>
      <c r="K271" s="11"/>
      <c r="L271" s="11" t="s">
        <v>84</v>
      </c>
      <c r="M271" s="7" t="s">
        <v>4220</v>
      </c>
      <c r="N271" s="21"/>
      <c r="O271" s="11" t="s">
        <v>82</v>
      </c>
      <c r="P271" s="11"/>
      <c r="Q271" s="11"/>
      <c r="R271" s="11" t="s">
        <v>84</v>
      </c>
      <c r="S271" s="7" t="s">
        <v>3151</v>
      </c>
      <c r="T271" s="21" t="s">
        <v>3726</v>
      </c>
    </row>
    <row r="272" spans="1:20" x14ac:dyDescent="0.2">
      <c r="A272" s="1">
        <v>271</v>
      </c>
      <c r="B272" s="24"/>
      <c r="C272" s="11" t="s">
        <v>84</v>
      </c>
      <c r="D272" s="11" t="s">
        <v>84</v>
      </c>
      <c r="E272" s="11" t="s">
        <v>82</v>
      </c>
      <c r="F272" s="11" t="s">
        <v>82</v>
      </c>
      <c r="G272" s="11" t="s">
        <v>82</v>
      </c>
      <c r="H272" s="11" t="s">
        <v>82</v>
      </c>
      <c r="I272" s="11" t="s">
        <v>82</v>
      </c>
      <c r="J272" s="11" t="s">
        <v>82</v>
      </c>
      <c r="K272" s="11"/>
      <c r="L272" s="11" t="s">
        <v>82</v>
      </c>
      <c r="M272" s="7"/>
      <c r="N272" s="21"/>
      <c r="O272" s="11" t="s">
        <v>82</v>
      </c>
      <c r="P272" s="11"/>
      <c r="Q272" s="11"/>
      <c r="R272" s="11" t="s">
        <v>84</v>
      </c>
      <c r="S272" s="7"/>
      <c r="T272" s="21"/>
    </row>
    <row r="273" spans="1:20" ht="63.75" x14ac:dyDescent="0.2">
      <c r="A273" s="1">
        <v>272</v>
      </c>
      <c r="B273" s="24"/>
      <c r="C273" s="11" t="s">
        <v>84</v>
      </c>
      <c r="D273" s="11" t="s">
        <v>84</v>
      </c>
      <c r="E273" s="11" t="s">
        <v>84</v>
      </c>
      <c r="F273" s="11" t="s">
        <v>82</v>
      </c>
      <c r="G273" s="11" t="s">
        <v>82</v>
      </c>
      <c r="H273" s="11" t="s">
        <v>84</v>
      </c>
      <c r="I273" s="11" t="s">
        <v>82</v>
      </c>
      <c r="J273" s="11" t="s">
        <v>84</v>
      </c>
      <c r="K273" s="11"/>
      <c r="L273" s="11" t="s">
        <v>82</v>
      </c>
      <c r="M273" s="7"/>
      <c r="N273" s="21"/>
      <c r="O273" s="11" t="s">
        <v>84</v>
      </c>
      <c r="P273" s="11" t="s">
        <v>3958</v>
      </c>
      <c r="Q273" s="11"/>
      <c r="R273" s="11" t="s">
        <v>80</v>
      </c>
      <c r="S273" s="7"/>
      <c r="T273" s="21"/>
    </row>
    <row r="274" spans="1:20" x14ac:dyDescent="0.2">
      <c r="A274" s="1">
        <v>273</v>
      </c>
      <c r="B274" s="24"/>
      <c r="C274" s="11" t="s">
        <v>84</v>
      </c>
      <c r="D274" s="11" t="s">
        <v>84</v>
      </c>
      <c r="E274" s="11" t="s">
        <v>84</v>
      </c>
      <c r="F274" s="11" t="s">
        <v>82</v>
      </c>
      <c r="G274" s="11" t="s">
        <v>82</v>
      </c>
      <c r="H274" s="11" t="s">
        <v>82</v>
      </c>
      <c r="I274" s="11" t="s">
        <v>82</v>
      </c>
      <c r="J274" s="11" t="s">
        <v>84</v>
      </c>
      <c r="K274" s="11"/>
      <c r="L274" s="11" t="s">
        <v>82</v>
      </c>
      <c r="M274" s="7"/>
      <c r="N274" s="21"/>
      <c r="O274" s="11" t="s">
        <v>82</v>
      </c>
      <c r="P274" s="11"/>
      <c r="Q274" s="11"/>
      <c r="R274" s="11" t="s">
        <v>82</v>
      </c>
      <c r="S274" s="7"/>
      <c r="T274" s="21"/>
    </row>
    <row r="275" spans="1:20" x14ac:dyDescent="0.2">
      <c r="A275" s="1">
        <v>274</v>
      </c>
      <c r="B275" s="24"/>
      <c r="C275" s="11" t="s">
        <v>84</v>
      </c>
      <c r="D275" s="11" t="s">
        <v>84</v>
      </c>
      <c r="E275" s="11" t="s">
        <v>84</v>
      </c>
      <c r="F275" s="11" t="s">
        <v>82</v>
      </c>
      <c r="G275" s="11" t="s">
        <v>82</v>
      </c>
      <c r="H275" s="11" t="s">
        <v>82</v>
      </c>
      <c r="I275" s="11" t="s">
        <v>84</v>
      </c>
      <c r="J275" s="11" t="s">
        <v>82</v>
      </c>
      <c r="K275" s="11"/>
      <c r="L275" s="11" t="s">
        <v>82</v>
      </c>
      <c r="M275" s="7"/>
      <c r="N275" s="21"/>
      <c r="O275" s="11" t="s">
        <v>82</v>
      </c>
      <c r="P275" s="11"/>
      <c r="Q275" s="11"/>
      <c r="R275" s="11" t="s">
        <v>82</v>
      </c>
      <c r="S275" s="7"/>
      <c r="T275" s="21"/>
    </row>
    <row r="276" spans="1:20" ht="89.25" x14ac:dyDescent="0.2">
      <c r="A276" s="1">
        <v>275</v>
      </c>
      <c r="B276" s="24"/>
      <c r="C276" s="11" t="s">
        <v>84</v>
      </c>
      <c r="D276" s="11" t="s">
        <v>84</v>
      </c>
      <c r="E276" s="11" t="s">
        <v>82</v>
      </c>
      <c r="F276" s="11" t="s">
        <v>82</v>
      </c>
      <c r="G276" s="11" t="s">
        <v>82</v>
      </c>
      <c r="H276" s="11" t="s">
        <v>82</v>
      </c>
      <c r="I276" s="11" t="s">
        <v>84</v>
      </c>
      <c r="J276" s="11" t="s">
        <v>84</v>
      </c>
      <c r="K276" s="11"/>
      <c r="L276" s="11" t="s">
        <v>84</v>
      </c>
      <c r="M276" s="7" t="s">
        <v>3594</v>
      </c>
      <c r="N276" s="21"/>
      <c r="O276" s="11" t="s">
        <v>82</v>
      </c>
      <c r="P276" s="11"/>
      <c r="Q276" s="11"/>
      <c r="R276" s="11" t="s">
        <v>84</v>
      </c>
      <c r="S276" s="7"/>
      <c r="T276" s="21"/>
    </row>
    <row r="277" spans="1:20" x14ac:dyDescent="0.2">
      <c r="A277" s="1">
        <v>276</v>
      </c>
      <c r="B277" s="24"/>
      <c r="C277" s="11" t="s">
        <v>84</v>
      </c>
      <c r="D277" s="11" t="s">
        <v>84</v>
      </c>
      <c r="E277" s="11" t="s">
        <v>84</v>
      </c>
      <c r="F277" s="11" t="s">
        <v>82</v>
      </c>
      <c r="G277" s="11" t="s">
        <v>82</v>
      </c>
      <c r="H277" s="11" t="s">
        <v>82</v>
      </c>
      <c r="I277" s="11" t="s">
        <v>84</v>
      </c>
      <c r="J277" s="11" t="s">
        <v>82</v>
      </c>
      <c r="K277" s="11"/>
      <c r="L277" s="11" t="s">
        <v>82</v>
      </c>
      <c r="M277" s="11"/>
      <c r="N277" s="11"/>
      <c r="O277" s="11" t="s">
        <v>82</v>
      </c>
      <c r="P277" s="11"/>
      <c r="Q277" s="11"/>
      <c r="R277" s="11" t="s">
        <v>82</v>
      </c>
      <c r="S277" s="14"/>
      <c r="T277" s="69"/>
    </row>
    <row r="278" spans="1:20" x14ac:dyDescent="0.2">
      <c r="A278" s="1"/>
      <c r="H278" s="28"/>
      <c r="M278" s="14"/>
      <c r="N278" s="69"/>
      <c r="S278" s="14"/>
      <c r="T278" s="69"/>
    </row>
    <row r="279" spans="1:20" x14ac:dyDescent="0.2">
      <c r="A279" s="1"/>
      <c r="H279" s="28"/>
      <c r="M279" s="14"/>
      <c r="N279" s="69"/>
      <c r="S279" s="14"/>
      <c r="T279" s="69"/>
    </row>
    <row r="280" spans="1:20" x14ac:dyDescent="0.2">
      <c r="A280" s="1"/>
      <c r="H280" s="28"/>
      <c r="M280" s="14"/>
      <c r="N280" s="69"/>
      <c r="S280" s="14"/>
      <c r="T280" s="69"/>
    </row>
    <row r="281" spans="1:20" x14ac:dyDescent="0.2">
      <c r="A281" s="1"/>
      <c r="H281" s="28"/>
      <c r="M281" s="14"/>
      <c r="N281" s="69"/>
      <c r="S281" s="14"/>
      <c r="T281" s="69"/>
    </row>
    <row r="282" spans="1:20" x14ac:dyDescent="0.2">
      <c r="A282" s="1"/>
      <c r="H282" s="28"/>
      <c r="N282" s="69"/>
      <c r="S282" s="14"/>
      <c r="T282" s="69"/>
    </row>
    <row r="283" spans="1:20" x14ac:dyDescent="0.2">
      <c r="A283" s="1"/>
      <c r="H283" s="28"/>
      <c r="N283" s="69"/>
      <c r="S283" s="14"/>
      <c r="T283" s="69"/>
    </row>
    <row r="284" spans="1:20" x14ac:dyDescent="0.2">
      <c r="A284" s="1"/>
      <c r="H284" s="28"/>
      <c r="N284" s="69"/>
      <c r="S284" s="14"/>
      <c r="T284" s="69"/>
    </row>
    <row r="285" spans="1:20" x14ac:dyDescent="0.2">
      <c r="A285" s="1"/>
      <c r="H285" s="28"/>
      <c r="N285" s="69"/>
      <c r="S285" s="14"/>
      <c r="T285" s="69"/>
    </row>
    <row r="286" spans="1:20" x14ac:dyDescent="0.2">
      <c r="A286" s="1"/>
      <c r="H286" s="28"/>
      <c r="N286" s="69"/>
      <c r="S286" s="14"/>
      <c r="T286" s="69"/>
    </row>
    <row r="287" spans="1:20" x14ac:dyDescent="0.2">
      <c r="A287" s="1"/>
      <c r="H287" s="28"/>
      <c r="N287" s="69"/>
      <c r="S287" s="14"/>
      <c r="T287" s="69"/>
    </row>
    <row r="288" spans="1:20" x14ac:dyDescent="0.2">
      <c r="A288" s="1"/>
      <c r="H288" s="28"/>
      <c r="N288" s="69"/>
      <c r="S288" s="14"/>
      <c r="T288" s="69"/>
    </row>
    <row r="289" spans="1:20" x14ac:dyDescent="0.2">
      <c r="A289" s="1"/>
      <c r="H289" s="28"/>
      <c r="N289" s="69"/>
      <c r="S289" s="14"/>
      <c r="T289" s="69"/>
    </row>
    <row r="290" spans="1:20" x14ac:dyDescent="0.2">
      <c r="A290" s="1"/>
      <c r="H290" s="28"/>
      <c r="N290" s="69"/>
      <c r="S290" s="14"/>
      <c r="T290" s="69"/>
    </row>
    <row r="291" spans="1:20" x14ac:dyDescent="0.2">
      <c r="A291" s="1"/>
      <c r="H291" s="28"/>
      <c r="N291" s="69"/>
      <c r="S291" s="14"/>
      <c r="T291" s="69"/>
    </row>
    <row r="292" spans="1:20" x14ac:dyDescent="0.2">
      <c r="A292" s="1"/>
      <c r="H292" s="28"/>
      <c r="N292" s="69"/>
      <c r="S292" s="14"/>
      <c r="T292" s="69"/>
    </row>
    <row r="293" spans="1:20" x14ac:dyDescent="0.2">
      <c r="A293" s="1"/>
      <c r="H293" s="28"/>
      <c r="N293" s="69"/>
      <c r="S293" s="14"/>
      <c r="T293" s="69"/>
    </row>
    <row r="294" spans="1:20" x14ac:dyDescent="0.2">
      <c r="A294" s="1"/>
      <c r="H294" s="28"/>
      <c r="N294" s="69"/>
      <c r="S294" s="14"/>
      <c r="T294" s="69"/>
    </row>
    <row r="295" spans="1:20" x14ac:dyDescent="0.2">
      <c r="A295" s="1"/>
      <c r="H295" s="28"/>
      <c r="N295" s="69"/>
      <c r="S295" s="14"/>
      <c r="T295" s="69"/>
    </row>
    <row r="296" spans="1:20" x14ac:dyDescent="0.2">
      <c r="A296" s="1"/>
      <c r="H296" s="28"/>
      <c r="N296" s="69"/>
      <c r="S296" s="14"/>
      <c r="T296" s="69"/>
    </row>
    <row r="297" spans="1:20" x14ac:dyDescent="0.2">
      <c r="A297" s="1"/>
      <c r="H297" s="28"/>
      <c r="N297" s="69"/>
      <c r="S297" s="14"/>
      <c r="T297" s="69"/>
    </row>
    <row r="298" spans="1:20" x14ac:dyDescent="0.2">
      <c r="A298" s="1"/>
      <c r="H298" s="28"/>
      <c r="N298" s="69"/>
      <c r="S298" s="14"/>
      <c r="T298" s="69"/>
    </row>
    <row r="299" spans="1:20" x14ac:dyDescent="0.2">
      <c r="A299" s="1"/>
      <c r="H299" s="28"/>
      <c r="N299" s="69"/>
      <c r="S299" s="14"/>
      <c r="T299" s="69"/>
    </row>
    <row r="300" spans="1:20" x14ac:dyDescent="0.2">
      <c r="A300" s="1"/>
      <c r="H300" s="28"/>
      <c r="N300" s="69"/>
      <c r="S300" s="14"/>
      <c r="T300" s="69"/>
    </row>
    <row r="301" spans="1:20" x14ac:dyDescent="0.2">
      <c r="A301" s="1"/>
      <c r="H301" s="28"/>
      <c r="N301" s="69"/>
      <c r="S301" s="14"/>
      <c r="T301" s="69"/>
    </row>
    <row r="302" spans="1:20" x14ac:dyDescent="0.2">
      <c r="A302" s="1"/>
      <c r="H302" s="28"/>
      <c r="N302" s="69"/>
      <c r="S302" s="14"/>
      <c r="T302" s="69"/>
    </row>
    <row r="303" spans="1:20" x14ac:dyDescent="0.2">
      <c r="A303" s="1"/>
      <c r="H303" s="28"/>
      <c r="N303" s="69"/>
      <c r="S303" s="14"/>
      <c r="T303" s="69"/>
    </row>
    <row r="304" spans="1:20" x14ac:dyDescent="0.2">
      <c r="A304" s="1"/>
      <c r="H304" s="28"/>
      <c r="N304" s="69"/>
      <c r="S304" s="14"/>
      <c r="T304" s="69"/>
    </row>
    <row r="305" spans="1:20" x14ac:dyDescent="0.2">
      <c r="A305" s="1"/>
      <c r="H305" s="28"/>
      <c r="N305" s="69"/>
      <c r="S305" s="14"/>
      <c r="T305" s="69"/>
    </row>
    <row r="306" spans="1:20" x14ac:dyDescent="0.2">
      <c r="A306" s="1"/>
      <c r="H306" s="28"/>
      <c r="N306" s="69"/>
      <c r="S306" s="14"/>
      <c r="T306" s="69"/>
    </row>
    <row r="307" spans="1:20" x14ac:dyDescent="0.2">
      <c r="A307" s="1"/>
      <c r="H307" s="28"/>
      <c r="N307" s="69"/>
      <c r="S307" s="14"/>
      <c r="T307" s="69"/>
    </row>
    <row r="308" spans="1:20" x14ac:dyDescent="0.2">
      <c r="A308" s="1"/>
      <c r="H308" s="28"/>
      <c r="N308" s="69"/>
      <c r="T308" s="69"/>
    </row>
    <row r="309" spans="1:20" x14ac:dyDescent="0.2">
      <c r="A309" s="1"/>
      <c r="H309" s="28"/>
      <c r="N309" s="69"/>
      <c r="T309" s="69"/>
    </row>
    <row r="310" spans="1:20" x14ac:dyDescent="0.2">
      <c r="A310" s="1"/>
      <c r="H310" s="28"/>
      <c r="N310" s="69"/>
      <c r="T310" s="69"/>
    </row>
    <row r="311" spans="1:20" x14ac:dyDescent="0.2">
      <c r="A311" s="1"/>
      <c r="H311" s="28"/>
      <c r="N311" s="69"/>
      <c r="T311" s="69"/>
    </row>
    <row r="312" spans="1:20" x14ac:dyDescent="0.2">
      <c r="A312" s="1"/>
      <c r="H312" s="28"/>
      <c r="N312" s="69"/>
      <c r="T312" s="69"/>
    </row>
    <row r="313" spans="1:20" x14ac:dyDescent="0.2">
      <c r="A313" s="1"/>
      <c r="H313" s="28"/>
      <c r="T313" s="69"/>
    </row>
    <row r="314" spans="1:20" x14ac:dyDescent="0.2">
      <c r="A314" s="1"/>
      <c r="H314" s="28"/>
      <c r="T314" s="69"/>
    </row>
    <row r="315" spans="1:20" x14ac:dyDescent="0.2">
      <c r="A315" s="1"/>
      <c r="H315" s="28"/>
      <c r="T315" s="69"/>
    </row>
    <row r="316" spans="1:20" x14ac:dyDescent="0.2">
      <c r="A316" s="1"/>
      <c r="H316" s="28"/>
      <c r="T316" s="69"/>
    </row>
    <row r="317" spans="1:20" x14ac:dyDescent="0.2">
      <c r="A317" s="1"/>
      <c r="H317" s="28"/>
      <c r="T317" s="69"/>
    </row>
    <row r="318" spans="1:20" x14ac:dyDescent="0.2">
      <c r="A318" s="1"/>
      <c r="H318" s="28"/>
      <c r="T318" s="69"/>
    </row>
    <row r="319" spans="1:20" x14ac:dyDescent="0.2">
      <c r="A319" s="1"/>
      <c r="H319" s="28"/>
      <c r="T319" s="69"/>
    </row>
    <row r="320" spans="1:20" x14ac:dyDescent="0.2">
      <c r="A320" s="1"/>
      <c r="H320" s="28"/>
      <c r="T320" s="69"/>
    </row>
    <row r="321" spans="1:20" x14ac:dyDescent="0.2">
      <c r="A321" s="1"/>
      <c r="H321" s="28"/>
      <c r="T321" s="69"/>
    </row>
    <row r="322" spans="1:20" x14ac:dyDescent="0.2">
      <c r="A322" s="1"/>
      <c r="H322" s="28"/>
      <c r="T322" s="69"/>
    </row>
    <row r="323" spans="1:20" x14ac:dyDescent="0.2">
      <c r="A323" s="1"/>
      <c r="H323" s="28"/>
      <c r="T323" s="69"/>
    </row>
    <row r="324" spans="1:20" x14ac:dyDescent="0.2">
      <c r="A324" s="1"/>
      <c r="H324" s="28"/>
      <c r="T324" s="69"/>
    </row>
    <row r="325" spans="1:20" x14ac:dyDescent="0.2">
      <c r="A325" s="1"/>
      <c r="H325" s="28"/>
      <c r="T325" s="69"/>
    </row>
    <row r="326" spans="1:20" x14ac:dyDescent="0.2">
      <c r="A326" s="1"/>
      <c r="H326" s="28"/>
      <c r="T326" s="69"/>
    </row>
    <row r="327" spans="1:20" x14ac:dyDescent="0.2">
      <c r="A327" s="1"/>
      <c r="H327" s="28"/>
      <c r="T327" s="69"/>
    </row>
    <row r="328" spans="1:20" x14ac:dyDescent="0.2">
      <c r="A328" s="1"/>
      <c r="H328" s="28"/>
      <c r="T328" s="69"/>
    </row>
    <row r="329" spans="1:20" x14ac:dyDescent="0.2">
      <c r="A329" s="1"/>
      <c r="H329" s="28"/>
      <c r="T329" s="69"/>
    </row>
    <row r="330" spans="1:20" x14ac:dyDescent="0.2">
      <c r="A330" s="1"/>
      <c r="H330" s="28"/>
      <c r="T330" s="69"/>
    </row>
    <row r="331" spans="1:20" x14ac:dyDescent="0.2">
      <c r="A331" s="1"/>
      <c r="H331" s="28"/>
      <c r="T331" s="69"/>
    </row>
    <row r="332" spans="1:20" x14ac:dyDescent="0.2">
      <c r="A332" s="1"/>
      <c r="H332" s="28"/>
      <c r="T332" s="69"/>
    </row>
    <row r="333" spans="1:20" x14ac:dyDescent="0.2">
      <c r="A333" s="1"/>
      <c r="H333" s="28"/>
      <c r="T333" s="69"/>
    </row>
    <row r="334" spans="1:20" x14ac:dyDescent="0.2">
      <c r="A334" s="1"/>
      <c r="H334" s="28"/>
      <c r="T334" s="69"/>
    </row>
    <row r="335" spans="1:20" x14ac:dyDescent="0.2">
      <c r="A335" s="1"/>
      <c r="H335" s="28"/>
      <c r="T335" s="69"/>
    </row>
    <row r="336" spans="1:20" x14ac:dyDescent="0.2">
      <c r="A336" s="1"/>
      <c r="H336" s="28"/>
      <c r="T336" s="69"/>
    </row>
    <row r="337" spans="1:20" x14ac:dyDescent="0.2">
      <c r="A337" s="1"/>
      <c r="H337" s="28"/>
      <c r="T337" s="69"/>
    </row>
    <row r="338" spans="1:20" x14ac:dyDescent="0.2">
      <c r="A338" s="1"/>
      <c r="H338" s="28"/>
      <c r="T338" s="69"/>
    </row>
    <row r="339" spans="1:20" x14ac:dyDescent="0.2">
      <c r="A339" s="1"/>
      <c r="H339" s="28"/>
      <c r="T339" s="69"/>
    </row>
    <row r="340" spans="1:20" x14ac:dyDescent="0.2">
      <c r="A340" s="1"/>
      <c r="H340" s="28"/>
      <c r="T340" s="69"/>
    </row>
    <row r="341" spans="1:20" x14ac:dyDescent="0.2">
      <c r="A341" s="1"/>
      <c r="H341" s="28"/>
      <c r="T341" s="69"/>
    </row>
    <row r="342" spans="1:20" x14ac:dyDescent="0.2">
      <c r="A342" s="1"/>
      <c r="H342" s="28"/>
      <c r="T342" s="69"/>
    </row>
    <row r="343" spans="1:20" x14ac:dyDescent="0.2">
      <c r="A343" s="1"/>
      <c r="H343" s="28"/>
      <c r="T343" s="69"/>
    </row>
    <row r="344" spans="1:20" x14ac:dyDescent="0.2">
      <c r="A344" s="1"/>
      <c r="H344" s="28"/>
      <c r="T344" s="69"/>
    </row>
    <row r="345" spans="1:20" x14ac:dyDescent="0.2">
      <c r="A345" s="1"/>
      <c r="H345" s="28"/>
      <c r="T345" s="69"/>
    </row>
    <row r="346" spans="1:20" x14ac:dyDescent="0.2">
      <c r="A346" s="1"/>
      <c r="H346" s="28"/>
      <c r="T346" s="69"/>
    </row>
    <row r="347" spans="1:20" x14ac:dyDescent="0.2">
      <c r="A347" s="1"/>
      <c r="H347" s="28"/>
      <c r="T347" s="69"/>
    </row>
    <row r="348" spans="1:20" x14ac:dyDescent="0.2">
      <c r="A348" s="1"/>
      <c r="H348" s="28"/>
      <c r="T348" s="69"/>
    </row>
    <row r="349" spans="1:20" x14ac:dyDescent="0.2">
      <c r="A349" s="1"/>
      <c r="H349" s="28"/>
      <c r="T349" s="69"/>
    </row>
    <row r="350" spans="1:20" x14ac:dyDescent="0.2">
      <c r="A350" s="1"/>
      <c r="H350" s="28"/>
      <c r="T350" s="69"/>
    </row>
    <row r="351" spans="1:20" x14ac:dyDescent="0.2">
      <c r="A351" s="1"/>
      <c r="H351" s="28"/>
      <c r="T351" s="69"/>
    </row>
    <row r="352" spans="1:20" x14ac:dyDescent="0.2">
      <c r="A352" s="1"/>
      <c r="H352" s="28"/>
      <c r="T352" s="69"/>
    </row>
    <row r="353" spans="1:20" x14ac:dyDescent="0.2">
      <c r="A353" s="1"/>
      <c r="H353" s="28"/>
      <c r="T353" s="69"/>
    </row>
    <row r="354" spans="1:20" x14ac:dyDescent="0.2">
      <c r="A354" s="1"/>
      <c r="H354" s="28"/>
      <c r="T354" s="69"/>
    </row>
    <row r="355" spans="1:20" x14ac:dyDescent="0.2">
      <c r="A355" s="1"/>
      <c r="H355" s="28"/>
      <c r="T355" s="69"/>
    </row>
    <row r="356" spans="1:20" x14ac:dyDescent="0.2">
      <c r="A356" s="1"/>
      <c r="H356" s="28"/>
      <c r="T356" s="69"/>
    </row>
    <row r="357" spans="1:20" x14ac:dyDescent="0.2">
      <c r="A357" s="1"/>
      <c r="H357" s="28"/>
      <c r="T357" s="69"/>
    </row>
    <row r="358" spans="1:20" x14ac:dyDescent="0.2">
      <c r="A358" s="1"/>
      <c r="H358" s="28"/>
      <c r="T358" s="69"/>
    </row>
    <row r="359" spans="1:20" x14ac:dyDescent="0.2">
      <c r="A359" s="1"/>
      <c r="H359" s="28"/>
      <c r="T359" s="69"/>
    </row>
    <row r="360" spans="1:20" x14ac:dyDescent="0.2">
      <c r="A360" s="1"/>
      <c r="H360" s="28"/>
      <c r="T360" s="69"/>
    </row>
    <row r="361" spans="1:20" x14ac:dyDescent="0.2">
      <c r="A361" s="1"/>
      <c r="H361" s="28"/>
      <c r="T361" s="69"/>
    </row>
    <row r="362" spans="1:20" x14ac:dyDescent="0.2">
      <c r="A362" s="1"/>
      <c r="H362" s="28"/>
      <c r="T362" s="69"/>
    </row>
    <row r="363" spans="1:20" x14ac:dyDescent="0.2">
      <c r="A363" s="1"/>
      <c r="H363" s="28"/>
      <c r="T363" s="69"/>
    </row>
    <row r="364" spans="1:20" x14ac:dyDescent="0.2">
      <c r="A364" s="1"/>
      <c r="H364" s="28"/>
      <c r="T364" s="69"/>
    </row>
    <row r="365" spans="1:20" x14ac:dyDescent="0.2">
      <c r="A365" s="1"/>
      <c r="H365" s="28"/>
      <c r="T365" s="69"/>
    </row>
    <row r="366" spans="1:20" x14ac:dyDescent="0.2">
      <c r="A366" s="1"/>
      <c r="H366" s="28"/>
      <c r="T366" s="69"/>
    </row>
    <row r="367" spans="1:20" x14ac:dyDescent="0.2">
      <c r="A367" s="1"/>
      <c r="H367" s="28"/>
      <c r="T367" s="69"/>
    </row>
    <row r="368" spans="1:20" x14ac:dyDescent="0.2">
      <c r="A368" s="1"/>
      <c r="H368" s="28"/>
      <c r="T368" s="69"/>
    </row>
    <row r="369" spans="1:20" x14ac:dyDescent="0.2">
      <c r="A369" s="1"/>
      <c r="H369" s="28"/>
      <c r="T369" s="69"/>
    </row>
    <row r="370" spans="1:20" x14ac:dyDescent="0.2">
      <c r="A370" s="1"/>
      <c r="H370" s="28"/>
      <c r="T370" s="69"/>
    </row>
    <row r="371" spans="1:20" x14ac:dyDescent="0.2">
      <c r="A371" s="1"/>
      <c r="H371" s="28"/>
      <c r="T371" s="69"/>
    </row>
    <row r="372" spans="1:20" x14ac:dyDescent="0.2">
      <c r="A372" s="1"/>
      <c r="H372" s="28"/>
      <c r="T372" s="69"/>
    </row>
    <row r="373" spans="1:20" x14ac:dyDescent="0.2">
      <c r="A373" s="1"/>
      <c r="H373" s="28"/>
      <c r="T373" s="69"/>
    </row>
    <row r="374" spans="1:20" x14ac:dyDescent="0.2">
      <c r="A374" s="1"/>
      <c r="H374" s="28"/>
      <c r="T374" s="69"/>
    </row>
    <row r="375" spans="1:20" x14ac:dyDescent="0.2">
      <c r="A375" s="1"/>
      <c r="H375" s="28"/>
      <c r="T375" s="69"/>
    </row>
    <row r="376" spans="1:20" x14ac:dyDescent="0.2">
      <c r="A376" s="1"/>
      <c r="H376" s="28"/>
      <c r="T376" s="69"/>
    </row>
    <row r="377" spans="1:20" x14ac:dyDescent="0.2">
      <c r="A377" s="1"/>
      <c r="H377" s="28"/>
      <c r="T377" s="69"/>
    </row>
    <row r="378" spans="1:20" x14ac:dyDescent="0.2">
      <c r="A378" s="1"/>
      <c r="H378" s="28"/>
      <c r="T378" s="69"/>
    </row>
    <row r="379" spans="1:20" x14ac:dyDescent="0.2">
      <c r="A379" s="1"/>
      <c r="H379" s="28"/>
      <c r="T379" s="69"/>
    </row>
    <row r="380" spans="1:20" x14ac:dyDescent="0.2">
      <c r="A380" s="1"/>
      <c r="H380" s="28"/>
      <c r="T380" s="69"/>
    </row>
    <row r="381" spans="1:20" x14ac:dyDescent="0.2">
      <c r="A381" s="1"/>
      <c r="H381" s="28"/>
      <c r="T381" s="69"/>
    </row>
    <row r="382" spans="1:20" x14ac:dyDescent="0.2">
      <c r="A382" s="1"/>
      <c r="H382" s="28"/>
      <c r="T382" s="69"/>
    </row>
    <row r="383" spans="1:20" x14ac:dyDescent="0.2">
      <c r="A383" s="1"/>
      <c r="H383" s="28"/>
      <c r="T383" s="69"/>
    </row>
    <row r="384" spans="1:20" x14ac:dyDescent="0.2">
      <c r="A384" s="1"/>
      <c r="H384" s="28"/>
      <c r="T384" s="69"/>
    </row>
    <row r="385" spans="1:20" x14ac:dyDescent="0.2">
      <c r="A385" s="1"/>
      <c r="H385" s="28"/>
      <c r="T385" s="69"/>
    </row>
    <row r="386" spans="1:20" x14ac:dyDescent="0.2">
      <c r="A386" s="1"/>
      <c r="H386" s="28"/>
      <c r="T386" s="69"/>
    </row>
    <row r="387" spans="1:20" x14ac:dyDescent="0.2">
      <c r="A387" s="1"/>
      <c r="H387" s="28"/>
      <c r="T387" s="69"/>
    </row>
    <row r="388" spans="1:20" x14ac:dyDescent="0.2">
      <c r="A388" s="1"/>
      <c r="H388" s="28"/>
      <c r="T388" s="69"/>
    </row>
    <row r="389" spans="1:20" x14ac:dyDescent="0.2">
      <c r="A389" s="1"/>
      <c r="H389" s="28"/>
      <c r="T389" s="69"/>
    </row>
    <row r="390" spans="1:20" x14ac:dyDescent="0.2">
      <c r="A390" s="1"/>
      <c r="H390" s="28"/>
      <c r="T390" s="69"/>
    </row>
    <row r="391" spans="1:20" x14ac:dyDescent="0.2">
      <c r="A391" s="1"/>
      <c r="H391" s="28"/>
      <c r="T391" s="69"/>
    </row>
    <row r="392" spans="1:20" x14ac:dyDescent="0.2">
      <c r="A392" s="1"/>
      <c r="H392" s="28"/>
      <c r="T392" s="69"/>
    </row>
    <row r="393" spans="1:20" x14ac:dyDescent="0.2">
      <c r="A393" s="1"/>
      <c r="H393" s="28"/>
      <c r="T393" s="69"/>
    </row>
    <row r="394" spans="1:20" x14ac:dyDescent="0.2">
      <c r="A394" s="1"/>
      <c r="H394" s="28"/>
      <c r="T394" s="69"/>
    </row>
    <row r="395" spans="1:20" x14ac:dyDescent="0.2">
      <c r="A395" s="1"/>
      <c r="H395" s="28"/>
      <c r="T395" s="69"/>
    </row>
    <row r="396" spans="1:20" x14ac:dyDescent="0.2">
      <c r="A396" s="1"/>
      <c r="H396" s="28"/>
      <c r="T396" s="69"/>
    </row>
    <row r="397" spans="1:20" x14ac:dyDescent="0.2">
      <c r="A397" s="1"/>
      <c r="H397" s="28"/>
      <c r="T397" s="69"/>
    </row>
    <row r="398" spans="1:20" x14ac:dyDescent="0.2">
      <c r="A398" s="1"/>
      <c r="H398" s="28"/>
      <c r="T398" s="69"/>
    </row>
    <row r="399" spans="1:20" x14ac:dyDescent="0.2">
      <c r="A399" s="1"/>
      <c r="H399" s="28"/>
      <c r="T399" s="69"/>
    </row>
    <row r="400" spans="1:20" x14ac:dyDescent="0.2">
      <c r="A400" s="1"/>
      <c r="H400" s="28"/>
      <c r="T400" s="69"/>
    </row>
    <row r="401" spans="1:20" x14ac:dyDescent="0.2">
      <c r="A401" s="1"/>
      <c r="H401" s="28"/>
      <c r="T401" s="69"/>
    </row>
    <row r="402" spans="1:20" x14ac:dyDescent="0.2">
      <c r="A402" s="1"/>
      <c r="H402" s="28"/>
      <c r="T402" s="69"/>
    </row>
    <row r="403" spans="1:20" x14ac:dyDescent="0.2">
      <c r="A403" s="1"/>
      <c r="H403" s="28"/>
      <c r="T403" s="69"/>
    </row>
    <row r="404" spans="1:20" x14ac:dyDescent="0.2">
      <c r="A404" s="1"/>
      <c r="H404" s="28"/>
      <c r="T404" s="69"/>
    </row>
    <row r="405" spans="1:20" x14ac:dyDescent="0.2">
      <c r="A405" s="1"/>
      <c r="H405" s="28"/>
      <c r="T405" s="69"/>
    </row>
    <row r="406" spans="1:20" x14ac:dyDescent="0.2">
      <c r="A406" s="1"/>
      <c r="H406" s="28"/>
      <c r="T406" s="69"/>
    </row>
    <row r="407" spans="1:20" x14ac:dyDescent="0.2">
      <c r="A407" s="1"/>
      <c r="H407" s="28"/>
      <c r="T407" s="69"/>
    </row>
    <row r="408" spans="1:20" x14ac:dyDescent="0.2">
      <c r="A408" s="1"/>
      <c r="H408" s="28"/>
      <c r="T408" s="69"/>
    </row>
    <row r="409" spans="1:20" x14ac:dyDescent="0.2">
      <c r="A409" s="1"/>
      <c r="H409" s="28"/>
      <c r="T409" s="69"/>
    </row>
    <row r="410" spans="1:20" x14ac:dyDescent="0.2">
      <c r="A410" s="1"/>
      <c r="H410" s="28"/>
      <c r="T410" s="69"/>
    </row>
    <row r="411" spans="1:20" x14ac:dyDescent="0.2">
      <c r="A411" s="1"/>
      <c r="H411" s="28"/>
      <c r="T411" s="69"/>
    </row>
    <row r="412" spans="1:20" x14ac:dyDescent="0.2">
      <c r="A412" s="1"/>
      <c r="H412" s="28"/>
      <c r="T412" s="69"/>
    </row>
    <row r="413" spans="1:20" x14ac:dyDescent="0.2">
      <c r="A413" s="1"/>
      <c r="H413" s="28"/>
      <c r="T413" s="69"/>
    </row>
    <row r="414" spans="1:20" x14ac:dyDescent="0.2">
      <c r="A414" s="1"/>
      <c r="H414" s="28"/>
      <c r="T414" s="69"/>
    </row>
    <row r="415" spans="1:20" x14ac:dyDescent="0.2">
      <c r="A415" s="1"/>
      <c r="H415" s="28"/>
      <c r="T415" s="69"/>
    </row>
    <row r="416" spans="1:20" x14ac:dyDescent="0.2">
      <c r="A416" s="1"/>
      <c r="H416" s="28"/>
      <c r="T416" s="69"/>
    </row>
    <row r="417" spans="1:20" x14ac:dyDescent="0.2">
      <c r="A417" s="1"/>
      <c r="H417" s="28"/>
      <c r="T417" s="69"/>
    </row>
    <row r="418" spans="1:20" x14ac:dyDescent="0.2">
      <c r="A418" s="1"/>
      <c r="H418" s="28"/>
      <c r="T418" s="69"/>
    </row>
    <row r="419" spans="1:20" x14ac:dyDescent="0.2">
      <c r="A419" s="1"/>
      <c r="H419" s="28"/>
      <c r="T419" s="69"/>
    </row>
    <row r="420" spans="1:20" x14ac:dyDescent="0.2">
      <c r="A420" s="1"/>
      <c r="H420" s="28"/>
      <c r="T420" s="69"/>
    </row>
    <row r="421" spans="1:20" x14ac:dyDescent="0.2">
      <c r="A421" s="1"/>
      <c r="H421" s="28"/>
      <c r="T421" s="69"/>
    </row>
    <row r="422" spans="1:20" x14ac:dyDescent="0.2">
      <c r="A422" s="1"/>
      <c r="H422" s="28"/>
      <c r="T422" s="69"/>
    </row>
    <row r="423" spans="1:20" x14ac:dyDescent="0.2">
      <c r="A423" s="1"/>
      <c r="H423" s="28"/>
      <c r="T423" s="69"/>
    </row>
    <row r="424" spans="1:20" x14ac:dyDescent="0.2">
      <c r="A424" s="1"/>
      <c r="H424" s="28"/>
      <c r="T424" s="69"/>
    </row>
    <row r="425" spans="1:20" x14ac:dyDescent="0.2">
      <c r="A425" s="1"/>
      <c r="H425" s="28"/>
      <c r="T425" s="69"/>
    </row>
    <row r="426" spans="1:20" x14ac:dyDescent="0.2">
      <c r="A426" s="1"/>
      <c r="H426" s="28"/>
      <c r="T426" s="69"/>
    </row>
    <row r="427" spans="1:20" x14ac:dyDescent="0.2">
      <c r="A427" s="1"/>
      <c r="H427" s="28"/>
      <c r="T427" s="69"/>
    </row>
    <row r="428" spans="1:20" x14ac:dyDescent="0.2">
      <c r="A428" s="1"/>
      <c r="H428" s="28"/>
      <c r="T428" s="69"/>
    </row>
    <row r="429" spans="1:20" x14ac:dyDescent="0.2">
      <c r="A429" s="1"/>
      <c r="H429" s="28"/>
      <c r="T429" s="69"/>
    </row>
    <row r="430" spans="1:20" x14ac:dyDescent="0.2">
      <c r="A430" s="1"/>
      <c r="H430" s="28"/>
      <c r="T430" s="69"/>
    </row>
    <row r="431" spans="1:20" x14ac:dyDescent="0.2">
      <c r="A431" s="1"/>
      <c r="H431" s="28"/>
      <c r="T431" s="69"/>
    </row>
    <row r="432" spans="1:20" x14ac:dyDescent="0.2">
      <c r="A432" s="1"/>
      <c r="H432" s="28"/>
      <c r="T432" s="69"/>
    </row>
    <row r="433" spans="1:20" x14ac:dyDescent="0.2">
      <c r="A433" s="1"/>
      <c r="H433" s="28"/>
      <c r="T433" s="69"/>
    </row>
    <row r="434" spans="1:20" x14ac:dyDescent="0.2">
      <c r="A434" s="1"/>
      <c r="H434" s="28"/>
      <c r="T434" s="69"/>
    </row>
    <row r="435" spans="1:20" x14ac:dyDescent="0.2">
      <c r="A435" s="1"/>
      <c r="H435" s="28"/>
      <c r="T435" s="69"/>
    </row>
    <row r="436" spans="1:20" x14ac:dyDescent="0.2">
      <c r="A436" s="1"/>
      <c r="H436" s="28"/>
      <c r="T436" s="69"/>
    </row>
    <row r="437" spans="1:20" x14ac:dyDescent="0.2">
      <c r="A437" s="1"/>
      <c r="H437" s="28"/>
      <c r="T437" s="69"/>
    </row>
    <row r="438" spans="1:20" x14ac:dyDescent="0.2">
      <c r="A438" s="1"/>
      <c r="H438" s="28"/>
      <c r="T438" s="69"/>
    </row>
    <row r="439" spans="1:20" x14ac:dyDescent="0.2">
      <c r="A439" s="1"/>
      <c r="H439" s="28"/>
      <c r="T439" s="69"/>
    </row>
    <row r="440" spans="1:20" x14ac:dyDescent="0.2">
      <c r="A440" s="1"/>
      <c r="H440" s="28"/>
      <c r="T440" s="69"/>
    </row>
    <row r="441" spans="1:20" x14ac:dyDescent="0.2">
      <c r="A441" s="1"/>
      <c r="H441" s="28"/>
      <c r="T441" s="69"/>
    </row>
    <row r="442" spans="1:20" x14ac:dyDescent="0.2">
      <c r="A442" s="1"/>
      <c r="H442" s="28"/>
      <c r="T442" s="69"/>
    </row>
    <row r="443" spans="1:20" x14ac:dyDescent="0.2">
      <c r="A443" s="1"/>
      <c r="H443" s="28"/>
      <c r="T443" s="69"/>
    </row>
    <row r="444" spans="1:20" x14ac:dyDescent="0.2">
      <c r="A444" s="1"/>
      <c r="H444" s="28"/>
      <c r="T444" s="69"/>
    </row>
    <row r="445" spans="1:20" x14ac:dyDescent="0.2">
      <c r="A445" s="1"/>
      <c r="H445" s="28"/>
      <c r="T445" s="69"/>
    </row>
    <row r="446" spans="1:20" x14ac:dyDescent="0.2">
      <c r="A446" s="1"/>
      <c r="H446" s="28"/>
      <c r="T446" s="69"/>
    </row>
    <row r="447" spans="1:20" x14ac:dyDescent="0.2">
      <c r="A447" s="1"/>
      <c r="H447" s="28"/>
      <c r="T447" s="69"/>
    </row>
    <row r="448" spans="1:20" x14ac:dyDescent="0.2">
      <c r="A448" s="1"/>
      <c r="H448" s="28"/>
      <c r="T448" s="69"/>
    </row>
    <row r="449" spans="1:20" x14ac:dyDescent="0.2">
      <c r="A449" s="1"/>
      <c r="H449" s="28"/>
      <c r="T449" s="69"/>
    </row>
    <row r="450" spans="1:20" x14ac:dyDescent="0.2">
      <c r="A450" s="1"/>
      <c r="H450" s="28"/>
      <c r="T450" s="69"/>
    </row>
    <row r="451" spans="1:20" x14ac:dyDescent="0.2">
      <c r="A451" s="1"/>
      <c r="H451" s="28"/>
      <c r="T451" s="69"/>
    </row>
    <row r="452" spans="1:20" x14ac:dyDescent="0.2">
      <c r="A452" s="1"/>
      <c r="H452" s="28"/>
      <c r="T452" s="69"/>
    </row>
    <row r="453" spans="1:20" x14ac:dyDescent="0.2">
      <c r="A453" s="1"/>
      <c r="H453" s="28"/>
      <c r="T453" s="69"/>
    </row>
    <row r="454" spans="1:20" x14ac:dyDescent="0.2">
      <c r="A454" s="1"/>
      <c r="H454" s="28"/>
      <c r="T454" s="69"/>
    </row>
    <row r="455" spans="1:20" x14ac:dyDescent="0.2">
      <c r="A455" s="1"/>
      <c r="H455" s="28"/>
      <c r="T455" s="69"/>
    </row>
    <row r="456" spans="1:20" x14ac:dyDescent="0.2">
      <c r="A456" s="1"/>
      <c r="H456" s="28"/>
      <c r="T456" s="69"/>
    </row>
    <row r="457" spans="1:20" x14ac:dyDescent="0.2">
      <c r="A457" s="1"/>
      <c r="H457" s="28"/>
      <c r="T457" s="69"/>
    </row>
    <row r="458" spans="1:20" x14ac:dyDescent="0.2">
      <c r="A458" s="1"/>
      <c r="H458" s="28"/>
      <c r="T458" s="69"/>
    </row>
    <row r="459" spans="1:20" x14ac:dyDescent="0.2">
      <c r="A459" s="1"/>
      <c r="H459" s="28"/>
      <c r="T459" s="69"/>
    </row>
    <row r="460" spans="1:20" x14ac:dyDescent="0.2">
      <c r="A460" s="1"/>
      <c r="H460" s="28"/>
      <c r="T460" s="69"/>
    </row>
    <row r="461" spans="1:20" x14ac:dyDescent="0.2">
      <c r="A461" s="1"/>
      <c r="H461" s="28"/>
      <c r="T461" s="69"/>
    </row>
    <row r="462" spans="1:20" x14ac:dyDescent="0.2">
      <c r="A462" s="1"/>
      <c r="H462" s="28"/>
      <c r="T462" s="69"/>
    </row>
    <row r="463" spans="1:20" x14ac:dyDescent="0.2">
      <c r="A463" s="1"/>
      <c r="H463" s="28"/>
      <c r="T463" s="69"/>
    </row>
    <row r="464" spans="1:20" x14ac:dyDescent="0.2">
      <c r="A464" s="1"/>
      <c r="H464" s="28"/>
      <c r="T464" s="69"/>
    </row>
    <row r="465" spans="1:20" x14ac:dyDescent="0.2">
      <c r="A465" s="1"/>
      <c r="H465" s="28"/>
      <c r="T465" s="69"/>
    </row>
    <row r="466" spans="1:20" x14ac:dyDescent="0.2">
      <c r="A466" s="1"/>
      <c r="H466" s="28"/>
      <c r="T466" s="69"/>
    </row>
    <row r="467" spans="1:20" x14ac:dyDescent="0.2">
      <c r="A467" s="1"/>
      <c r="H467" s="28"/>
      <c r="T467" s="69"/>
    </row>
    <row r="468" spans="1:20" x14ac:dyDescent="0.2">
      <c r="A468" s="1"/>
      <c r="H468" s="28"/>
      <c r="T468" s="69"/>
    </row>
    <row r="469" spans="1:20" x14ac:dyDescent="0.2">
      <c r="A469" s="1"/>
      <c r="H469" s="28"/>
      <c r="T469" s="69"/>
    </row>
    <row r="470" spans="1:20" x14ac:dyDescent="0.2">
      <c r="A470" s="1"/>
      <c r="H470" s="28"/>
      <c r="T470" s="69"/>
    </row>
    <row r="471" spans="1:20" x14ac:dyDescent="0.2">
      <c r="A471" s="1"/>
      <c r="H471" s="28"/>
      <c r="T471" s="69"/>
    </row>
    <row r="472" spans="1:20" x14ac:dyDescent="0.2">
      <c r="A472" s="1"/>
      <c r="H472" s="28"/>
      <c r="T472" s="69"/>
    </row>
    <row r="473" spans="1:20" x14ac:dyDescent="0.2">
      <c r="A473" s="1"/>
      <c r="H473" s="28"/>
      <c r="T473" s="69"/>
    </row>
    <row r="474" spans="1:20" x14ac:dyDescent="0.2">
      <c r="A474" s="1"/>
      <c r="H474" s="28"/>
      <c r="T474" s="69"/>
    </row>
    <row r="475" spans="1:20" x14ac:dyDescent="0.2">
      <c r="A475" s="1"/>
      <c r="H475" s="28"/>
      <c r="T475" s="69"/>
    </row>
    <row r="476" spans="1:20" x14ac:dyDescent="0.2">
      <c r="A476" s="1"/>
      <c r="H476" s="28"/>
      <c r="T476" s="69"/>
    </row>
    <row r="477" spans="1:20" x14ac:dyDescent="0.2">
      <c r="A477" s="1"/>
      <c r="H477" s="28"/>
      <c r="T477" s="69"/>
    </row>
    <row r="478" spans="1:20" x14ac:dyDescent="0.2">
      <c r="A478" s="1"/>
      <c r="H478" s="28"/>
      <c r="T478" s="69"/>
    </row>
    <row r="479" spans="1:20" x14ac:dyDescent="0.2">
      <c r="A479" s="1"/>
      <c r="H479" s="28"/>
      <c r="T479" s="69"/>
    </row>
    <row r="480" spans="1:20" x14ac:dyDescent="0.2">
      <c r="A480" s="1"/>
      <c r="H480" s="28"/>
      <c r="T480" s="69"/>
    </row>
    <row r="481" spans="1:20" x14ac:dyDescent="0.2">
      <c r="A481" s="1"/>
      <c r="H481" s="28"/>
      <c r="T481" s="69"/>
    </row>
    <row r="482" spans="1:20" x14ac:dyDescent="0.2">
      <c r="A482" s="1"/>
      <c r="H482" s="28"/>
      <c r="T482" s="69"/>
    </row>
    <row r="483" spans="1:20" x14ac:dyDescent="0.2">
      <c r="A483" s="1"/>
      <c r="H483" s="28"/>
      <c r="T483" s="69"/>
    </row>
    <row r="484" spans="1:20" x14ac:dyDescent="0.2">
      <c r="A484" s="1"/>
      <c r="H484" s="28"/>
      <c r="T484" s="69"/>
    </row>
    <row r="485" spans="1:20" x14ac:dyDescent="0.2">
      <c r="A485" s="1"/>
      <c r="H485" s="28"/>
      <c r="T485" s="69"/>
    </row>
    <row r="486" spans="1:20" x14ac:dyDescent="0.2">
      <c r="A486" s="1"/>
      <c r="H486" s="28"/>
      <c r="T486" s="69"/>
    </row>
    <row r="487" spans="1:20" x14ac:dyDescent="0.2">
      <c r="A487" s="1"/>
      <c r="H487" s="28"/>
      <c r="T487" s="69"/>
    </row>
    <row r="488" spans="1:20" x14ac:dyDescent="0.2">
      <c r="A488" s="1"/>
      <c r="H488" s="28"/>
      <c r="T488" s="69"/>
    </row>
    <row r="489" spans="1:20" x14ac:dyDescent="0.2">
      <c r="A489" s="1"/>
      <c r="H489" s="28"/>
      <c r="T489" s="69"/>
    </row>
    <row r="490" spans="1:20" x14ac:dyDescent="0.2">
      <c r="A490" s="1"/>
      <c r="H490" s="28"/>
      <c r="T490" s="69"/>
    </row>
    <row r="491" spans="1:20" x14ac:dyDescent="0.2">
      <c r="A491" s="1"/>
      <c r="H491" s="28"/>
      <c r="T491" s="69"/>
    </row>
    <row r="492" spans="1:20" x14ac:dyDescent="0.2">
      <c r="A492" s="1"/>
      <c r="H492" s="28"/>
      <c r="T492" s="69"/>
    </row>
    <row r="493" spans="1:20" x14ac:dyDescent="0.2">
      <c r="A493" s="1"/>
      <c r="H493" s="28"/>
      <c r="T493" s="69"/>
    </row>
    <row r="494" spans="1:20" x14ac:dyDescent="0.2">
      <c r="A494" s="1"/>
      <c r="H494" s="28"/>
      <c r="T494" s="69"/>
    </row>
    <row r="495" spans="1:20" x14ac:dyDescent="0.2">
      <c r="A495" s="1"/>
      <c r="H495" s="28"/>
      <c r="T495" s="69"/>
    </row>
    <row r="496" spans="1:20" x14ac:dyDescent="0.2">
      <c r="A496" s="1"/>
      <c r="H496" s="28"/>
      <c r="T496" s="69"/>
    </row>
    <row r="497" spans="1:8" x14ac:dyDescent="0.2">
      <c r="A497" s="1"/>
      <c r="H497" s="28"/>
    </row>
    <row r="498" spans="1:8" x14ac:dyDescent="0.2">
      <c r="A498" s="1"/>
      <c r="H498" s="28"/>
    </row>
    <row r="499" spans="1:8" x14ac:dyDescent="0.2">
      <c r="A499" s="1"/>
      <c r="H499" s="28"/>
    </row>
    <row r="500" spans="1:8" x14ac:dyDescent="0.2">
      <c r="A500" s="1"/>
      <c r="H500" s="28"/>
    </row>
    <row r="501" spans="1:8" x14ac:dyDescent="0.2">
      <c r="A501" s="1"/>
      <c r="H501" s="28"/>
    </row>
    <row r="502" spans="1:8" x14ac:dyDescent="0.2">
      <c r="A502" s="1"/>
      <c r="H502" s="28"/>
    </row>
    <row r="503" spans="1:8" x14ac:dyDescent="0.2">
      <c r="A503" s="1"/>
      <c r="H503" s="28"/>
    </row>
    <row r="504" spans="1:8" x14ac:dyDescent="0.2">
      <c r="A504" s="1"/>
      <c r="H504" s="28"/>
    </row>
    <row r="505" spans="1:8" x14ac:dyDescent="0.2">
      <c r="A505" s="1"/>
      <c r="H505" s="28"/>
    </row>
    <row r="506" spans="1:8" x14ac:dyDescent="0.2">
      <c r="A506" s="1"/>
      <c r="H506" s="28"/>
    </row>
    <row r="507" spans="1:8" x14ac:dyDescent="0.2">
      <c r="A507" s="1"/>
      <c r="H507" s="28"/>
    </row>
    <row r="508" spans="1:8" x14ac:dyDescent="0.2">
      <c r="A508" s="1"/>
      <c r="H508" s="28"/>
    </row>
    <row r="509" spans="1:8" x14ac:dyDescent="0.2">
      <c r="A509" s="1"/>
      <c r="H509" s="28"/>
    </row>
    <row r="510" spans="1:8" x14ac:dyDescent="0.2">
      <c r="A510" s="1"/>
      <c r="H510" s="28"/>
    </row>
    <row r="511" spans="1:8" x14ac:dyDescent="0.2">
      <c r="A511" s="1"/>
      <c r="H511" s="28"/>
    </row>
    <row r="512" spans="1:8" x14ac:dyDescent="0.2">
      <c r="A512" s="1"/>
      <c r="H512" s="28"/>
    </row>
    <row r="513" spans="1:8" x14ac:dyDescent="0.2">
      <c r="A513" s="1"/>
      <c r="H513" s="28"/>
    </row>
    <row r="514" spans="1:8" x14ac:dyDescent="0.2">
      <c r="A514" s="1"/>
      <c r="H514" s="28"/>
    </row>
    <row r="515" spans="1:8" x14ac:dyDescent="0.2">
      <c r="A515" s="1"/>
      <c r="H515" s="28"/>
    </row>
    <row r="516" spans="1:8" x14ac:dyDescent="0.2">
      <c r="A516" s="1"/>
      <c r="H516" s="28"/>
    </row>
    <row r="517" spans="1:8" x14ac:dyDescent="0.2">
      <c r="A517" s="1"/>
      <c r="H517" s="28"/>
    </row>
    <row r="518" spans="1:8" x14ac:dyDescent="0.2">
      <c r="A518" s="1"/>
      <c r="H518" s="28"/>
    </row>
    <row r="519" spans="1:8" x14ac:dyDescent="0.2">
      <c r="A519" s="1"/>
      <c r="H519" s="28"/>
    </row>
    <row r="520" spans="1:8" x14ac:dyDescent="0.2">
      <c r="A520" s="1"/>
      <c r="H520" s="28"/>
    </row>
    <row r="521" spans="1:8" x14ac:dyDescent="0.2">
      <c r="A521" s="1"/>
      <c r="H521" s="28"/>
    </row>
    <row r="522" spans="1:8" x14ac:dyDescent="0.2">
      <c r="A522" s="1"/>
      <c r="H522" s="28"/>
    </row>
    <row r="523" spans="1:8" x14ac:dyDescent="0.2">
      <c r="A523" s="1"/>
      <c r="H523" s="28"/>
    </row>
    <row r="524" spans="1:8" x14ac:dyDescent="0.2">
      <c r="A524" s="1"/>
      <c r="H524" s="28"/>
    </row>
    <row r="525" spans="1:8" x14ac:dyDescent="0.2">
      <c r="A525" s="1"/>
      <c r="H525" s="28"/>
    </row>
    <row r="526" spans="1:8" x14ac:dyDescent="0.2">
      <c r="A526" s="1"/>
      <c r="H526" s="28"/>
    </row>
    <row r="527" spans="1:8" x14ac:dyDescent="0.2">
      <c r="A527" s="1"/>
      <c r="H527" s="28"/>
    </row>
    <row r="528" spans="1:8" x14ac:dyDescent="0.2">
      <c r="A528" s="1"/>
      <c r="H528" s="28"/>
    </row>
    <row r="529" spans="1:8" x14ac:dyDescent="0.2">
      <c r="A529" s="1"/>
      <c r="H529" s="28"/>
    </row>
    <row r="530" spans="1:8" x14ac:dyDescent="0.2">
      <c r="A530" s="1"/>
      <c r="H530" s="28"/>
    </row>
    <row r="531" spans="1:8" x14ac:dyDescent="0.2">
      <c r="A531" s="1"/>
      <c r="H531" s="28"/>
    </row>
    <row r="532" spans="1:8" x14ac:dyDescent="0.2">
      <c r="A532" s="1"/>
      <c r="H532" s="28"/>
    </row>
    <row r="533" spans="1:8" x14ac:dyDescent="0.2">
      <c r="A533" s="1"/>
      <c r="H533" s="28"/>
    </row>
    <row r="534" spans="1:8" x14ac:dyDescent="0.2">
      <c r="A534" s="1"/>
      <c r="H534" s="28"/>
    </row>
    <row r="535" spans="1:8" x14ac:dyDescent="0.2">
      <c r="A535" s="1"/>
      <c r="H535" s="28"/>
    </row>
    <row r="536" spans="1:8" x14ac:dyDescent="0.2">
      <c r="A536" s="1"/>
      <c r="H536" s="28"/>
    </row>
    <row r="537" spans="1:8" x14ac:dyDescent="0.2">
      <c r="A537" s="1"/>
      <c r="H537" s="28"/>
    </row>
    <row r="538" spans="1:8" x14ac:dyDescent="0.2">
      <c r="A538" s="1"/>
      <c r="H538" s="28"/>
    </row>
    <row r="539" spans="1:8" x14ac:dyDescent="0.2">
      <c r="A539" s="1"/>
      <c r="H539" s="28"/>
    </row>
    <row r="540" spans="1:8" x14ac:dyDescent="0.2">
      <c r="A540" s="1"/>
      <c r="H540" s="28"/>
    </row>
    <row r="541" spans="1:8" x14ac:dyDescent="0.2">
      <c r="A541" s="1"/>
      <c r="H541" s="28"/>
    </row>
    <row r="542" spans="1:8" x14ac:dyDescent="0.2">
      <c r="A542" s="1"/>
      <c r="H542" s="28"/>
    </row>
    <row r="543" spans="1:8" x14ac:dyDescent="0.2">
      <c r="A543" s="1"/>
      <c r="H543" s="28"/>
    </row>
    <row r="544" spans="1:8" x14ac:dyDescent="0.2">
      <c r="A544" s="1"/>
      <c r="H544" s="28"/>
    </row>
    <row r="545" spans="1:8" x14ac:dyDescent="0.2">
      <c r="A545" s="1"/>
      <c r="H545" s="28"/>
    </row>
    <row r="546" spans="1:8" x14ac:dyDescent="0.2">
      <c r="A546" s="1"/>
      <c r="H546" s="28"/>
    </row>
    <row r="547" spans="1:8" x14ac:dyDescent="0.2">
      <c r="A547" s="1"/>
      <c r="H547" s="28"/>
    </row>
    <row r="548" spans="1:8" x14ac:dyDescent="0.2">
      <c r="A548" s="1"/>
      <c r="H548" s="28"/>
    </row>
    <row r="549" spans="1:8" x14ac:dyDescent="0.2">
      <c r="A549" s="1"/>
      <c r="H549" s="28"/>
    </row>
    <row r="550" spans="1:8" x14ac:dyDescent="0.2">
      <c r="A550" s="1"/>
      <c r="H550" s="28"/>
    </row>
    <row r="551" spans="1:8" x14ac:dyDescent="0.2">
      <c r="A551" s="1"/>
      <c r="H551" s="28"/>
    </row>
    <row r="552" spans="1:8" x14ac:dyDescent="0.2">
      <c r="A552" s="1"/>
      <c r="H552" s="28"/>
    </row>
    <row r="553" spans="1:8" x14ac:dyDescent="0.2">
      <c r="A553" s="1"/>
      <c r="H553" s="28"/>
    </row>
    <row r="554" spans="1:8" x14ac:dyDescent="0.2">
      <c r="A554" s="1"/>
      <c r="H554" s="28"/>
    </row>
    <row r="555" spans="1:8" x14ac:dyDescent="0.2">
      <c r="A555" s="1"/>
      <c r="H555" s="28"/>
    </row>
    <row r="556" spans="1:8" x14ac:dyDescent="0.2">
      <c r="H556" s="28"/>
    </row>
    <row r="557" spans="1:8" x14ac:dyDescent="0.2">
      <c r="H557" s="28"/>
    </row>
    <row r="558" spans="1:8" x14ac:dyDescent="0.2">
      <c r="H558" s="28"/>
    </row>
    <row r="559" spans="1:8" x14ac:dyDescent="0.2">
      <c r="H559" s="28"/>
    </row>
    <row r="560" spans="1:8" x14ac:dyDescent="0.2">
      <c r="H560" s="28"/>
    </row>
    <row r="561" spans="8:8" x14ac:dyDescent="0.2">
      <c r="H561" s="28"/>
    </row>
    <row r="562" spans="8:8" x14ac:dyDescent="0.2">
      <c r="H562" s="28"/>
    </row>
    <row r="563" spans="8:8" x14ac:dyDescent="0.2">
      <c r="H563" s="28"/>
    </row>
    <row r="564" spans="8:8" x14ac:dyDescent="0.2">
      <c r="H564" s="28"/>
    </row>
    <row r="565" spans="8:8" x14ac:dyDescent="0.2">
      <c r="H565" s="28"/>
    </row>
    <row r="566" spans="8:8" x14ac:dyDescent="0.2">
      <c r="H566" s="28"/>
    </row>
    <row r="567" spans="8:8" x14ac:dyDescent="0.2">
      <c r="H567" s="28"/>
    </row>
    <row r="568" spans="8:8" x14ac:dyDescent="0.2">
      <c r="H568" s="28"/>
    </row>
    <row r="569" spans="8:8" x14ac:dyDescent="0.2">
      <c r="H569" s="28"/>
    </row>
    <row r="570" spans="8:8" x14ac:dyDescent="0.2">
      <c r="H570" s="28"/>
    </row>
    <row r="571" spans="8:8" x14ac:dyDescent="0.2">
      <c r="H571" s="28"/>
    </row>
    <row r="572" spans="8:8" x14ac:dyDescent="0.2">
      <c r="H572" s="28"/>
    </row>
    <row r="573" spans="8:8" x14ac:dyDescent="0.2">
      <c r="H573" s="28"/>
    </row>
    <row r="574" spans="8:8" x14ac:dyDescent="0.2">
      <c r="H574" s="28"/>
    </row>
    <row r="575" spans="8:8" x14ac:dyDescent="0.2">
      <c r="H575" s="28"/>
    </row>
    <row r="576" spans="8:8" x14ac:dyDescent="0.2">
      <c r="H576" s="28"/>
    </row>
    <row r="577" spans="8:8" x14ac:dyDescent="0.2">
      <c r="H577" s="28"/>
    </row>
    <row r="578" spans="8:8" x14ac:dyDescent="0.2">
      <c r="H578" s="28"/>
    </row>
    <row r="579" spans="8:8" x14ac:dyDescent="0.2">
      <c r="H579" s="28"/>
    </row>
    <row r="580" spans="8:8" x14ac:dyDescent="0.2">
      <c r="H580" s="28"/>
    </row>
    <row r="581" spans="8:8" x14ac:dyDescent="0.2">
      <c r="H581" s="28"/>
    </row>
    <row r="582" spans="8:8" x14ac:dyDescent="0.2">
      <c r="H582" s="28"/>
    </row>
    <row r="583" spans="8:8" x14ac:dyDescent="0.2">
      <c r="H583" s="28"/>
    </row>
    <row r="584" spans="8:8" x14ac:dyDescent="0.2">
      <c r="H584" s="28"/>
    </row>
    <row r="585" spans="8:8" x14ac:dyDescent="0.2">
      <c r="H585" s="28"/>
    </row>
    <row r="586" spans="8:8" x14ac:dyDescent="0.2">
      <c r="H586" s="28"/>
    </row>
    <row r="587" spans="8:8" x14ac:dyDescent="0.2">
      <c r="H587" s="28"/>
    </row>
    <row r="588" spans="8:8" x14ac:dyDescent="0.2">
      <c r="H588" s="28"/>
    </row>
    <row r="589" spans="8:8" x14ac:dyDescent="0.2">
      <c r="H589" s="28"/>
    </row>
    <row r="590" spans="8:8" x14ac:dyDescent="0.2">
      <c r="H590" s="28"/>
    </row>
    <row r="591" spans="8:8" x14ac:dyDescent="0.2">
      <c r="H591" s="28"/>
    </row>
    <row r="592" spans="8:8" x14ac:dyDescent="0.2">
      <c r="H592" s="28"/>
    </row>
    <row r="593" spans="8:8" x14ac:dyDescent="0.2">
      <c r="H593" s="28"/>
    </row>
    <row r="594" spans="8:8" x14ac:dyDescent="0.2">
      <c r="H594" s="28"/>
    </row>
    <row r="595" spans="8:8" x14ac:dyDescent="0.2">
      <c r="H595" s="28"/>
    </row>
    <row r="596" spans="8:8" x14ac:dyDescent="0.2">
      <c r="H596" s="28"/>
    </row>
    <row r="597" spans="8:8" x14ac:dyDescent="0.2">
      <c r="H597" s="28"/>
    </row>
    <row r="598" spans="8:8" x14ac:dyDescent="0.2">
      <c r="H598" s="28"/>
    </row>
    <row r="599" spans="8:8" x14ac:dyDescent="0.2">
      <c r="H599" s="28"/>
    </row>
    <row r="600" spans="8:8" x14ac:dyDescent="0.2">
      <c r="H600" s="28"/>
    </row>
    <row r="601" spans="8:8" x14ac:dyDescent="0.2">
      <c r="H601" s="28"/>
    </row>
    <row r="602" spans="8:8" x14ac:dyDescent="0.2">
      <c r="H602" s="28"/>
    </row>
    <row r="603" spans="8:8" x14ac:dyDescent="0.2">
      <c r="H603" s="28"/>
    </row>
    <row r="604" spans="8:8" x14ac:dyDescent="0.2">
      <c r="H604" s="28"/>
    </row>
    <row r="605" spans="8:8" x14ac:dyDescent="0.2">
      <c r="H605" s="28"/>
    </row>
    <row r="606" spans="8:8" x14ac:dyDescent="0.2">
      <c r="H606" s="28"/>
    </row>
    <row r="607" spans="8:8" x14ac:dyDescent="0.2">
      <c r="H607" s="28"/>
    </row>
    <row r="608" spans="8:8" x14ac:dyDescent="0.2">
      <c r="H608" s="28"/>
    </row>
    <row r="609" spans="8:8" x14ac:dyDescent="0.2">
      <c r="H609" s="28"/>
    </row>
    <row r="610" spans="8:8" x14ac:dyDescent="0.2">
      <c r="H610" s="28"/>
    </row>
    <row r="611" spans="8:8" x14ac:dyDescent="0.2">
      <c r="H611" s="28"/>
    </row>
    <row r="612" spans="8:8" x14ac:dyDescent="0.2">
      <c r="H612" s="28"/>
    </row>
    <row r="613" spans="8:8" x14ac:dyDescent="0.2">
      <c r="H613" s="28"/>
    </row>
    <row r="614" spans="8:8" x14ac:dyDescent="0.2">
      <c r="H614" s="28"/>
    </row>
    <row r="615" spans="8:8" x14ac:dyDescent="0.2">
      <c r="H615" s="28"/>
    </row>
    <row r="616" spans="8:8" x14ac:dyDescent="0.2">
      <c r="H616" s="28"/>
    </row>
    <row r="617" spans="8:8" x14ac:dyDescent="0.2">
      <c r="H617" s="28"/>
    </row>
    <row r="618" spans="8:8" x14ac:dyDescent="0.2">
      <c r="H618" s="28"/>
    </row>
    <row r="619" spans="8:8" x14ac:dyDescent="0.2">
      <c r="H619" s="28"/>
    </row>
    <row r="620" spans="8:8" x14ac:dyDescent="0.2">
      <c r="H620" s="28"/>
    </row>
    <row r="621" spans="8:8" x14ac:dyDescent="0.2">
      <c r="H621" s="28"/>
    </row>
    <row r="622" spans="8:8" x14ac:dyDescent="0.2">
      <c r="H622" s="28"/>
    </row>
    <row r="623" spans="8:8" x14ac:dyDescent="0.2">
      <c r="H623" s="28"/>
    </row>
    <row r="624" spans="8:8" x14ac:dyDescent="0.2">
      <c r="H624" s="28"/>
    </row>
    <row r="625" spans="8:8" x14ac:dyDescent="0.2">
      <c r="H625" s="28"/>
    </row>
    <row r="626" spans="8:8" x14ac:dyDescent="0.2">
      <c r="H626" s="28"/>
    </row>
    <row r="627" spans="8:8" x14ac:dyDescent="0.2">
      <c r="H627" s="28"/>
    </row>
    <row r="628" spans="8:8" x14ac:dyDescent="0.2">
      <c r="H628" s="28"/>
    </row>
    <row r="629" spans="8:8" x14ac:dyDescent="0.2">
      <c r="H629" s="28"/>
    </row>
    <row r="630" spans="8:8" x14ac:dyDescent="0.2">
      <c r="H630" s="28"/>
    </row>
    <row r="631" spans="8:8" x14ac:dyDescent="0.2">
      <c r="H631" s="28"/>
    </row>
    <row r="632" spans="8:8" x14ac:dyDescent="0.2">
      <c r="H632" s="28"/>
    </row>
    <row r="633" spans="8:8" x14ac:dyDescent="0.2">
      <c r="H633" s="28"/>
    </row>
    <row r="634" spans="8:8" x14ac:dyDescent="0.2">
      <c r="H634" s="28"/>
    </row>
    <row r="635" spans="8:8" x14ac:dyDescent="0.2">
      <c r="H635" s="28"/>
    </row>
  </sheetData>
  <phoneticPr fontId="5" type="noConversion"/>
  <conditionalFormatting sqref="O2:O276">
    <cfRule type="cellIs" dxfId="0" priority="1" operator="equal">
      <formula>#REF!</formula>
    </cfRule>
  </conditionalFormatting>
  <pageMargins left="0.5" right="0.5" top="1" bottom="1" header="0.5" footer="0.5"/>
  <pageSetup orientation="portrait" useFirstPageNumber="1" r:id="rId1"/>
  <headerFooter>
    <oddHeader>&amp;C&amp;"Times New Roman,Regular"&amp;12&amp;A</oddHeader>
    <oddFooter>&amp;C&amp;"Times New Roman,Regular"&amp;12Page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D464A-00D8-408E-AAB6-695348322136}">
  <dimension ref="A1:BB277"/>
  <sheetViews>
    <sheetView topLeftCell="E1" zoomScale="70" zoomScaleNormal="70" workbookViewId="0">
      <pane ySplit="1" topLeftCell="A2" activePane="bottomLeft" state="frozen"/>
      <selection activeCell="F1" sqref="F1"/>
      <selection pane="bottomLeft" activeCell="F1" sqref="F1"/>
    </sheetView>
  </sheetViews>
  <sheetFormatPr defaultColWidth="9.140625" defaultRowHeight="12.75" x14ac:dyDescent="0.2"/>
  <cols>
    <col min="1" max="1" width="9.140625" style="11"/>
    <col min="2" max="2" width="26.85546875" style="11" customWidth="1"/>
    <col min="3" max="3" width="47.7109375" style="11" customWidth="1"/>
    <col min="4" max="4" width="33.140625" style="11" customWidth="1"/>
    <col min="5" max="5" width="37.85546875" style="11" customWidth="1"/>
    <col min="6" max="6" width="15.5703125" style="11" customWidth="1"/>
    <col min="7" max="7" width="24.140625" style="11" customWidth="1"/>
    <col min="8" max="8" width="7" style="11" customWidth="1"/>
    <col min="9" max="9" width="7.5703125" style="11" customWidth="1"/>
    <col min="10" max="22" width="9.140625" style="11"/>
    <col min="23" max="23" width="24.85546875" style="11" customWidth="1"/>
    <col min="24" max="24" width="9.140625" style="11"/>
    <col min="25" max="25" width="29.28515625" style="11" customWidth="1"/>
    <col min="26" max="28" width="11.42578125" style="11" customWidth="1"/>
    <col min="29" max="29" width="15.42578125" style="11" customWidth="1"/>
    <col min="30" max="39" width="7.7109375" style="11" customWidth="1"/>
    <col min="40" max="40" width="31.28515625" style="11" customWidth="1"/>
    <col min="41" max="45" width="9.140625" style="11"/>
    <col min="46" max="46" width="10.5703125" style="11" customWidth="1"/>
    <col min="47" max="16384" width="9.140625" style="11"/>
  </cols>
  <sheetData>
    <row r="1" spans="1:54" s="2" customFormat="1" ht="51" x14ac:dyDescent="0.2">
      <c r="B1" s="2" t="s">
        <v>638</v>
      </c>
      <c r="C1" s="22" t="s">
        <v>638</v>
      </c>
      <c r="D1" s="22" t="s">
        <v>3607</v>
      </c>
      <c r="E1" s="2" t="s">
        <v>640</v>
      </c>
      <c r="G1" s="8" t="s">
        <v>638</v>
      </c>
      <c r="H1" s="8" t="s">
        <v>3570</v>
      </c>
      <c r="I1" s="8"/>
      <c r="J1" s="8" t="s">
        <v>4002</v>
      </c>
      <c r="K1" s="8" t="s">
        <v>4014</v>
      </c>
      <c r="L1" s="8" t="s">
        <v>4003</v>
      </c>
      <c r="M1" s="8"/>
      <c r="N1" s="8" t="s">
        <v>105</v>
      </c>
      <c r="O1" s="8" t="s">
        <v>324</v>
      </c>
      <c r="P1" s="8" t="s">
        <v>309</v>
      </c>
      <c r="Q1" s="8" t="s">
        <v>443</v>
      </c>
      <c r="R1" s="8" t="s">
        <v>107</v>
      </c>
      <c r="S1" s="8" t="s">
        <v>3959</v>
      </c>
      <c r="T1" s="8" t="s">
        <v>377</v>
      </c>
      <c r="U1" s="8" t="s">
        <v>161</v>
      </c>
      <c r="V1" s="8"/>
      <c r="W1" s="8" t="s">
        <v>639</v>
      </c>
      <c r="X1" s="8" t="s">
        <v>3570</v>
      </c>
      <c r="Y1" s="8"/>
      <c r="Z1" s="8" t="s">
        <v>4002</v>
      </c>
      <c r="AA1" s="8" t="s">
        <v>4014</v>
      </c>
      <c r="AB1" s="8" t="s">
        <v>4003</v>
      </c>
      <c r="AC1" s="8"/>
      <c r="AD1" s="8" t="s">
        <v>105</v>
      </c>
      <c r="AE1" s="8" t="s">
        <v>324</v>
      </c>
      <c r="AF1" s="8" t="s">
        <v>309</v>
      </c>
      <c r="AG1" s="8" t="s">
        <v>443</v>
      </c>
      <c r="AH1" s="8" t="s">
        <v>107</v>
      </c>
      <c r="AI1" s="8" t="s">
        <v>3959</v>
      </c>
      <c r="AJ1" s="8" t="s">
        <v>377</v>
      </c>
      <c r="AK1" s="8" t="s">
        <v>161</v>
      </c>
      <c r="AL1" s="8"/>
      <c r="AM1" s="8"/>
      <c r="AN1" s="8" t="s">
        <v>640</v>
      </c>
      <c r="AO1" s="8" t="s">
        <v>3570</v>
      </c>
      <c r="AP1" s="8"/>
      <c r="AQ1" s="8" t="s">
        <v>4002</v>
      </c>
      <c r="AR1" s="8" t="s">
        <v>4014</v>
      </c>
      <c r="AS1" s="8" t="s">
        <v>4003</v>
      </c>
      <c r="AT1" s="8"/>
      <c r="AU1" s="8" t="s">
        <v>105</v>
      </c>
      <c r="AV1" s="8" t="s">
        <v>324</v>
      </c>
      <c r="AW1" s="8" t="s">
        <v>309</v>
      </c>
      <c r="AX1" s="8" t="s">
        <v>443</v>
      </c>
      <c r="AY1" s="8" t="s">
        <v>107</v>
      </c>
      <c r="AZ1" s="8" t="s">
        <v>3959</v>
      </c>
      <c r="BA1" s="8" t="s">
        <v>377</v>
      </c>
      <c r="BB1" s="8" t="s">
        <v>161</v>
      </c>
    </row>
    <row r="2" spans="1:54" x14ac:dyDescent="0.2">
      <c r="A2" s="11">
        <v>1</v>
      </c>
      <c r="B2" s="11" t="s">
        <v>84</v>
      </c>
      <c r="E2" s="11" t="s">
        <v>90</v>
      </c>
      <c r="G2" s="11" t="s">
        <v>81</v>
      </c>
      <c r="H2" s="11">
        <f>COUNTIF($B$2:$B$496,"Yes")</f>
        <v>239</v>
      </c>
      <c r="J2" s="11">
        <f>COUNTIFS($B$2:$B$496,"Yes",'1'!$F$2:$F$496,"*staff*")</f>
        <v>47</v>
      </c>
      <c r="K2" s="11">
        <f>COUNTIFS($B$2:$B$496,"Yes",'1'!$F$2:$F$496,"*both*")</f>
        <v>165</v>
      </c>
      <c r="L2" s="11">
        <f>COUNTIFS($B$2:$B$496,"Yes",'1'!$F$2:$F$496,"*users work*")</f>
        <v>27</v>
      </c>
      <c r="N2" s="11">
        <f>COUNTIFS($B$2:$B$496,"Yes",'1'!$B$2:$B$496,"*flow cytometry*")</f>
        <v>47</v>
      </c>
      <c r="O2" s="11">
        <f>COUNTIFS($B$2:$B$496,"Yes",'1'!$B$2:$B$496,"*genomics*")</f>
        <v>25</v>
      </c>
      <c r="P2" s="11">
        <f>COUNTIFS($B$2:$B$496,"Yes",'1'!$B$2:$B$496,"*histology*")</f>
        <v>11</v>
      </c>
      <c r="Q2" s="11">
        <f>COUNTIFS($B$2:$B$496,"Yes",'1'!$B$2:$B$496,"*metabolomics*")</f>
        <v>6</v>
      </c>
      <c r="R2" s="11">
        <f>COUNTIFS($B$2:$B$496,"Yes",'1'!$B$2:$B$496,"*microscopy*")</f>
        <v>61</v>
      </c>
      <c r="S2" s="11">
        <f>COUNTIFS($B$2:$B$496,"Yes",'1'!$B$2:$B$496,"*mouse*")</f>
        <v>14</v>
      </c>
      <c r="T2" s="11">
        <f>COUNTIFS($B$2:$B$496,"Yes",'1'!$B$2:$B$496,"*protein expression*")</f>
        <v>6</v>
      </c>
      <c r="U2" s="11">
        <f>COUNTIFS($B$2:$B$496,"Yes",'1'!$B$2:$B$496,"*proteomics*")</f>
        <v>27</v>
      </c>
      <c r="W2" s="11" t="s">
        <v>3249</v>
      </c>
      <c r="X2" s="11">
        <f>COUNTIF($D$2:$D$496,"*equipment*")</f>
        <v>61</v>
      </c>
      <c r="Z2" s="11">
        <f>COUNTIFS($D$2:$D$496,"*equipment*",'1'!$F$2:$F$496,"*staff*")</f>
        <v>2</v>
      </c>
      <c r="AA2" s="11">
        <f>COUNTIFS($D$2:$D$496,"*equipment*",'1'!$F$2:$F$496,"*both*")</f>
        <v>51</v>
      </c>
      <c r="AB2" s="11">
        <f>COUNTIFS($D$2:$D$496,"*equipment*",'1'!$F$2:$F$496,"*users work*")</f>
        <v>8</v>
      </c>
      <c r="AD2" s="11">
        <f>COUNTIFS($D$2:$D$496,"*equipment*",'1'!$B$2:$B$496,"*flow cytometry*")</f>
        <v>19</v>
      </c>
      <c r="AE2" s="11">
        <f>COUNTIFS($D$2:$D$496,"*equipment*",'1'!$B$2:$B$496,"*genomics*")</f>
        <v>4</v>
      </c>
      <c r="AF2" s="11">
        <f>COUNTIFS($D$2:$D$496,"*equipment*",'1'!$B$2:$B$496,"*histology*")</f>
        <v>4</v>
      </c>
      <c r="AG2" s="11">
        <f>COUNTIFS($D$2:$D$496,"*equipment*",'1'!$B$2:$B$496,"*metabolomics*")</f>
        <v>1</v>
      </c>
      <c r="AH2" s="11">
        <f>COUNTIFS($D$2:$D$496,"*equipment*",'1'!$B$2:$B$496,"*microscopy*")</f>
        <v>23</v>
      </c>
      <c r="AI2" s="11">
        <f>COUNTIFS($D$2:$D$496,"*equipment*",'1'!$B$2:$B$496,"*mouse*")</f>
        <v>1</v>
      </c>
      <c r="AJ2" s="11">
        <f>COUNTIFS($D$2:$D$496,"*equipment*",'1'!$B$2:$B$496,"*protein expression*")</f>
        <v>2</v>
      </c>
      <c r="AK2" s="11">
        <f>COUNTIFS($D$2:$D$496,"*equipment*",'1'!$B$2:$B$496,"*proteomics*")</f>
        <v>0</v>
      </c>
      <c r="AN2" s="11" t="s">
        <v>641</v>
      </c>
      <c r="AO2" s="11">
        <f>COUNTIF($E$2:$E$496,"unimportant")</f>
        <v>2</v>
      </c>
      <c r="AQ2" s="11">
        <f>COUNTIFS($E$2:$E$496,"unimportant",'1'!$F$2:$F$496,"*staff*")</f>
        <v>1</v>
      </c>
      <c r="AR2" s="11">
        <f>COUNTIFS($E$2:$E$496,"unimportant",'1'!$F$2:$F$496,"*both*")</f>
        <v>1</v>
      </c>
      <c r="AS2" s="11">
        <f>COUNTIFS($E$2:$E$496,"unimportant",'1'!$F$2:$F$496,"*users work*")</f>
        <v>0</v>
      </c>
      <c r="AU2" s="11">
        <f>COUNTIFS($E$2:$E$496,"unimportant",'1'!$B$2:$B$496,"*flow cytometry*")</f>
        <v>0</v>
      </c>
      <c r="AV2" s="11">
        <f>COUNTIFS($E$2:$E$496,"unimportant",'1'!$B$2:$B$496,"*genomics*")</f>
        <v>0</v>
      </c>
      <c r="AW2" s="11">
        <f>COUNTIFS($E$2:$E$496,"unimportant",'1'!$B$2:$B$496,"*histology*")</f>
        <v>0</v>
      </c>
      <c r="AX2" s="11">
        <f>COUNTIFS($E$2:$E$496,"unimportant",'1'!$B$2:$B$496,"*metabolomics*")</f>
        <v>0</v>
      </c>
      <c r="AY2" s="11">
        <f>COUNTIFS($E$2:$E$496,"unimportant",'1'!$B$2:$B$496,"*microscopy*")</f>
        <v>0</v>
      </c>
      <c r="AZ2" s="11">
        <f>COUNTIFS($E$2:$E$496,"unimportant",'1'!$B$2:$B$496,"*mouse*")</f>
        <v>0</v>
      </c>
      <c r="BA2" s="11">
        <f>COUNTIFS($E$2:$E$496,"unimportant",'1'!$B$2:$B$496,"*protein expression*")</f>
        <v>0</v>
      </c>
      <c r="BB2" s="11">
        <f>COUNTIFS($E$2:$E$496,"unimportant",'1'!$B$2:$B$496,"*proteomics*")</f>
        <v>0</v>
      </c>
    </row>
    <row r="3" spans="1:54" x14ac:dyDescent="0.2">
      <c r="A3" s="11">
        <v>2</v>
      </c>
      <c r="B3" s="11" t="s">
        <v>84</v>
      </c>
      <c r="E3" s="11" t="s">
        <v>90</v>
      </c>
      <c r="G3" s="11" t="s">
        <v>246</v>
      </c>
      <c r="H3" s="11">
        <f>COUNTIF($B$2:$B$496,"No")</f>
        <v>29</v>
      </c>
      <c r="J3" s="11">
        <f>COUNTIFS(B$2:B$496,"No",'1'!F$2:F$496,"*staff*")</f>
        <v>21</v>
      </c>
      <c r="K3" s="11">
        <f>COUNTIFS($B$2:$B$496,"No",'1'!$F$2:$F$496,"*both*")</f>
        <v>7</v>
      </c>
      <c r="L3" s="11">
        <f>COUNTIFS($B$2:$B$496,"No",'1'!$F$2:$F$496,"*users work*")</f>
        <v>1</v>
      </c>
      <c r="N3" s="11">
        <f>COUNTIFS($B$2:$B$496,"No",'1'!$B$2:$B$496,"*flow cytometry*")</f>
        <v>1</v>
      </c>
      <c r="O3" s="11">
        <f>COUNTIFS($B$2:$B$496,"No",'1'!$B$2:$B$496,"*genomics*")</f>
        <v>8</v>
      </c>
      <c r="P3" s="11">
        <f>COUNTIFS($B$2:$B$496,"No",'1'!$B$2:$B$496,"*histology*")</f>
        <v>0</v>
      </c>
      <c r="Q3" s="11">
        <f>COUNTIFS($B$2:$B$496,"No",'1'!$B$2:$B$496,"*metabolomics*")</f>
        <v>2</v>
      </c>
      <c r="R3" s="11">
        <f>COUNTIFS($B$2:$B$496,"No",'1'!$B$2:$B$496,"*microscopy*")</f>
        <v>2</v>
      </c>
      <c r="S3" s="11">
        <f>COUNTIFS($B$2:$B$496,"No",'1'!$B$2:$B$496,"*mouse*")</f>
        <v>1</v>
      </c>
      <c r="T3" s="11">
        <f>COUNTIFS($B$2:$B$496,"No",'1'!$B$2:$B$496,"*protein expression*")</f>
        <v>2</v>
      </c>
      <c r="U3" s="11">
        <f>COUNTIFS($B$2:$B$496,"No",'1'!$B$2:$B$496,"*proteomics*")</f>
        <v>6</v>
      </c>
      <c r="W3" s="11" t="s">
        <v>3248</v>
      </c>
      <c r="X3" s="11">
        <f>COUNTIF($D$2:$D$496,"*technique*")</f>
        <v>43</v>
      </c>
      <c r="Z3" s="11">
        <f>COUNTIFS($D$2:$D$496,"*technique*",'1'!$F$2:$F$496,"*staff*")</f>
        <v>9</v>
      </c>
      <c r="AA3" s="11">
        <f>COUNTIFS($D$2:$D$496,"*technique*",'1'!$F$2:$F$496,"*both*")</f>
        <v>31</v>
      </c>
      <c r="AB3" s="11">
        <f>COUNTIFS($D$2:$D$496,"*technique*",'1'!$F$2:$F$496,"*users work*")</f>
        <v>3</v>
      </c>
      <c r="AD3" s="11">
        <f>COUNTIFS($D$2:$D$496,"*technique*",'1'!$B$2:$B$496,"*flow cytometry*")</f>
        <v>6</v>
      </c>
      <c r="AE3" s="11">
        <f>COUNTIFS($D$2:$D$496,"*technique*",'1'!$B$2:$B$496,"*genomics*")</f>
        <v>1</v>
      </c>
      <c r="AF3" s="11">
        <f>COUNTIFS($D$2:$D$496,"*technique*",'1'!$B$2:$B$496,"*histology*")</f>
        <v>4</v>
      </c>
      <c r="AG3" s="11">
        <f>COUNTIFS($D$2:$D$496,"*technique*",'1'!$B$2:$B$496,"*metabolomics*")</f>
        <v>0</v>
      </c>
      <c r="AH3" s="11">
        <f>COUNTIFS($D$2:$D$496,"*technique*",'1'!$B$2:$B$496,"*microscopy*")</f>
        <v>9</v>
      </c>
      <c r="AI3" s="11">
        <f>COUNTIFS($D$2:$D$496,"*technique*",'1'!$B$2:$B$496,"*mouse*")</f>
        <v>5</v>
      </c>
      <c r="AJ3" s="11">
        <f>COUNTIFS($D$2:$D$496,"*technique*",'1'!$B$2:$B$496,"*protein expression*")</f>
        <v>2</v>
      </c>
      <c r="AK3" s="11">
        <f>COUNTIFS($D$2:$D$496,"*technique*",'1'!$B$2:$B$496,"*proteomics*")</f>
        <v>6</v>
      </c>
      <c r="AN3" s="11" t="s">
        <v>296</v>
      </c>
      <c r="AO3" s="11">
        <f>COUNTIF($E$2:$E$496,"slightly important")</f>
        <v>10</v>
      </c>
      <c r="AQ3" s="11">
        <f>COUNTIFS($E$2:$E$496,"slightly important",'1'!$F$2:$F$496,"*staff*")</f>
        <v>9</v>
      </c>
      <c r="AR3" s="11">
        <f>COUNTIFS($E$2:$E$496,"slightly important",'1'!$F$2:$F$496,"*both*")</f>
        <v>1</v>
      </c>
      <c r="AS3" s="11">
        <f>COUNTIFS($E$2:$E$496,"slightly important",'1'!$F$2:$F$496,"*users work*")</f>
        <v>0</v>
      </c>
      <c r="AU3" s="11">
        <f>COUNTIFS($E$2:$E$496,"slightly important",'1'!$B$2:$B$496,"*flow cytometry*")</f>
        <v>1</v>
      </c>
      <c r="AV3" s="11">
        <f>COUNTIFS($E$2:$E$496,"slightly important",'1'!$B$2:$B$496,"*genomics*")</f>
        <v>1</v>
      </c>
      <c r="AW3" s="11">
        <f>COUNTIFS($E$2:$E$496,"slightly important",'1'!$B$2:$B$496,"*histology*")</f>
        <v>0</v>
      </c>
      <c r="AX3" s="11">
        <f>COUNTIFS($E$2:$E$496,"slightly important",'1'!$B$2:$B$496,"*metabolomics*")</f>
        <v>1</v>
      </c>
      <c r="AY3" s="11">
        <f>COUNTIFS($E$2:$E$496,"slightly important",'1'!$B$2:$B$496,"*microscopy*")</f>
        <v>1</v>
      </c>
      <c r="AZ3" s="11">
        <f>COUNTIFS($E$2:$E$496,"slightly important",'1'!$B$2:$B$496,"*mouse*")</f>
        <v>0</v>
      </c>
      <c r="BA3" s="11">
        <f>COUNTIFS($E$2:$E$496,"slightly important",'1'!$B$2:$B$496,"*protein expression*")</f>
        <v>1</v>
      </c>
      <c r="BB3" s="11">
        <f>COUNTIFS($E$2:$E$496,"slightly important",'1'!$B$2:$B$496,"*proteomics*")</f>
        <v>1</v>
      </c>
    </row>
    <row r="4" spans="1:54" ht="76.5" x14ac:dyDescent="0.2">
      <c r="A4" s="11">
        <v>3</v>
      </c>
      <c r="B4" s="11" t="s">
        <v>84</v>
      </c>
      <c r="C4" s="11" t="s">
        <v>124</v>
      </c>
      <c r="D4" s="11" t="s">
        <v>3777</v>
      </c>
      <c r="E4" s="11" t="s">
        <v>126</v>
      </c>
      <c r="H4" s="11">
        <f>SUM(H2:H3)</f>
        <v>268</v>
      </c>
      <c r="W4" s="11" t="s">
        <v>3049</v>
      </c>
      <c r="X4" s="11">
        <f>COUNTIF($D$2:$D$496,"*theoretical*")</f>
        <v>42</v>
      </c>
      <c r="Z4" s="11">
        <f>COUNTIFS($D$2:$D$496,"*theoretical*",'1'!$F$2:$F$496,"*staff*")</f>
        <v>17</v>
      </c>
      <c r="AA4" s="11">
        <f>COUNTIFS($D$2:$D$496,"*theoretical*",'1'!$F$2:$F$496,"*both*")</f>
        <v>22</v>
      </c>
      <c r="AB4" s="11">
        <f>COUNTIFS($D$2:$D$496,"*theoretical*",'1'!$F$2:$F$496,"*users work*")</f>
        <v>3</v>
      </c>
      <c r="AD4" s="11">
        <f>COUNTIFS($D$2:$D$496,"*theoretical*",'1'!$B$2:$B$496,"*flow cytometry*")</f>
        <v>8</v>
      </c>
      <c r="AE4" s="11">
        <f>COUNTIFS($D$2:$D$496,"*theoretical*",'1'!$B$2:$B$496,"*genomics*")</f>
        <v>6</v>
      </c>
      <c r="AF4" s="11">
        <f>COUNTIFS($D$2:$D$496,"*theoretical*",'1'!$B$2:$B$496,"*histology*")</f>
        <v>1</v>
      </c>
      <c r="AG4" s="11">
        <f>COUNTIFS($D$2:$D$496,"*theoretical*",'1'!$B$2:$B$496,"*metabolomics*")</f>
        <v>0</v>
      </c>
      <c r="AH4" s="11">
        <f>COUNTIFS($D$2:$D$496,"*theoretical*",'1'!$B$2:$B$496,"*microscopy*")</f>
        <v>10</v>
      </c>
      <c r="AI4" s="11">
        <f>COUNTIFS($D$2:$D$496,"*theoretical*",'1'!$B$2:$B$496,"*mouse*")</f>
        <v>3</v>
      </c>
      <c r="AJ4" s="11">
        <f>COUNTIFS($D$2:$D$496,"*theoretical*",'1'!$B$2:$B$496,"*protein expression*")</f>
        <v>1</v>
      </c>
      <c r="AK4" s="11">
        <f>COUNTIFS($D$2:$D$496,"*theoretical*",'1'!$B$2:$B$496,"*proteomics*")</f>
        <v>7</v>
      </c>
      <c r="AN4" s="11" t="s">
        <v>90</v>
      </c>
      <c r="AO4" s="11">
        <f>COUNTIF($E$2:$E$496,"moderately important")</f>
        <v>22</v>
      </c>
      <c r="AQ4" s="11">
        <f>COUNTIFS($E$2:$E$496,"moderately important",'1'!$F$2:$F$496,"*staff*")</f>
        <v>10</v>
      </c>
      <c r="AR4" s="11">
        <f>COUNTIFS($E$2:$E$496,"moderately important",'1'!$F$2:$F$496,"*both*")</f>
        <v>12</v>
      </c>
      <c r="AS4" s="11">
        <f>COUNTIFS($E$2:$E$496,"moderately important",'1'!$F$2:$F$496,"*users work*")</f>
        <v>0</v>
      </c>
      <c r="AU4" s="11">
        <f>COUNTIFS($E$2:$E$496,"moderately important",'1'!$B$2:$B$496,"*flow cytometry*")</f>
        <v>2</v>
      </c>
      <c r="AV4" s="11">
        <f>COUNTIFS($E$2:$E$496,"moderately important",'1'!$B$2:$B$496,"*genomics*")</f>
        <v>6</v>
      </c>
      <c r="AW4" s="11">
        <f>COUNTIFS($E$2:$E$496,"moderately important",'1'!$B$2:$B$496,"*histology*")</f>
        <v>0</v>
      </c>
      <c r="AX4" s="11">
        <f>COUNTIFS($E$2:$E$496,"moderately important",'1'!$B$2:$B$496,"*metabolomics*")</f>
        <v>0</v>
      </c>
      <c r="AY4" s="11">
        <f>COUNTIFS($E$2:$E$496,"moderately important",'1'!$B$2:$B$496,"*microscopy*")</f>
        <v>2</v>
      </c>
      <c r="AZ4" s="11">
        <f>COUNTIFS($E$2:$E$496,"moderately important",'1'!$B$2:$B$496,"*mouse*")</f>
        <v>1</v>
      </c>
      <c r="BA4" s="11">
        <f>COUNTIFS($E$2:$E$496,"moderately important",'1'!$B$2:$B$496,"*protein expression*")</f>
        <v>0</v>
      </c>
      <c r="BB4" s="11">
        <f>COUNTIFS($E$2:$E$496,"moderately important",'1'!$B$2:$B$496,"*proteomics*")</f>
        <v>7</v>
      </c>
    </row>
    <row r="5" spans="1:54" ht="25.5" x14ac:dyDescent="0.2">
      <c r="A5" s="11">
        <v>4</v>
      </c>
      <c r="B5" s="11" t="s">
        <v>84</v>
      </c>
      <c r="E5" s="11" t="s">
        <v>140</v>
      </c>
      <c r="W5" s="11" t="s">
        <v>3252</v>
      </c>
      <c r="X5" s="11">
        <f>COUNTIF($D$2:$D$496,"*analysis*")</f>
        <v>36</v>
      </c>
      <c r="Z5" s="11">
        <f>COUNTIFS($D$2:$D$496,"*analysis*",'1'!$F$2:$F$496,"*staff*")</f>
        <v>8</v>
      </c>
      <c r="AA5" s="11">
        <f>COUNTIFS($D$2:$D$496,"*analysis*",'1'!$F$2:$F$496,"*both*")</f>
        <v>26</v>
      </c>
      <c r="AB5" s="11">
        <f>COUNTIFS($D$2:$D$496,"*analysis*",'1'!$F$2:$F$496,"*users work*")</f>
        <v>2</v>
      </c>
      <c r="AD5" s="11">
        <f>COUNTIFS($D$2:$D$496,"*analysis*",'1'!$B$2:$B$496,"*flow cytometry*")</f>
        <v>5</v>
      </c>
      <c r="AE5" s="11">
        <f>COUNTIFS($D$2:$D$496,"*analysis*",'1'!$B$2:$B$496,"*genomics*")</f>
        <v>2</v>
      </c>
      <c r="AF5" s="11">
        <f>COUNTIFS($D$2:$D$496,"*analysis*",'1'!$B$2:$B$496,"*histology*")</f>
        <v>2</v>
      </c>
      <c r="AG5" s="11">
        <f>COUNTIFS($D$2:$D$496,"*analysis*",'1'!$B$2:$B$496,"*metabolomics*")</f>
        <v>4</v>
      </c>
      <c r="AH5" s="11">
        <f>COUNTIFS($D$2:$D$496,"*analysis*",'1'!$B$2:$B$496,"*microscopy*")</f>
        <v>5</v>
      </c>
      <c r="AI5" s="11">
        <f>COUNTIFS($D$2:$D$496,"*analysis*",'1'!$B$2:$B$496,"*mouse*")</f>
        <v>0</v>
      </c>
      <c r="AJ5" s="11">
        <f>COUNTIFS($D$2:$D$496,"*analysis*",'1'!$B$2:$B$496,"*protein expression*")</f>
        <v>1</v>
      </c>
      <c r="AK5" s="11">
        <f>COUNTIFS($D$2:$D$496,"*analysis*",'1'!$B$2:$B$496,"*proteomics*")</f>
        <v>8</v>
      </c>
      <c r="AN5" s="11" t="s">
        <v>140</v>
      </c>
      <c r="AO5" s="11">
        <f>COUNTIF($E$2:$E$496,"important")</f>
        <v>57</v>
      </c>
      <c r="AQ5" s="11">
        <f>COUNTIFS($E$2:$E$496,"important",'1'!$F$2:$F$496,"*staff*")</f>
        <v>23</v>
      </c>
      <c r="AR5" s="11">
        <f>COUNTIFS($E$2:$E$496,"important",'1'!$F$2:$F$496,"*both*")</f>
        <v>32</v>
      </c>
      <c r="AS5" s="11">
        <f>COUNTIFS($E$2:$E$496,"important",'1'!$F$2:$F$496,"*users work*")</f>
        <v>2</v>
      </c>
      <c r="AU5" s="11">
        <f>COUNTIFS($E$2:$E$496,"important",'1'!$B$2:$B$496,"*flow cytometry*")</f>
        <v>7</v>
      </c>
      <c r="AV5" s="11">
        <f>COUNTIFS($E$2:$E$496,"important",'1'!$B$2:$B$496,"*genomics*")</f>
        <v>15</v>
      </c>
      <c r="AW5" s="11">
        <f>COUNTIFS($E$2:$E$496,"important",'1'!$B$2:$B$496,"*histology*")</f>
        <v>1</v>
      </c>
      <c r="AX5" s="11">
        <f>COUNTIFS($E$2:$E$496,"important",'1'!$B$2:$B$496,"*metabolomics*")</f>
        <v>2</v>
      </c>
      <c r="AY5" s="11">
        <f>COUNTIFS($E$2:$E$496,"important",'1'!$B$2:$B$496,"*microscopy*")</f>
        <v>3</v>
      </c>
      <c r="AZ5" s="11">
        <f>COUNTIFS($E$2:$E$496,"important",'1'!$B$2:$B$496,"*mouse*")</f>
        <v>2</v>
      </c>
      <c r="BA5" s="11">
        <f>COUNTIFS($E$2:$E$496,"important",'1'!$B$2:$B$496,"*protein expression*")</f>
        <v>2</v>
      </c>
      <c r="BB5" s="11">
        <f>COUNTIFS($E$2:$E$496,"important",'1'!$B$2:$B$496,"*proteomics*")</f>
        <v>12</v>
      </c>
    </row>
    <row r="6" spans="1:54" ht="25.5" x14ac:dyDescent="0.2">
      <c r="A6" s="11">
        <v>5</v>
      </c>
      <c r="B6" s="11" t="s">
        <v>84</v>
      </c>
      <c r="D6" s="7" t="s">
        <v>3010</v>
      </c>
      <c r="E6" s="11" t="s">
        <v>126</v>
      </c>
      <c r="W6" s="11" t="s">
        <v>2122</v>
      </c>
      <c r="X6" s="11">
        <f>COUNTIF($D$2:$D$496,"*sample*")</f>
        <v>25</v>
      </c>
      <c r="Z6" s="11">
        <f>COUNTIFS($D$2:$D$496,"*sample*",'1'!$F$2:$F$496,"*staff*")</f>
        <v>7</v>
      </c>
      <c r="AA6" s="11">
        <f>COUNTIFS($D$2:$D$496,"*sample*",'1'!$F$2:$F$496,"*both*")</f>
        <v>13</v>
      </c>
      <c r="AB6" s="11">
        <f>COUNTIFS($D$2:$D$496,"*sample*",'1'!$F$2:$F$496,"*users work*")</f>
        <v>5</v>
      </c>
      <c r="AD6" s="11">
        <f>COUNTIFS($D$2:$D$496,"*sample*",'1'!$B$2:$B$496,"*flow cytometry*")</f>
        <v>4</v>
      </c>
      <c r="AE6" s="11">
        <f>COUNTIFS($D$2:$D$496,"*sample*",'1'!$B$2:$B$496,"*genomics*")</f>
        <v>0</v>
      </c>
      <c r="AF6" s="11">
        <f>COUNTIFS($D$2:$D$496,"*sample*",'1'!$B$2:$B$496,"*histology*")</f>
        <v>2</v>
      </c>
      <c r="AG6" s="11">
        <f>COUNTIFS($D$2:$D$496,"*sample*",'1'!$B$2:$B$496,"*metabolomics*")</f>
        <v>3</v>
      </c>
      <c r="AH6" s="11">
        <f>COUNTIFS($D$2:$D$496,"*sample*",'1'!$B$2:$B$496,"*microscopy*")</f>
        <v>8</v>
      </c>
      <c r="AI6" s="11">
        <f>COUNTIFS($D$2:$D$496,"*sample*",'1'!$B$2:$B$496,"*mouse*")</f>
        <v>0</v>
      </c>
      <c r="AJ6" s="11">
        <f>COUNTIFS($D$2:$D$496,"*sample*",'1'!$B$2:$B$496,"*protein expression*")</f>
        <v>0</v>
      </c>
      <c r="AK6" s="11">
        <f>COUNTIFS($D$2:$D$496,"*sample*",'1'!$B$2:$B$496,"*proteomics*")</f>
        <v>7</v>
      </c>
      <c r="AN6" s="11" t="s">
        <v>126</v>
      </c>
      <c r="AO6" s="11">
        <f>COUNTIF($E$2:$E$496,"very important")</f>
        <v>185</v>
      </c>
      <c r="AQ6" s="11">
        <f>COUNTIFS($E$2:$E$496,"very important",'1'!$F$2:$F$496,"*staff*")</f>
        <v>30</v>
      </c>
      <c r="AR6" s="11">
        <f>COUNTIFS($E$2:$E$496,"very important",'1'!$F$2:$F$496,"*both*")</f>
        <v>129</v>
      </c>
      <c r="AS6" s="11">
        <f>COUNTIFS($E$2:$E$496,"very important",'1'!$F$2:$F$496,"*users work*")</f>
        <v>26</v>
      </c>
      <c r="AU6" s="11">
        <f>COUNTIFS($E$2:$E$496,"very important",'1'!$B$2:$B$496,"*flow cytometry*")</f>
        <v>40</v>
      </c>
      <c r="AV6" s="11">
        <f>COUNTIFS($E$2:$E$496,"very important",'1'!$B$2:$B$496,"*genomics*")</f>
        <v>11</v>
      </c>
      <c r="AW6" s="11">
        <f>COUNTIFS($E$2:$E$496,"very important",'1'!$B$2:$B$496,"*histology*")</f>
        <v>10</v>
      </c>
      <c r="AX6" s="11">
        <f>COUNTIFS($E$2:$E$496,"very important",'1'!$B$2:$B$496,"*metabolomics*")</f>
        <v>5</v>
      </c>
      <c r="AY6" s="11">
        <f>COUNTIFS($E$2:$E$496,"very important",'1'!$B$2:$B$496,"*microscopy*")</f>
        <v>57</v>
      </c>
      <c r="AZ6" s="11">
        <f>COUNTIFS($E$2:$E$496,"very important",'1'!$B$2:$B$496,"*mouse*")</f>
        <v>13</v>
      </c>
      <c r="BA6" s="11">
        <f>COUNTIFS($E$2:$E$496,"very important",'1'!$B$2:$B$496,"*protein expression*")</f>
        <v>5</v>
      </c>
      <c r="BB6" s="11">
        <f>COUNTIFS($E$2:$E$496,"very important",'1'!$B$2:$B$496,"*proteomics*")</f>
        <v>15</v>
      </c>
    </row>
    <row r="7" spans="1:54" x14ac:dyDescent="0.2">
      <c r="A7" s="11">
        <v>6</v>
      </c>
      <c r="B7" s="11" t="s">
        <v>84</v>
      </c>
      <c r="D7" s="11" t="s">
        <v>3013</v>
      </c>
      <c r="E7" s="11" t="s">
        <v>126</v>
      </c>
      <c r="W7" s="11" t="s">
        <v>3733</v>
      </c>
      <c r="X7" s="11">
        <f>COUNTIF($D$2:$D$496,"*quality*")</f>
        <v>21</v>
      </c>
      <c r="Z7" s="11">
        <f>COUNTIFS($D$2:$D$496,"*quality*",'1'!$F$2:$F$496,"*staff*")</f>
        <v>5</v>
      </c>
      <c r="AA7" s="11">
        <f>COUNTIFS($D$2:$D$496,"*quality*",'1'!$F$2:$F$496,"*both*")</f>
        <v>14</v>
      </c>
      <c r="AB7" s="11">
        <f>COUNTIFS($D$2:$D$496,"*quality*",'1'!$F$2:$F$496,"*users work*")</f>
        <v>2</v>
      </c>
      <c r="AD7" s="11">
        <f>COUNTIFS($D$2:$D$496,"*quality*",'1'!$B$2:$B$496,"*flow cytometry*")</f>
        <v>4</v>
      </c>
      <c r="AE7" s="11">
        <f>COUNTIFS($D$2:$D$496,"*quality*",'1'!$B$2:$B$496,"*genomics*")</f>
        <v>2</v>
      </c>
      <c r="AF7" s="11">
        <f>COUNTIFS($D$2:$D$496,"*quality*",'1'!$B$2:$B$496,"*histology*")</f>
        <v>1</v>
      </c>
      <c r="AG7" s="11">
        <f>COUNTIFS($D$2:$D$496,"*quality*",'1'!$B$2:$B$496,"*metabolomics*")</f>
        <v>0</v>
      </c>
      <c r="AH7" s="11">
        <f>COUNTIFS($D$2:$D$496,"*quality*",'1'!$B$2:$B$496,"*microscopy*")</f>
        <v>5</v>
      </c>
      <c r="AI7" s="11">
        <f>COUNTIFS($D$2:$D$496,"*quality*",'1'!$B$2:$B$496,"*mouse*")</f>
        <v>1</v>
      </c>
      <c r="AJ7" s="11">
        <f>COUNTIFS($D$2:$D$496,"*quality*",'1'!$B$2:$B$496,"*protein expression*")</f>
        <v>1</v>
      </c>
      <c r="AK7" s="11">
        <f>COUNTIFS($D$2:$D$496,"*quality*",'1'!$B$2:$B$496,"*proteomics*")</f>
        <v>0</v>
      </c>
      <c r="AO7" s="11">
        <f>SUM(AO2:AO6)</f>
        <v>276</v>
      </c>
    </row>
    <row r="8" spans="1:54" ht="25.5" x14ac:dyDescent="0.2">
      <c r="A8" s="11">
        <v>7</v>
      </c>
      <c r="B8" s="11" t="s">
        <v>84</v>
      </c>
      <c r="C8" s="11" t="s">
        <v>180</v>
      </c>
      <c r="D8" s="11" t="s">
        <v>181</v>
      </c>
      <c r="E8" s="11" t="s">
        <v>126</v>
      </c>
      <c r="W8" s="11" t="s">
        <v>3051</v>
      </c>
      <c r="X8" s="11">
        <f>COUNTIF($D$2:$D$496,"*safety*")</f>
        <v>19</v>
      </c>
      <c r="Z8" s="11">
        <f>COUNTIFS($D$2:$D$496,"*safety*",'1'!$F$2:$F$496,"*staff*")</f>
        <v>0</v>
      </c>
      <c r="AA8" s="11">
        <f>COUNTIFS($D$2:$D$496,"*safety*",'1'!$F$2:$F$496,"*both*")</f>
        <v>16</v>
      </c>
      <c r="AB8" s="11">
        <f>COUNTIFS($D$2:$D$496,"*safety*",'1'!$F$2:$F$496,"*users work*")</f>
        <v>3</v>
      </c>
      <c r="AD8" s="11">
        <f>COUNTIFS($D$2:$D$496,"*safety*",'1'!$B$2:$B$496,"*flow cytometry*")</f>
        <v>2</v>
      </c>
      <c r="AE8" s="11">
        <f>COUNTIFS($D$2:$D$496,"*safety*",'1'!$B$2:$B$496,"*genomics*")</f>
        <v>1</v>
      </c>
      <c r="AF8" s="11">
        <f>COUNTIFS($D$2:$D$496,"*safety*",'1'!$B$2:$B$496,"*histology*")</f>
        <v>1</v>
      </c>
      <c r="AG8" s="11">
        <f>COUNTIFS($D$2:$D$496,"*safety*",'1'!$B$2:$B$496,"*metabolomics*")</f>
        <v>0</v>
      </c>
      <c r="AH8" s="11">
        <f>COUNTIFS($D$2:$D$496,"*safety*",'1'!$B$2:$B$496,"*microscopy*")</f>
        <v>9</v>
      </c>
      <c r="AI8" s="11">
        <f>COUNTIFS($D$2:$D$496,"*safety*",'1'!$B$2:$B$496,"*mouse*")</f>
        <v>0</v>
      </c>
      <c r="AJ8" s="11">
        <f>COUNTIFS($D$2:$D$496,"*safety*",'1'!$B$2:$B$496,"*protein expression*")</f>
        <v>2</v>
      </c>
      <c r="AK8" s="11">
        <f>COUNTIFS($D$2:$D$496,"*safety*",'1'!$B$2:$B$496,"*proteomics*")</f>
        <v>0</v>
      </c>
    </row>
    <row r="9" spans="1:54" x14ac:dyDescent="0.2">
      <c r="A9" s="11">
        <v>8</v>
      </c>
      <c r="B9" s="11" t="s">
        <v>84</v>
      </c>
      <c r="D9" s="11" t="s">
        <v>198</v>
      </c>
      <c r="E9" s="11" t="s">
        <v>126</v>
      </c>
      <c r="W9" s="11" t="s">
        <v>1053</v>
      </c>
      <c r="X9" s="11">
        <f>COUNTIF($D$2:$D$496,"*design*")</f>
        <v>16</v>
      </c>
      <c r="Z9" s="11">
        <f>COUNTIFS($D$2:$D$496,"*design*",'1'!$F$2:$F$496,"*staff*")</f>
        <v>5</v>
      </c>
      <c r="AA9" s="11">
        <f>COUNTIFS($D$2:$D$496,"*design*",'1'!$F$2:$F$496,"*both*")</f>
        <v>10</v>
      </c>
      <c r="AB9" s="11">
        <f>COUNTIFS($D$2:$D$496,"*design*",'1'!$F$2:$F$496,"*users work*")</f>
        <v>1</v>
      </c>
      <c r="AD9" s="11">
        <f>COUNTIFS($D$2:$D$496,"*design*",'1'!$B$2:$B$496,"*flow cytometry*")</f>
        <v>3</v>
      </c>
      <c r="AE9" s="11">
        <f>COUNTIFS($D$2:$D$496,"*design*",'1'!$B$2:$B$496,"*genomics*")</f>
        <v>3</v>
      </c>
      <c r="AF9" s="11">
        <f>COUNTIFS($D$2:$D$496,"*design*",'1'!$B$2:$B$496,"*histology*")</f>
        <v>0</v>
      </c>
      <c r="AG9" s="11">
        <f>COUNTIFS($D$2:$D$496,"*design*",'1'!$B$2:$B$496,"*metabolomics*")</f>
        <v>1</v>
      </c>
      <c r="AH9" s="11">
        <f>COUNTIFS($D$2:$D$496,"*design*",'1'!$B$2:$B$496,"*microscopy*")</f>
        <v>1</v>
      </c>
      <c r="AI9" s="11">
        <f>COUNTIFS($D$2:$D$496,"*design*",'1'!$B$2:$B$496,"*mouse*")</f>
        <v>2</v>
      </c>
      <c r="AJ9" s="11">
        <f>COUNTIFS($D$2:$D$496,"*design*",'1'!$B$2:$B$496,"*protein expression*")</f>
        <v>0</v>
      </c>
      <c r="AK9" s="11">
        <f>COUNTIFS($D$2:$D$496,"*design*",'1'!$B$2:$B$496,"*proteomics*")</f>
        <v>1</v>
      </c>
    </row>
    <row r="10" spans="1:54" ht="25.5" x14ac:dyDescent="0.2">
      <c r="A10" s="11">
        <v>9</v>
      </c>
      <c r="B10" s="11" t="s">
        <v>84</v>
      </c>
      <c r="D10" s="11" t="s">
        <v>3734</v>
      </c>
      <c r="E10" s="11" t="s">
        <v>126</v>
      </c>
      <c r="W10" s="11" t="s">
        <v>3253</v>
      </c>
      <c r="X10" s="11">
        <f>COUNTIF($D$2:$D$496,"*independ*")</f>
        <v>14</v>
      </c>
      <c r="Z10" s="11">
        <f>COUNTIFS($D$2:$D$496,"*independ*",'1'!$F$2:$F$496,"*staff*")</f>
        <v>0</v>
      </c>
      <c r="AA10" s="11">
        <f>COUNTIFS($D$2:$D$496,"*independ*",'1'!$F$2:$F$496,"*both*")</f>
        <v>11</v>
      </c>
      <c r="AB10" s="11">
        <f>COUNTIFS($D$2:$D$496,"*independ*",'1'!$F$2:$F$496,"*users work*")</f>
        <v>3</v>
      </c>
      <c r="AD10" s="11">
        <f>COUNTIFS($D$2:$D$496,"*independ*",'1'!$B$2:$B$496,"*flow cytometry*")</f>
        <v>3</v>
      </c>
      <c r="AE10" s="11">
        <f>COUNTIFS($D$2:$D$496,"*independ*",'1'!$B$2:$B$496,"*genomics*")</f>
        <v>1</v>
      </c>
      <c r="AF10" s="11">
        <f>COUNTIFS($D$2:$D$496,"*independ*",'1'!$B$2:$B$496,"*histology*")</f>
        <v>1</v>
      </c>
      <c r="AG10" s="11">
        <f>COUNTIFS($D$2:$D$496,"*independ*",'1'!$B$2:$B$496,"*metabolomics*")</f>
        <v>0</v>
      </c>
      <c r="AH10" s="11">
        <f>COUNTIFS($D$2:$D$496,"*independ*",'1'!$B$2:$B$496,"*microscopy*")</f>
        <v>6</v>
      </c>
      <c r="AI10" s="11">
        <f>COUNTIFS($D$2:$D$496,"*independ*",'1'!$B$2:$B$496,"*mouse*")</f>
        <v>0</v>
      </c>
      <c r="AJ10" s="11">
        <f>COUNTIFS($D$2:$D$496,"*independ*",'1'!$B$2:$B$496,"*protein expression*")</f>
        <v>0</v>
      </c>
      <c r="AK10" s="11">
        <f>COUNTIFS($D$2:$D$496,"*independ*",'1'!$B$2:$B$496,"*proteomics*")</f>
        <v>0</v>
      </c>
    </row>
    <row r="11" spans="1:54" x14ac:dyDescent="0.2">
      <c r="A11" s="11">
        <v>10</v>
      </c>
      <c r="B11" s="11" t="s">
        <v>84</v>
      </c>
      <c r="D11" s="11" t="s">
        <v>3735</v>
      </c>
      <c r="E11" s="11" t="s">
        <v>126</v>
      </c>
      <c r="W11" s="11" t="s">
        <v>3250</v>
      </c>
      <c r="X11" s="11">
        <f>COUNTIF($D$2:$D$496,"*software*")</f>
        <v>13</v>
      </c>
      <c r="Z11" s="11">
        <f>COUNTIFS($D$2:$D$496,"*software*",'1'!$F$2:$F$496,"*staff*")</f>
        <v>1</v>
      </c>
      <c r="AA11" s="11">
        <f>COUNTIFS($D$2:$D$496,"*software*",'1'!$F$2:$F$496,"*both*")</f>
        <v>6</v>
      </c>
      <c r="AB11" s="11">
        <f>COUNTIFS($D$2:$D$496,"*software*",'1'!$F$2:$F$496,"*users work*")</f>
        <v>6</v>
      </c>
      <c r="AD11" s="11">
        <f>COUNTIFS($D$2:$D$496,"*software*",'1'!$B$2:$B$496,"*flow cytometry*")</f>
        <v>5</v>
      </c>
      <c r="AE11" s="11">
        <f>COUNTIFS($D$2:$D$496,"*software*",'1'!$B$2:$B$496,"*genomics*")</f>
        <v>0</v>
      </c>
      <c r="AF11" s="11">
        <f>COUNTIFS($D$2:$D$496,"*software*",'1'!$B$2:$B$496,"*histology*")</f>
        <v>1</v>
      </c>
      <c r="AG11" s="11">
        <f>COUNTIFS($D$2:$D$496,"*software*",'1'!$B$2:$B$496,"*metabolomics*")</f>
        <v>1</v>
      </c>
      <c r="AH11" s="11">
        <f>COUNTIFS($D$2:$D$496,"*software*",'1'!$B$2:$B$496,"*microscopy*")</f>
        <v>3</v>
      </c>
      <c r="AI11" s="11">
        <f>COUNTIFS($D$2:$D$496,"*software*",'1'!$B$2:$B$496,"*mouse*")</f>
        <v>0</v>
      </c>
      <c r="AJ11" s="11">
        <f>COUNTIFS($D$2:$D$496,"*software*",'1'!$B$2:$B$496,"*protein expression*")</f>
        <v>0</v>
      </c>
      <c r="AK11" s="11">
        <f>COUNTIFS($D$2:$D$496,"*software*",'1'!$B$2:$B$496,"*proteomics*")</f>
        <v>2</v>
      </c>
    </row>
    <row r="12" spans="1:54" x14ac:dyDescent="0.2">
      <c r="A12" s="11">
        <v>11</v>
      </c>
      <c r="B12" s="11" t="s">
        <v>84</v>
      </c>
      <c r="D12" s="7" t="s">
        <v>3736</v>
      </c>
      <c r="E12" s="11" t="s">
        <v>126</v>
      </c>
      <c r="W12" s="11" t="s">
        <v>3251</v>
      </c>
      <c r="X12" s="11">
        <f>COUNTIF($D$2:$D$496,"*limit*")</f>
        <v>10</v>
      </c>
      <c r="Z12" s="11">
        <f>COUNTIFS($D$2:$D$496,"*limit*",'1'!$F$2:$F$496,"*staff*")</f>
        <v>5</v>
      </c>
      <c r="AA12" s="11">
        <f>COUNTIFS($D$2:$D$496,"*limit*",'1'!$F$2:$F$496,"*both*")</f>
        <v>5</v>
      </c>
      <c r="AB12" s="11">
        <f>COUNTIFS($D$2:$D$496,"*limit*",'1'!$F$2:$F$496,"*users work*")</f>
        <v>0</v>
      </c>
      <c r="AD12" s="11">
        <f>COUNTIFS($D$2:$D$496,"*limit*",'1'!$B$2:$B$496,"*flow cytometry*")</f>
        <v>0</v>
      </c>
      <c r="AE12" s="11">
        <f>COUNTIFS($D$2:$D$496,"*limit*",'1'!$B$2:$B$496,"*genomics*")</f>
        <v>1</v>
      </c>
      <c r="AF12" s="11">
        <f>COUNTIFS($D$2:$D$496,"*limit*",'1'!$B$2:$B$496,"*histology*")</f>
        <v>1</v>
      </c>
      <c r="AG12" s="11">
        <f>COUNTIFS($D$2:$D$496,"*limit*",'1'!$B$2:$B$496,"*metabolomics*")</f>
        <v>0</v>
      </c>
      <c r="AH12" s="11">
        <f>COUNTIFS($D$2:$D$496,"*limit*",'1'!$B$2:$B$496,"*microscopy*")</f>
        <v>3</v>
      </c>
      <c r="AI12" s="11">
        <f>COUNTIFS($D$2:$D$496,"*limit*",'1'!$B$2:$B$496,"*mouse*")</f>
        <v>0</v>
      </c>
      <c r="AJ12" s="11">
        <f>COUNTIFS($D$2:$D$496,"*limit*",'1'!$B$2:$B$496,"*protein expression*")</f>
        <v>1</v>
      </c>
      <c r="AK12" s="11">
        <f>COUNTIFS($D$2:$D$496,"*limit*",'1'!$B$2:$B$496,"*proteomics*")</f>
        <v>3</v>
      </c>
    </row>
    <row r="13" spans="1:54" ht="89.25" x14ac:dyDescent="0.2">
      <c r="A13" s="11">
        <v>12</v>
      </c>
      <c r="B13" s="11" t="s">
        <v>82</v>
      </c>
      <c r="C13" s="11" t="s">
        <v>4200</v>
      </c>
      <c r="E13" s="11" t="s">
        <v>90</v>
      </c>
      <c r="W13" s="11" t="s">
        <v>3052</v>
      </c>
      <c r="X13" s="11">
        <f>COUNTIF($D$2:$D$496,"*controls*")</f>
        <v>7</v>
      </c>
      <c r="Z13" s="11">
        <f>COUNTIFS($D$2:$D$496,"*controls*",'1'!$F$2:$F$496,"*staff*")</f>
        <v>1</v>
      </c>
      <c r="AA13" s="11">
        <f>COUNTIFS($D$2:$D$496,"*controls*",'1'!$F$2:$F$496,"*both*")</f>
        <v>6</v>
      </c>
      <c r="AB13" s="11">
        <f>COUNTIFS($D$2:$D$496,"*controls*",'1'!$F$2:$F$496,"*users work*")</f>
        <v>0</v>
      </c>
      <c r="AD13" s="11">
        <f>COUNTIFS($D$2:$D$496,"*controls*",'1'!$B$2:$B$496,"*flow cytometry*")</f>
        <v>5</v>
      </c>
      <c r="AE13" s="11">
        <f>COUNTIFS($D$2:$D$496,"*controls*",'1'!$B$2:$B$496,"*genomics*")</f>
        <v>0</v>
      </c>
      <c r="AF13" s="11">
        <f>COUNTIFS($D$2:$D$496,"*controls*",'1'!$B$2:$B$496,"*histology*")</f>
        <v>0</v>
      </c>
      <c r="AG13" s="11">
        <f>COUNTIFS($D$2:$D$496,"*controls*",'1'!$B$2:$B$496,"*metabolomics*")</f>
        <v>0</v>
      </c>
      <c r="AH13" s="11">
        <f>COUNTIFS($D$2:$D$496,"*controls*",'1'!$B$2:$B$496,"*microscopy*")</f>
        <v>0</v>
      </c>
      <c r="AI13" s="11">
        <f>COUNTIFS($D$2:$D$496,"*controls*",'1'!$B$2:$B$496,"*mouse*")</f>
        <v>0</v>
      </c>
      <c r="AJ13" s="11">
        <f>COUNTIFS($D$2:$D$496,"*controls*",'1'!$B$2:$B$496,"*protein expression*")</f>
        <v>0</v>
      </c>
      <c r="AK13" s="11">
        <f>COUNTIFS($D$2:$D$496,"*controls*",'1'!$B$2:$B$496,"*proteomics*")</f>
        <v>1</v>
      </c>
    </row>
    <row r="14" spans="1:54" ht="25.5" x14ac:dyDescent="0.2">
      <c r="A14" s="11">
        <v>13</v>
      </c>
      <c r="B14" s="11" t="s">
        <v>84</v>
      </c>
      <c r="D14" s="11" t="s">
        <v>276</v>
      </c>
      <c r="E14" s="11" t="s">
        <v>126</v>
      </c>
      <c r="W14" s="11" t="s">
        <v>3050</v>
      </c>
      <c r="X14" s="11">
        <f>COUNTIF($D$2:$D$496,"*rules*")</f>
        <v>4</v>
      </c>
      <c r="Z14" s="11">
        <f>COUNTIFS($D$2:$D$496,"*rules*",'1'!$F$2:$F$496,"*staff*")</f>
        <v>0</v>
      </c>
      <c r="AA14" s="11">
        <f>COUNTIFS($D$2:$D$496,"*rules*",'1'!$F$2:$F$496,"*both*")</f>
        <v>3</v>
      </c>
      <c r="AB14" s="11">
        <f>COUNTIFS($D$2:$D$496,"*rules*",'1'!$F$2:$F$496,"*users work*")</f>
        <v>1</v>
      </c>
      <c r="AD14" s="11">
        <f>COUNTIFS($D$2:$D$496,"*rules*",'1'!$B$2:$B$496,"*flow cytometry*")</f>
        <v>1</v>
      </c>
      <c r="AE14" s="11">
        <f>COUNTIFS($D$2:$D$496,"*rules*",'1'!$B$2:$B$496,"*genomics*")</f>
        <v>0</v>
      </c>
      <c r="AF14" s="11">
        <f>COUNTIFS($D$2:$D$496,"*rules*",'1'!$B$2:$B$496,"*histology*")</f>
        <v>0</v>
      </c>
      <c r="AG14" s="11">
        <f>COUNTIFS($D$2:$D$496,"*rules*",'1'!$B$2:$B$496,"*metabolomics*")</f>
        <v>0</v>
      </c>
      <c r="AH14" s="11">
        <f>COUNTIFS($D$2:$D$496,"*rules*",'1'!$B$2:$B$496,"*microscopy*")</f>
        <v>1</v>
      </c>
      <c r="AI14" s="11">
        <f>COUNTIFS($D$2:$D$496,"*rules*",'1'!$B$2:$B$496,"*mouse*")</f>
        <v>1</v>
      </c>
      <c r="AJ14" s="11">
        <f>COUNTIFS($D$2:$D$496,"*rules*",'1'!$B$2:$B$496,"*protein expression*")</f>
        <v>0</v>
      </c>
      <c r="AK14" s="11">
        <f>COUNTIFS($D$2:$D$496,"*rules*",'1'!$B$2:$B$496,"*proteomics*")</f>
        <v>0</v>
      </c>
    </row>
    <row r="15" spans="1:54" ht="25.5" x14ac:dyDescent="0.2">
      <c r="A15" s="11">
        <v>14</v>
      </c>
      <c r="B15" s="11" t="s">
        <v>84</v>
      </c>
      <c r="C15" s="11" t="s">
        <v>3003</v>
      </c>
      <c r="D15" s="11" t="s">
        <v>3011</v>
      </c>
      <c r="E15" s="11" t="s">
        <v>296</v>
      </c>
      <c r="W15" s="11" t="s">
        <v>3218</v>
      </c>
      <c r="X15" s="11">
        <f>COUNTIF($D$2:$D$496,"*troubleshoot*")</f>
        <v>3</v>
      </c>
      <c r="Z15" s="11">
        <f>COUNTIFS($D$2:$D$496,"*troubleshoot*",'1'!$F$2:$F$496,"*staff*")</f>
        <v>0</v>
      </c>
      <c r="AA15" s="11">
        <f>COUNTIFS($D$2:$D$496,"*troubleshoot*",'1'!$F$2:$F$496,"*both*")</f>
        <v>3</v>
      </c>
      <c r="AB15" s="11">
        <f>COUNTIFS($D$2:$D$496,"*troubleshoot*",'1'!$F$2:$F$496,"*users work*")</f>
        <v>0</v>
      </c>
      <c r="AD15" s="11">
        <f>COUNTIFS($D$2:$D$496,"*troubleshoot*",'1'!$B$2:$B$496,"*flow cytometry*")</f>
        <v>2</v>
      </c>
      <c r="AE15" s="11">
        <f>COUNTIFS($D$2:$D$496,"*troubleshoot*",'1'!$B$2:$B$496,"*genomics*")</f>
        <v>0</v>
      </c>
      <c r="AF15" s="11">
        <f>COUNTIFS($D$2:$D$496,"*troubleshoot*",'1'!$B$2:$B$496,"*histology*")</f>
        <v>0</v>
      </c>
      <c r="AG15" s="11">
        <f>COUNTIFS($D$2:$D$496,"*troubleshoot*",'1'!$B$2:$B$496,"*metabolomics*")</f>
        <v>0</v>
      </c>
      <c r="AH15" s="11">
        <f>COUNTIFS($D$2:$D$496,"*troubleshoot*",'1'!$B$2:$B$496,"*microscopy*")</f>
        <v>0</v>
      </c>
      <c r="AI15" s="11">
        <f>COUNTIFS($D$2:$D$496,"*troubleshoot*",'1'!$B$2:$B$496,"*mouse*")</f>
        <v>1</v>
      </c>
      <c r="AJ15" s="11">
        <f>COUNTIFS($D$2:$D$496,"*troubleshoot*",'1'!$B$2:$B$496,"*protein expression*")</f>
        <v>0</v>
      </c>
      <c r="AK15" s="11">
        <f>COUNTIFS($D$2:$D$496,"*troubleshoot*",'1'!$B$2:$B$496,"*proteomics*")</f>
        <v>0</v>
      </c>
    </row>
    <row r="16" spans="1:54" ht="25.5" x14ac:dyDescent="0.2">
      <c r="A16" s="11">
        <v>15</v>
      </c>
      <c r="B16" s="11" t="s">
        <v>84</v>
      </c>
      <c r="D16" s="11" t="s">
        <v>3012</v>
      </c>
      <c r="E16" s="11" t="s">
        <v>126</v>
      </c>
    </row>
    <row r="17" spans="1:5" x14ac:dyDescent="0.2">
      <c r="A17" s="11">
        <v>16</v>
      </c>
      <c r="B17" s="11" t="s">
        <v>84</v>
      </c>
      <c r="E17" s="11" t="s">
        <v>126</v>
      </c>
    </row>
    <row r="18" spans="1:5" x14ac:dyDescent="0.2">
      <c r="A18" s="11">
        <v>17</v>
      </c>
      <c r="B18" s="11" t="s">
        <v>82</v>
      </c>
      <c r="E18" s="11" t="s">
        <v>126</v>
      </c>
    </row>
    <row r="19" spans="1:5" ht="38.25" x14ac:dyDescent="0.2">
      <c r="A19" s="11">
        <v>18</v>
      </c>
      <c r="B19" s="11" t="s">
        <v>84</v>
      </c>
      <c r="C19" s="11" t="s">
        <v>352</v>
      </c>
      <c r="D19" s="11" t="s">
        <v>3737</v>
      </c>
      <c r="E19" s="11" t="s">
        <v>140</v>
      </c>
    </row>
    <row r="20" spans="1:5" x14ac:dyDescent="0.2">
      <c r="A20" s="11">
        <v>19</v>
      </c>
      <c r="B20" s="33" t="s">
        <v>84</v>
      </c>
      <c r="C20" s="33"/>
      <c r="D20" s="33" t="s">
        <v>3738</v>
      </c>
      <c r="E20" s="33" t="s">
        <v>126</v>
      </c>
    </row>
    <row r="21" spans="1:5" ht="25.5" x14ac:dyDescent="0.2">
      <c r="A21" s="11">
        <v>20</v>
      </c>
      <c r="B21" s="33" t="s">
        <v>84</v>
      </c>
      <c r="C21" s="33"/>
      <c r="D21" s="33" t="s">
        <v>370</v>
      </c>
      <c r="E21" s="33" t="s">
        <v>126</v>
      </c>
    </row>
    <row r="22" spans="1:5" x14ac:dyDescent="0.2">
      <c r="A22" s="11">
        <v>21</v>
      </c>
      <c r="B22" s="11" t="s">
        <v>84</v>
      </c>
      <c r="E22" s="11" t="s">
        <v>140</v>
      </c>
    </row>
    <row r="23" spans="1:5" x14ac:dyDescent="0.2">
      <c r="A23" s="11">
        <v>22</v>
      </c>
      <c r="B23" s="11" t="s">
        <v>82</v>
      </c>
      <c r="E23" s="11" t="s">
        <v>140</v>
      </c>
    </row>
    <row r="24" spans="1:5" ht="38.25" x14ac:dyDescent="0.2">
      <c r="A24" s="11">
        <v>23</v>
      </c>
      <c r="B24" s="11" t="s">
        <v>84</v>
      </c>
      <c r="C24" s="11" t="s">
        <v>388</v>
      </c>
      <c r="D24" s="11" t="s">
        <v>3739</v>
      </c>
      <c r="E24" s="11" t="s">
        <v>126</v>
      </c>
    </row>
    <row r="25" spans="1:5" ht="51" x14ac:dyDescent="0.2">
      <c r="A25" s="11">
        <v>24</v>
      </c>
      <c r="B25" s="11" t="s">
        <v>84</v>
      </c>
      <c r="D25" s="11" t="s">
        <v>404</v>
      </c>
      <c r="E25" s="11" t="s">
        <v>126</v>
      </c>
    </row>
    <row r="26" spans="1:5" x14ac:dyDescent="0.2">
      <c r="A26" s="11">
        <v>25</v>
      </c>
      <c r="B26" s="11" t="s">
        <v>84</v>
      </c>
      <c r="C26" s="11" t="s">
        <v>420</v>
      </c>
      <c r="E26" s="11" t="s">
        <v>140</v>
      </c>
    </row>
    <row r="27" spans="1:5" ht="76.5" x14ac:dyDescent="0.2">
      <c r="A27" s="11">
        <v>26</v>
      </c>
      <c r="B27" s="11" t="s">
        <v>84</v>
      </c>
      <c r="D27" s="11" t="s">
        <v>3759</v>
      </c>
      <c r="E27" s="11" t="s">
        <v>126</v>
      </c>
    </row>
    <row r="28" spans="1:5" ht="38.25" x14ac:dyDescent="0.2">
      <c r="A28" s="11">
        <v>27</v>
      </c>
      <c r="B28" s="11" t="s">
        <v>84</v>
      </c>
      <c r="D28" s="11" t="s">
        <v>3014</v>
      </c>
      <c r="E28" s="11" t="s">
        <v>126</v>
      </c>
    </row>
    <row r="29" spans="1:5" x14ac:dyDescent="0.2">
      <c r="A29" s="11">
        <v>28</v>
      </c>
      <c r="B29" s="11" t="s">
        <v>82</v>
      </c>
      <c r="E29" s="11" t="s">
        <v>296</v>
      </c>
    </row>
    <row r="30" spans="1:5" ht="51" x14ac:dyDescent="0.2">
      <c r="A30" s="11">
        <v>29</v>
      </c>
      <c r="B30" s="11" t="s">
        <v>84</v>
      </c>
      <c r="C30" s="11" t="s">
        <v>480</v>
      </c>
      <c r="D30" s="11" t="s">
        <v>481</v>
      </c>
      <c r="E30" s="11" t="s">
        <v>140</v>
      </c>
    </row>
    <row r="31" spans="1:5" x14ac:dyDescent="0.2">
      <c r="A31" s="11">
        <v>30</v>
      </c>
      <c r="B31" s="11" t="s">
        <v>82</v>
      </c>
      <c r="E31" s="11" t="s">
        <v>126</v>
      </c>
    </row>
    <row r="32" spans="1:5" x14ac:dyDescent="0.2">
      <c r="A32" s="11">
        <v>31</v>
      </c>
      <c r="B32" s="11" t="s">
        <v>84</v>
      </c>
      <c r="D32" s="11" t="s">
        <v>508</v>
      </c>
      <c r="E32" s="11" t="s">
        <v>90</v>
      </c>
    </row>
    <row r="33" spans="1:5" x14ac:dyDescent="0.2">
      <c r="A33" s="11">
        <v>32</v>
      </c>
      <c r="B33" s="11" t="s">
        <v>84</v>
      </c>
      <c r="E33" s="11" t="s">
        <v>140</v>
      </c>
    </row>
    <row r="34" spans="1:5" s="7" customFormat="1" ht="38.25" x14ac:dyDescent="0.2">
      <c r="A34" s="7">
        <v>33</v>
      </c>
      <c r="B34" s="7" t="s">
        <v>84</v>
      </c>
      <c r="D34" s="7" t="s">
        <v>3760</v>
      </c>
      <c r="E34" s="7" t="s">
        <v>140</v>
      </c>
    </row>
    <row r="35" spans="1:5" ht="38.25" x14ac:dyDescent="0.2">
      <c r="A35" s="11">
        <v>34</v>
      </c>
      <c r="B35" s="11" t="s">
        <v>84</v>
      </c>
      <c r="D35" s="11" t="s">
        <v>3015</v>
      </c>
      <c r="E35" s="11" t="s">
        <v>126</v>
      </c>
    </row>
    <row r="36" spans="1:5" ht="25.5" x14ac:dyDescent="0.2">
      <c r="A36" s="11">
        <v>35</v>
      </c>
      <c r="B36" s="11" t="s">
        <v>84</v>
      </c>
      <c r="C36" s="11" t="s">
        <v>562</v>
      </c>
      <c r="D36" s="11" t="s">
        <v>3016</v>
      </c>
      <c r="E36" s="11" t="s">
        <v>90</v>
      </c>
    </row>
    <row r="37" spans="1:5" ht="153" x14ac:dyDescent="0.2">
      <c r="A37" s="11">
        <v>36</v>
      </c>
      <c r="B37" s="11" t="s">
        <v>84</v>
      </c>
      <c r="C37" s="11" t="s">
        <v>3004</v>
      </c>
      <c r="D37" s="11" t="s">
        <v>3779</v>
      </c>
      <c r="E37" s="11" t="s">
        <v>126</v>
      </c>
    </row>
    <row r="38" spans="1:5" ht="51" x14ac:dyDescent="0.2">
      <c r="A38" s="11">
        <v>37</v>
      </c>
      <c r="B38" s="11" t="s">
        <v>84</v>
      </c>
      <c r="C38" s="11" t="s">
        <v>597</v>
      </c>
      <c r="D38" s="11" t="s">
        <v>3017</v>
      </c>
      <c r="E38" s="11" t="s">
        <v>140</v>
      </c>
    </row>
    <row r="39" spans="1:5" ht="38.25" x14ac:dyDescent="0.2">
      <c r="A39" s="11">
        <v>38</v>
      </c>
      <c r="B39" s="11" t="s">
        <v>84</v>
      </c>
      <c r="D39" s="11" t="s">
        <v>3018</v>
      </c>
      <c r="E39" s="11" t="s">
        <v>126</v>
      </c>
    </row>
    <row r="40" spans="1:5" ht="25.5" x14ac:dyDescent="0.2">
      <c r="A40" s="11">
        <v>39</v>
      </c>
      <c r="B40" s="11" t="s">
        <v>84</v>
      </c>
      <c r="C40" s="11" t="s">
        <v>734</v>
      </c>
      <c r="D40" s="11" t="s">
        <v>3740</v>
      </c>
      <c r="E40" s="11" t="s">
        <v>126</v>
      </c>
    </row>
    <row r="41" spans="1:5" ht="38.25" x14ac:dyDescent="0.2">
      <c r="A41" s="11">
        <v>40</v>
      </c>
      <c r="B41" s="11" t="s">
        <v>84</v>
      </c>
      <c r="C41" s="11" t="s">
        <v>753</v>
      </c>
      <c r="D41" s="11" t="s">
        <v>3791</v>
      </c>
      <c r="E41" s="11" t="s">
        <v>140</v>
      </c>
    </row>
    <row r="42" spans="1:5" ht="38.25" x14ac:dyDescent="0.2">
      <c r="A42" s="11">
        <v>41</v>
      </c>
      <c r="B42" s="11" t="s">
        <v>84</v>
      </c>
      <c r="D42" s="11" t="s">
        <v>3019</v>
      </c>
      <c r="E42" s="11" t="s">
        <v>126</v>
      </c>
    </row>
    <row r="43" spans="1:5" ht="38.25" x14ac:dyDescent="0.2">
      <c r="A43" s="11">
        <v>42</v>
      </c>
      <c r="B43" s="11" t="s">
        <v>84</v>
      </c>
      <c r="D43" s="11" t="s">
        <v>3741</v>
      </c>
      <c r="E43" s="11" t="s">
        <v>126</v>
      </c>
    </row>
    <row r="44" spans="1:5" ht="51" x14ac:dyDescent="0.2">
      <c r="A44" s="11">
        <v>43</v>
      </c>
      <c r="B44" s="11" t="s">
        <v>82</v>
      </c>
      <c r="C44" s="11" t="s">
        <v>789</v>
      </c>
      <c r="E44" s="11" t="s">
        <v>641</v>
      </c>
    </row>
    <row r="45" spans="1:5" ht="114.75" x14ac:dyDescent="0.2">
      <c r="A45" s="11">
        <v>44</v>
      </c>
      <c r="B45" s="33" t="s">
        <v>84</v>
      </c>
      <c r="C45" s="33"/>
      <c r="D45" s="33" t="s">
        <v>3778</v>
      </c>
      <c r="E45" s="33" t="s">
        <v>126</v>
      </c>
    </row>
    <row r="46" spans="1:5" x14ac:dyDescent="0.2">
      <c r="A46" s="11">
        <v>45</v>
      </c>
      <c r="B46" s="11" t="s">
        <v>84</v>
      </c>
      <c r="E46" s="11" t="s">
        <v>140</v>
      </c>
    </row>
    <row r="47" spans="1:5" ht="76.5" x14ac:dyDescent="0.2">
      <c r="A47" s="11">
        <v>46</v>
      </c>
      <c r="B47" s="11" t="s">
        <v>84</v>
      </c>
      <c r="C47" s="11" t="s">
        <v>825</v>
      </c>
      <c r="D47" s="11" t="s">
        <v>3192</v>
      </c>
      <c r="E47" s="11" t="s">
        <v>126</v>
      </c>
    </row>
    <row r="48" spans="1:5" ht="76.5" x14ac:dyDescent="0.2">
      <c r="A48" s="11">
        <v>47</v>
      </c>
      <c r="B48" s="11" t="s">
        <v>84</v>
      </c>
      <c r="D48" s="11" t="s">
        <v>3020</v>
      </c>
      <c r="E48" s="11" t="s">
        <v>126</v>
      </c>
    </row>
    <row r="49" spans="1:5" ht="38.25" x14ac:dyDescent="0.2">
      <c r="A49" s="11">
        <v>48</v>
      </c>
      <c r="B49" s="11" t="s">
        <v>84</v>
      </c>
      <c r="D49" s="7" t="s">
        <v>3021</v>
      </c>
      <c r="E49" s="11" t="s">
        <v>126</v>
      </c>
    </row>
    <row r="50" spans="1:5" ht="25.5" x14ac:dyDescent="0.2">
      <c r="A50" s="11">
        <v>49</v>
      </c>
      <c r="B50" s="11" t="s">
        <v>84</v>
      </c>
      <c r="D50" s="11" t="s">
        <v>3022</v>
      </c>
      <c r="E50" s="11" t="s">
        <v>126</v>
      </c>
    </row>
    <row r="51" spans="1:5" ht="63.75" x14ac:dyDescent="0.2">
      <c r="A51" s="11">
        <v>50</v>
      </c>
      <c r="B51" s="11" t="s">
        <v>84</v>
      </c>
      <c r="D51" s="11" t="s">
        <v>3193</v>
      </c>
      <c r="E51" s="11" t="s">
        <v>126</v>
      </c>
    </row>
    <row r="52" spans="1:5" x14ac:dyDescent="0.2">
      <c r="A52" s="11">
        <v>51</v>
      </c>
      <c r="B52" s="11" t="s">
        <v>84</v>
      </c>
      <c r="D52" s="19" t="s">
        <v>893</v>
      </c>
      <c r="E52" s="11" t="s">
        <v>140</v>
      </c>
    </row>
    <row r="53" spans="1:5" x14ac:dyDescent="0.2">
      <c r="A53" s="11">
        <v>52</v>
      </c>
      <c r="B53" s="11" t="s">
        <v>84</v>
      </c>
      <c r="E53" s="11" t="s">
        <v>126</v>
      </c>
    </row>
    <row r="54" spans="1:5" x14ac:dyDescent="0.2">
      <c r="A54" s="11">
        <v>53</v>
      </c>
      <c r="B54" s="11" t="s">
        <v>84</v>
      </c>
      <c r="D54" s="11" t="s">
        <v>908</v>
      </c>
      <c r="E54" s="11" t="s">
        <v>126</v>
      </c>
    </row>
    <row r="55" spans="1:5" x14ac:dyDescent="0.2">
      <c r="A55" s="11">
        <v>54</v>
      </c>
      <c r="B55" s="11" t="s">
        <v>84</v>
      </c>
      <c r="D55" s="11" t="s">
        <v>3742</v>
      </c>
      <c r="E55" s="11" t="s">
        <v>126</v>
      </c>
    </row>
    <row r="56" spans="1:5" ht="114.75" x14ac:dyDescent="0.2">
      <c r="A56" s="11">
        <v>55</v>
      </c>
      <c r="B56" s="11" t="s">
        <v>84</v>
      </c>
      <c r="C56" s="11" t="s">
        <v>3005</v>
      </c>
      <c r="D56" s="11" t="s">
        <v>3187</v>
      </c>
      <c r="E56" s="11" t="s">
        <v>126</v>
      </c>
    </row>
    <row r="57" spans="1:5" ht="51" x14ac:dyDescent="0.2">
      <c r="A57" s="11">
        <v>56</v>
      </c>
      <c r="B57" s="11" t="s">
        <v>84</v>
      </c>
      <c r="D57" s="11" t="s">
        <v>3743</v>
      </c>
      <c r="E57" s="11" t="s">
        <v>126</v>
      </c>
    </row>
    <row r="58" spans="1:5" ht="25.5" x14ac:dyDescent="0.2">
      <c r="A58" s="11">
        <v>57</v>
      </c>
      <c r="B58" s="11" t="s">
        <v>84</v>
      </c>
      <c r="D58" s="11" t="s">
        <v>3023</v>
      </c>
      <c r="E58" s="11" t="s">
        <v>126</v>
      </c>
    </row>
    <row r="59" spans="1:5" ht="25.5" x14ac:dyDescent="0.2">
      <c r="A59" s="11">
        <v>58</v>
      </c>
      <c r="B59" s="11" t="s">
        <v>84</v>
      </c>
      <c r="C59" s="11" t="s">
        <v>1078</v>
      </c>
      <c r="D59" s="11" t="s">
        <v>3785</v>
      </c>
      <c r="E59" s="11" t="s">
        <v>90</v>
      </c>
    </row>
    <row r="60" spans="1:5" x14ac:dyDescent="0.2">
      <c r="A60" s="11">
        <v>59</v>
      </c>
      <c r="B60" s="9" t="s">
        <v>84</v>
      </c>
      <c r="C60" s="9"/>
      <c r="D60" s="9" t="s">
        <v>3024</v>
      </c>
      <c r="E60" s="9" t="s">
        <v>140</v>
      </c>
    </row>
    <row r="61" spans="1:5" ht="38.25" x14ac:dyDescent="0.2">
      <c r="A61" s="11">
        <v>60</v>
      </c>
      <c r="B61" s="11" t="s">
        <v>84</v>
      </c>
      <c r="D61" s="11" t="s">
        <v>3744</v>
      </c>
      <c r="E61" s="11" t="s">
        <v>126</v>
      </c>
    </row>
    <row r="62" spans="1:5" ht="25.5" x14ac:dyDescent="0.2">
      <c r="A62" s="11">
        <v>61</v>
      </c>
      <c r="B62" s="11" t="s">
        <v>84</v>
      </c>
      <c r="D62" s="7" t="s">
        <v>3786</v>
      </c>
      <c r="E62" s="11" t="s">
        <v>126</v>
      </c>
    </row>
    <row r="63" spans="1:5" ht="38.25" x14ac:dyDescent="0.2">
      <c r="A63" s="11">
        <v>62</v>
      </c>
      <c r="B63" s="11" t="s">
        <v>84</v>
      </c>
      <c r="D63" s="11" t="s">
        <v>3025</v>
      </c>
      <c r="E63" s="11" t="s">
        <v>126</v>
      </c>
    </row>
    <row r="64" spans="1:5" ht="165.75" x14ac:dyDescent="0.2">
      <c r="A64" s="11">
        <v>63</v>
      </c>
      <c r="B64" s="11" t="s">
        <v>84</v>
      </c>
      <c r="D64" s="11" t="s">
        <v>3745</v>
      </c>
      <c r="E64" s="11" t="s">
        <v>126</v>
      </c>
    </row>
    <row r="65" spans="1:5" x14ac:dyDescent="0.2">
      <c r="A65" s="11">
        <v>64</v>
      </c>
      <c r="B65" s="33" t="s">
        <v>82</v>
      </c>
      <c r="C65" s="33"/>
      <c r="D65" s="33"/>
      <c r="E65" s="33" t="s">
        <v>90</v>
      </c>
    </row>
    <row r="66" spans="1:5" ht="38.25" x14ac:dyDescent="0.2">
      <c r="A66" s="11">
        <v>65</v>
      </c>
      <c r="B66" s="11" t="s">
        <v>84</v>
      </c>
      <c r="D66" s="11" t="s">
        <v>3026</v>
      </c>
      <c r="E66" s="11" t="s">
        <v>126</v>
      </c>
    </row>
    <row r="67" spans="1:5" ht="25.5" x14ac:dyDescent="0.2">
      <c r="A67" s="11">
        <v>66</v>
      </c>
      <c r="B67" s="11" t="s">
        <v>84</v>
      </c>
      <c r="D67" s="11" t="s">
        <v>3787</v>
      </c>
      <c r="E67" s="11" t="s">
        <v>140</v>
      </c>
    </row>
    <row r="68" spans="1:5" ht="25.5" x14ac:dyDescent="0.2">
      <c r="A68" s="11">
        <v>67</v>
      </c>
      <c r="B68" s="11" t="s">
        <v>84</v>
      </c>
      <c r="D68" s="11" t="s">
        <v>3746</v>
      </c>
      <c r="E68" s="11" t="s">
        <v>126</v>
      </c>
    </row>
    <row r="69" spans="1:5" ht="76.5" x14ac:dyDescent="0.2">
      <c r="A69" s="11">
        <v>68</v>
      </c>
      <c r="B69" s="11" t="s">
        <v>84</v>
      </c>
      <c r="C69" s="11" t="s">
        <v>1373</v>
      </c>
      <c r="D69" s="11" t="s">
        <v>3761</v>
      </c>
      <c r="E69" s="11" t="s">
        <v>126</v>
      </c>
    </row>
    <row r="70" spans="1:5" x14ac:dyDescent="0.2">
      <c r="A70" s="11">
        <v>69</v>
      </c>
      <c r="B70" s="11" t="s">
        <v>84</v>
      </c>
      <c r="E70" s="11" t="s">
        <v>126</v>
      </c>
    </row>
    <row r="71" spans="1:5" x14ac:dyDescent="0.2">
      <c r="A71" s="11">
        <v>70</v>
      </c>
      <c r="B71" s="11" t="s">
        <v>84</v>
      </c>
      <c r="D71" s="11" t="s">
        <v>1377</v>
      </c>
      <c r="E71" s="11" t="s">
        <v>126</v>
      </c>
    </row>
    <row r="72" spans="1:5" ht="38.25" x14ac:dyDescent="0.2">
      <c r="A72" s="11">
        <v>71</v>
      </c>
      <c r="B72" s="11" t="s">
        <v>84</v>
      </c>
      <c r="D72" s="11" t="s">
        <v>3762</v>
      </c>
      <c r="E72" s="11" t="s">
        <v>126</v>
      </c>
    </row>
    <row r="73" spans="1:5" ht="25.5" x14ac:dyDescent="0.2">
      <c r="A73" s="11">
        <v>72</v>
      </c>
      <c r="B73" s="11" t="s">
        <v>84</v>
      </c>
      <c r="D73" s="11" t="s">
        <v>1392</v>
      </c>
      <c r="E73" s="11" t="s">
        <v>126</v>
      </c>
    </row>
    <row r="74" spans="1:5" ht="25.5" x14ac:dyDescent="0.2">
      <c r="A74" s="11">
        <v>73</v>
      </c>
      <c r="B74" s="33" t="s">
        <v>84</v>
      </c>
      <c r="C74" s="33"/>
      <c r="D74" s="33" t="s">
        <v>3763</v>
      </c>
      <c r="E74" s="33" t="s">
        <v>126</v>
      </c>
    </row>
    <row r="75" spans="1:5" ht="38.25" x14ac:dyDescent="0.2">
      <c r="A75" s="11">
        <v>74</v>
      </c>
      <c r="B75" s="11" t="s">
        <v>84</v>
      </c>
      <c r="D75" s="11" t="s">
        <v>3027</v>
      </c>
      <c r="E75" s="11" t="s">
        <v>126</v>
      </c>
    </row>
    <row r="76" spans="1:5" ht="25.5" x14ac:dyDescent="0.2">
      <c r="A76" s="11">
        <v>75</v>
      </c>
      <c r="B76" s="33" t="s">
        <v>84</v>
      </c>
      <c r="C76" s="33"/>
      <c r="D76" s="33" t="s">
        <v>3028</v>
      </c>
      <c r="E76" s="33" t="s">
        <v>90</v>
      </c>
    </row>
    <row r="77" spans="1:5" x14ac:dyDescent="0.2">
      <c r="A77" s="11">
        <v>76</v>
      </c>
      <c r="B77" s="11" t="s">
        <v>145</v>
      </c>
      <c r="E77" s="11" t="s">
        <v>140</v>
      </c>
    </row>
    <row r="78" spans="1:5" ht="51" x14ac:dyDescent="0.2">
      <c r="A78" s="11">
        <v>77</v>
      </c>
      <c r="B78" s="11" t="s">
        <v>84</v>
      </c>
      <c r="D78" s="11" t="s">
        <v>3029</v>
      </c>
      <c r="E78" s="11" t="s">
        <v>126</v>
      </c>
    </row>
    <row r="79" spans="1:5" x14ac:dyDescent="0.2">
      <c r="A79" s="11">
        <v>78</v>
      </c>
      <c r="B79" s="11" t="s">
        <v>84</v>
      </c>
      <c r="E79" s="11" t="s">
        <v>126</v>
      </c>
    </row>
    <row r="80" spans="1:5" x14ac:dyDescent="0.2">
      <c r="A80" s="11">
        <v>79</v>
      </c>
      <c r="B80" s="11" t="s">
        <v>84</v>
      </c>
      <c r="D80" s="11" t="s">
        <v>3030</v>
      </c>
      <c r="E80" s="11" t="s">
        <v>126</v>
      </c>
    </row>
    <row r="81" spans="1:5" ht="38.25" x14ac:dyDescent="0.2">
      <c r="A81" s="11">
        <v>80</v>
      </c>
      <c r="B81" s="11" t="s">
        <v>84</v>
      </c>
      <c r="D81" s="11" t="s">
        <v>3031</v>
      </c>
      <c r="E81" s="11" t="s">
        <v>126</v>
      </c>
    </row>
    <row r="82" spans="1:5" x14ac:dyDescent="0.2">
      <c r="A82" s="11">
        <v>81</v>
      </c>
      <c r="B82" s="11" t="s">
        <v>82</v>
      </c>
      <c r="E82" s="11" t="s">
        <v>126</v>
      </c>
    </row>
    <row r="83" spans="1:5" x14ac:dyDescent="0.2">
      <c r="A83" s="11">
        <v>82</v>
      </c>
      <c r="B83" s="11" t="s">
        <v>84</v>
      </c>
      <c r="D83" s="11" t="s">
        <v>3747</v>
      </c>
      <c r="E83" s="11" t="s">
        <v>126</v>
      </c>
    </row>
    <row r="84" spans="1:5" ht="76.5" x14ac:dyDescent="0.2">
      <c r="A84" s="11">
        <v>83</v>
      </c>
      <c r="B84" s="11" t="s">
        <v>84</v>
      </c>
      <c r="D84" s="11" t="s">
        <v>3032</v>
      </c>
      <c r="E84" s="11" t="s">
        <v>126</v>
      </c>
    </row>
    <row r="85" spans="1:5" ht="102" x14ac:dyDescent="0.2">
      <c r="A85" s="11">
        <v>84</v>
      </c>
      <c r="B85" s="11" t="s">
        <v>84</v>
      </c>
      <c r="C85" s="11" t="s">
        <v>1488</v>
      </c>
      <c r="D85" s="11" t="s">
        <v>3033</v>
      </c>
      <c r="E85" s="11" t="s">
        <v>140</v>
      </c>
    </row>
    <row r="86" spans="1:5" ht="25.5" x14ac:dyDescent="0.2">
      <c r="A86" s="11">
        <v>85</v>
      </c>
      <c r="B86" s="11" t="s">
        <v>84</v>
      </c>
      <c r="D86" s="11" t="s">
        <v>3034</v>
      </c>
      <c r="E86" s="11" t="s">
        <v>126</v>
      </c>
    </row>
    <row r="87" spans="1:5" x14ac:dyDescent="0.2">
      <c r="A87" s="11">
        <v>86</v>
      </c>
      <c r="B87" s="33" t="s">
        <v>84</v>
      </c>
      <c r="C87" s="33"/>
      <c r="D87" s="33"/>
      <c r="E87" s="33" t="s">
        <v>126</v>
      </c>
    </row>
    <row r="88" spans="1:5" x14ac:dyDescent="0.2">
      <c r="A88" s="11">
        <v>87</v>
      </c>
      <c r="B88" s="11" t="s">
        <v>84</v>
      </c>
      <c r="D88" s="7" t="s">
        <v>3035</v>
      </c>
      <c r="E88" s="11" t="s">
        <v>126</v>
      </c>
    </row>
    <row r="89" spans="1:5" x14ac:dyDescent="0.2">
      <c r="A89" s="11">
        <v>88</v>
      </c>
      <c r="B89" s="11" t="s">
        <v>84</v>
      </c>
      <c r="D89" s="11" t="s">
        <v>3188</v>
      </c>
      <c r="E89" s="11" t="s">
        <v>126</v>
      </c>
    </row>
    <row r="90" spans="1:5" ht="38.25" x14ac:dyDescent="0.2">
      <c r="A90" s="11">
        <v>89</v>
      </c>
      <c r="B90" s="11" t="s">
        <v>84</v>
      </c>
      <c r="D90" s="11" t="s">
        <v>3036</v>
      </c>
      <c r="E90" s="11" t="s">
        <v>126</v>
      </c>
    </row>
    <row r="91" spans="1:5" ht="38.25" x14ac:dyDescent="0.2">
      <c r="A91" s="11">
        <v>90</v>
      </c>
      <c r="B91" s="11" t="s">
        <v>84</v>
      </c>
      <c r="D91" s="11" t="s">
        <v>3037</v>
      </c>
      <c r="E91" s="11" t="s">
        <v>126</v>
      </c>
    </row>
    <row r="92" spans="1:5" x14ac:dyDescent="0.2">
      <c r="A92" s="11">
        <v>91</v>
      </c>
      <c r="B92" s="33" t="s">
        <v>82</v>
      </c>
      <c r="C92" s="33"/>
      <c r="D92" s="33"/>
      <c r="E92" s="33" t="s">
        <v>126</v>
      </c>
    </row>
    <row r="93" spans="1:5" x14ac:dyDescent="0.2">
      <c r="A93" s="11">
        <v>92</v>
      </c>
      <c r="B93" s="11" t="s">
        <v>84</v>
      </c>
      <c r="E93" s="11" t="s">
        <v>126</v>
      </c>
    </row>
    <row r="94" spans="1:5" ht="25.5" x14ac:dyDescent="0.2">
      <c r="A94" s="11">
        <v>93</v>
      </c>
      <c r="B94" s="11" t="s">
        <v>84</v>
      </c>
      <c r="D94" s="11" t="s">
        <v>3038</v>
      </c>
      <c r="E94" s="11" t="s">
        <v>126</v>
      </c>
    </row>
    <row r="95" spans="1:5" ht="25.5" x14ac:dyDescent="0.2">
      <c r="A95" s="11">
        <v>94</v>
      </c>
      <c r="B95" s="11" t="s">
        <v>84</v>
      </c>
      <c r="D95" s="7" t="s">
        <v>3039</v>
      </c>
      <c r="E95" s="11" t="s">
        <v>126</v>
      </c>
    </row>
    <row r="96" spans="1:5" ht="89.25" x14ac:dyDescent="0.2">
      <c r="A96" s="11">
        <v>95</v>
      </c>
      <c r="B96" s="11" t="s">
        <v>84</v>
      </c>
      <c r="C96" s="11" t="s">
        <v>1570</v>
      </c>
      <c r="D96" s="11" t="s">
        <v>3040</v>
      </c>
      <c r="E96" s="11" t="s">
        <v>126</v>
      </c>
    </row>
    <row r="97" spans="1:5" ht="51" x14ac:dyDescent="0.2">
      <c r="A97" s="11">
        <v>96</v>
      </c>
      <c r="B97" s="11" t="s">
        <v>84</v>
      </c>
      <c r="D97" s="11" t="s">
        <v>3194</v>
      </c>
      <c r="E97" s="11" t="s">
        <v>126</v>
      </c>
    </row>
    <row r="98" spans="1:5" ht="25.5" x14ac:dyDescent="0.2">
      <c r="A98" s="11">
        <v>97</v>
      </c>
      <c r="B98" s="11" t="s">
        <v>84</v>
      </c>
      <c r="C98" s="11" t="s">
        <v>1597</v>
      </c>
      <c r="D98" s="11" t="s">
        <v>3231</v>
      </c>
      <c r="E98" s="11" t="s">
        <v>126</v>
      </c>
    </row>
    <row r="99" spans="1:5" x14ac:dyDescent="0.2">
      <c r="A99" s="11">
        <v>98</v>
      </c>
      <c r="B99" s="11" t="s">
        <v>84</v>
      </c>
      <c r="D99" s="7" t="s">
        <v>3041</v>
      </c>
      <c r="E99" s="11" t="s">
        <v>90</v>
      </c>
    </row>
    <row r="100" spans="1:5" ht="25.5" x14ac:dyDescent="0.2">
      <c r="A100" s="11">
        <v>99</v>
      </c>
      <c r="B100" s="11" t="s">
        <v>84</v>
      </c>
      <c r="D100" s="7" t="s">
        <v>3042</v>
      </c>
      <c r="E100" s="11" t="s">
        <v>126</v>
      </c>
    </row>
    <row r="101" spans="1:5" ht="51" x14ac:dyDescent="0.2">
      <c r="A101" s="11">
        <v>100</v>
      </c>
      <c r="B101" s="11" t="s">
        <v>84</v>
      </c>
      <c r="C101" s="11" t="s">
        <v>4201</v>
      </c>
      <c r="D101" s="11" t="s">
        <v>3043</v>
      </c>
      <c r="E101" s="11" t="s">
        <v>126</v>
      </c>
    </row>
    <row r="102" spans="1:5" ht="25.5" x14ac:dyDescent="0.2">
      <c r="A102" s="11">
        <v>101</v>
      </c>
      <c r="B102" s="11" t="s">
        <v>82</v>
      </c>
      <c r="C102" s="11" t="s">
        <v>1639</v>
      </c>
      <c r="E102" s="11" t="s">
        <v>140</v>
      </c>
    </row>
    <row r="103" spans="1:5" x14ac:dyDescent="0.2">
      <c r="A103" s="11">
        <v>102</v>
      </c>
      <c r="B103" s="11" t="s">
        <v>84</v>
      </c>
      <c r="E103" s="11" t="s">
        <v>140</v>
      </c>
    </row>
    <row r="104" spans="1:5" ht="25.5" x14ac:dyDescent="0.2">
      <c r="A104" s="11">
        <v>103</v>
      </c>
      <c r="B104" s="11" t="s">
        <v>84</v>
      </c>
      <c r="D104" s="11" t="s">
        <v>3044</v>
      </c>
      <c r="E104" s="11" t="s">
        <v>140</v>
      </c>
    </row>
    <row r="105" spans="1:5" x14ac:dyDescent="0.2">
      <c r="A105" s="11">
        <v>104</v>
      </c>
      <c r="B105" s="11" t="s">
        <v>84</v>
      </c>
      <c r="C105" s="11" t="s">
        <v>1658</v>
      </c>
      <c r="D105" s="11" t="s">
        <v>3792</v>
      </c>
      <c r="E105" s="11" t="s">
        <v>126</v>
      </c>
    </row>
    <row r="106" spans="1:5" x14ac:dyDescent="0.2">
      <c r="A106" s="11">
        <v>105</v>
      </c>
      <c r="B106" s="11" t="s">
        <v>82</v>
      </c>
      <c r="C106" s="11" t="s">
        <v>1666</v>
      </c>
      <c r="E106" s="11" t="s">
        <v>140</v>
      </c>
    </row>
    <row r="107" spans="1:5" x14ac:dyDescent="0.2">
      <c r="A107" s="11">
        <v>106</v>
      </c>
      <c r="B107" s="11" t="s">
        <v>84</v>
      </c>
      <c r="E107" s="11" t="s">
        <v>140</v>
      </c>
    </row>
    <row r="108" spans="1:5" ht="25.5" x14ac:dyDescent="0.2">
      <c r="A108" s="11">
        <v>107</v>
      </c>
      <c r="B108" s="11" t="s">
        <v>84</v>
      </c>
      <c r="D108" s="7" t="s">
        <v>3045</v>
      </c>
      <c r="E108" s="11" t="s">
        <v>126</v>
      </c>
    </row>
    <row r="109" spans="1:5" ht="114.75" x14ac:dyDescent="0.2">
      <c r="A109" s="11">
        <v>108</v>
      </c>
      <c r="B109" s="11" t="s">
        <v>84</v>
      </c>
      <c r="C109" s="11" t="s">
        <v>1681</v>
      </c>
      <c r="D109" s="11" t="s">
        <v>3793</v>
      </c>
      <c r="E109" s="11" t="s">
        <v>126</v>
      </c>
    </row>
    <row r="110" spans="1:5" ht="25.5" x14ac:dyDescent="0.2">
      <c r="A110" s="11">
        <v>109</v>
      </c>
      <c r="B110" s="11" t="s">
        <v>84</v>
      </c>
      <c r="D110" s="7" t="s">
        <v>3046</v>
      </c>
      <c r="E110" s="11" t="s">
        <v>140</v>
      </c>
    </row>
    <row r="111" spans="1:5" x14ac:dyDescent="0.2">
      <c r="A111" s="11">
        <v>110</v>
      </c>
      <c r="B111" s="11" t="s">
        <v>84</v>
      </c>
      <c r="D111" s="11" t="s">
        <v>1703</v>
      </c>
      <c r="E111" s="11" t="s">
        <v>126</v>
      </c>
    </row>
    <row r="112" spans="1:5" x14ac:dyDescent="0.2">
      <c r="A112" s="11">
        <v>111</v>
      </c>
      <c r="B112" s="11" t="s">
        <v>82</v>
      </c>
      <c r="E112" s="11" t="s">
        <v>90</v>
      </c>
    </row>
    <row r="113" spans="1:5" x14ac:dyDescent="0.2">
      <c r="A113" s="11">
        <v>112</v>
      </c>
      <c r="B113" s="11" t="s">
        <v>84</v>
      </c>
      <c r="D113" s="11" t="s">
        <v>1717</v>
      </c>
      <c r="E113" s="11" t="s">
        <v>126</v>
      </c>
    </row>
    <row r="114" spans="1:5" ht="76.5" x14ac:dyDescent="0.2">
      <c r="A114" s="11">
        <v>113</v>
      </c>
      <c r="B114" s="33" t="s">
        <v>84</v>
      </c>
      <c r="C114" s="33"/>
      <c r="D114" s="33" t="s">
        <v>3047</v>
      </c>
      <c r="E114" s="33" t="s">
        <v>126</v>
      </c>
    </row>
    <row r="115" spans="1:5" ht="38.25" x14ac:dyDescent="0.2">
      <c r="A115" s="11">
        <v>114</v>
      </c>
      <c r="B115" s="11" t="s">
        <v>84</v>
      </c>
      <c r="D115" s="11" t="s">
        <v>3179</v>
      </c>
      <c r="E115" s="11" t="s">
        <v>126</v>
      </c>
    </row>
    <row r="116" spans="1:5" ht="51" x14ac:dyDescent="0.2">
      <c r="A116" s="11">
        <v>115</v>
      </c>
      <c r="B116" s="11" t="s">
        <v>84</v>
      </c>
      <c r="D116" s="11" t="s">
        <v>3748</v>
      </c>
      <c r="E116" s="11" t="s">
        <v>126</v>
      </c>
    </row>
    <row r="117" spans="1:5" ht="25.5" x14ac:dyDescent="0.2">
      <c r="A117" s="11">
        <v>116</v>
      </c>
      <c r="B117" s="11" t="s">
        <v>84</v>
      </c>
      <c r="D117" s="7" t="s">
        <v>3764</v>
      </c>
      <c r="E117" s="11" t="s">
        <v>126</v>
      </c>
    </row>
    <row r="118" spans="1:5" ht="25.5" x14ac:dyDescent="0.2">
      <c r="A118" s="11">
        <v>117</v>
      </c>
      <c r="B118" s="11" t="s">
        <v>84</v>
      </c>
      <c r="D118" s="11" t="s">
        <v>3048</v>
      </c>
      <c r="E118" s="11" t="s">
        <v>126</v>
      </c>
    </row>
    <row r="119" spans="1:5" ht="63.75" x14ac:dyDescent="0.2">
      <c r="A119" s="11">
        <v>118</v>
      </c>
      <c r="B119" s="11" t="s">
        <v>84</v>
      </c>
      <c r="D119" s="11" t="s">
        <v>3765</v>
      </c>
      <c r="E119" s="11" t="s">
        <v>140</v>
      </c>
    </row>
    <row r="120" spans="1:5" ht="178.5" x14ac:dyDescent="0.2">
      <c r="A120" s="11">
        <v>119</v>
      </c>
      <c r="B120" s="11" t="s">
        <v>84</v>
      </c>
      <c r="D120" s="11" t="s">
        <v>3766</v>
      </c>
      <c r="E120" s="11" t="s">
        <v>126</v>
      </c>
    </row>
    <row r="121" spans="1:5" ht="63.75" x14ac:dyDescent="0.2">
      <c r="A121" s="11">
        <v>120</v>
      </c>
      <c r="B121" s="11" t="s">
        <v>82</v>
      </c>
      <c r="C121" s="11" t="s">
        <v>1779</v>
      </c>
      <c r="D121" s="11" t="s">
        <v>3794</v>
      </c>
      <c r="E121" s="11" t="s">
        <v>140</v>
      </c>
    </row>
    <row r="122" spans="1:5" ht="63.75" x14ac:dyDescent="0.2">
      <c r="A122" s="11">
        <v>121</v>
      </c>
      <c r="B122" s="11" t="s">
        <v>84</v>
      </c>
      <c r="D122" s="11" t="s">
        <v>3767</v>
      </c>
      <c r="E122" s="11" t="s">
        <v>126</v>
      </c>
    </row>
    <row r="123" spans="1:5" ht="38.25" x14ac:dyDescent="0.2">
      <c r="A123" s="11">
        <v>122</v>
      </c>
      <c r="B123" s="11" t="s">
        <v>84</v>
      </c>
      <c r="C123" s="11" t="s">
        <v>4202</v>
      </c>
      <c r="D123" s="11" t="s">
        <v>3792</v>
      </c>
      <c r="E123" s="11" t="s">
        <v>126</v>
      </c>
    </row>
    <row r="124" spans="1:5" ht="102" x14ac:dyDescent="0.2">
      <c r="A124" s="11">
        <v>123</v>
      </c>
      <c r="B124" s="11" t="s">
        <v>84</v>
      </c>
      <c r="D124" s="11" t="s">
        <v>3768</v>
      </c>
      <c r="E124" s="11" t="s">
        <v>126</v>
      </c>
    </row>
    <row r="125" spans="1:5" ht="38.25" x14ac:dyDescent="0.2">
      <c r="A125" s="11">
        <v>124</v>
      </c>
      <c r="B125" s="11" t="s">
        <v>84</v>
      </c>
      <c r="C125" s="11" t="s">
        <v>1818</v>
      </c>
      <c r="D125" s="11" t="s">
        <v>3795</v>
      </c>
      <c r="E125" s="11" t="s">
        <v>126</v>
      </c>
    </row>
    <row r="126" spans="1:5" x14ac:dyDescent="0.2">
      <c r="A126" s="11">
        <v>125</v>
      </c>
      <c r="B126" s="11" t="s">
        <v>84</v>
      </c>
      <c r="E126" s="11" t="s">
        <v>140</v>
      </c>
    </row>
    <row r="127" spans="1:5" ht="140.25" x14ac:dyDescent="0.2">
      <c r="A127" s="11">
        <v>126</v>
      </c>
      <c r="B127" s="11" t="s">
        <v>84</v>
      </c>
      <c r="C127" s="7" t="s">
        <v>3006</v>
      </c>
      <c r="D127" s="11" t="s">
        <v>3796</v>
      </c>
      <c r="E127" s="11" t="s">
        <v>126</v>
      </c>
    </row>
    <row r="128" spans="1:5" ht="38.25" x14ac:dyDescent="0.2">
      <c r="A128" s="11">
        <v>127</v>
      </c>
      <c r="B128" s="11" t="s">
        <v>84</v>
      </c>
      <c r="D128" s="7" t="s">
        <v>3769</v>
      </c>
      <c r="E128" s="11" t="s">
        <v>126</v>
      </c>
    </row>
    <row r="129" spans="1:5" ht="38.25" x14ac:dyDescent="0.2">
      <c r="A129" s="11">
        <v>128</v>
      </c>
      <c r="B129" s="11" t="s">
        <v>84</v>
      </c>
      <c r="D129" s="11" t="s">
        <v>1853</v>
      </c>
      <c r="E129" s="11" t="s">
        <v>126</v>
      </c>
    </row>
    <row r="130" spans="1:5" x14ac:dyDescent="0.2">
      <c r="A130" s="11">
        <v>129</v>
      </c>
      <c r="B130" s="11" t="s">
        <v>84</v>
      </c>
      <c r="D130" s="11" t="s">
        <v>3180</v>
      </c>
      <c r="E130" s="11" t="s">
        <v>126</v>
      </c>
    </row>
    <row r="131" spans="1:5" ht="25.5" x14ac:dyDescent="0.2">
      <c r="A131" s="11">
        <v>130</v>
      </c>
      <c r="B131" s="11" t="s">
        <v>84</v>
      </c>
      <c r="D131" s="11" t="s">
        <v>3181</v>
      </c>
      <c r="E131" s="11" t="s">
        <v>126</v>
      </c>
    </row>
    <row r="132" spans="1:5" ht="25.5" x14ac:dyDescent="0.2">
      <c r="A132" s="11">
        <v>131</v>
      </c>
      <c r="B132" s="11" t="s">
        <v>84</v>
      </c>
      <c r="D132" s="11" t="s">
        <v>3189</v>
      </c>
      <c r="E132" s="11" t="s">
        <v>126</v>
      </c>
    </row>
    <row r="133" spans="1:5" ht="25.5" x14ac:dyDescent="0.2">
      <c r="A133" s="11">
        <v>132</v>
      </c>
      <c r="B133" s="11" t="s">
        <v>84</v>
      </c>
      <c r="C133" s="64" t="s">
        <v>1894</v>
      </c>
      <c r="D133" s="11" t="s">
        <v>3182</v>
      </c>
      <c r="E133" s="11" t="s">
        <v>126</v>
      </c>
    </row>
    <row r="134" spans="1:5" x14ac:dyDescent="0.2">
      <c r="A134" s="11">
        <v>133</v>
      </c>
      <c r="B134" s="11" t="s">
        <v>82</v>
      </c>
      <c r="E134" s="11" t="s">
        <v>126</v>
      </c>
    </row>
    <row r="135" spans="1:5" x14ac:dyDescent="0.2">
      <c r="A135" s="11">
        <v>134</v>
      </c>
      <c r="B135" s="11" t="s">
        <v>84</v>
      </c>
      <c r="E135" s="11" t="s">
        <v>126</v>
      </c>
    </row>
    <row r="136" spans="1:5" ht="38.25" x14ac:dyDescent="0.2">
      <c r="A136" s="11">
        <v>135</v>
      </c>
      <c r="B136" s="11" t="s">
        <v>84</v>
      </c>
      <c r="D136" s="11" t="s">
        <v>3183</v>
      </c>
      <c r="E136" s="11" t="s">
        <v>126</v>
      </c>
    </row>
    <row r="137" spans="1:5" ht="89.25" x14ac:dyDescent="0.2">
      <c r="A137" s="11">
        <v>136</v>
      </c>
      <c r="B137" s="11" t="s">
        <v>84</v>
      </c>
      <c r="D137" s="11" t="s">
        <v>3184</v>
      </c>
      <c r="E137" s="11" t="s">
        <v>126</v>
      </c>
    </row>
    <row r="138" spans="1:5" x14ac:dyDescent="0.2">
      <c r="A138" s="11">
        <v>137</v>
      </c>
      <c r="B138" s="11" t="s">
        <v>84</v>
      </c>
      <c r="E138" s="11" t="s">
        <v>126</v>
      </c>
    </row>
    <row r="139" spans="1:5" x14ac:dyDescent="0.2">
      <c r="A139" s="11">
        <v>138</v>
      </c>
      <c r="B139" s="33" t="s">
        <v>145</v>
      </c>
      <c r="C139" s="33"/>
      <c r="D139" s="33"/>
      <c r="E139" s="33" t="s">
        <v>140</v>
      </c>
    </row>
    <row r="140" spans="1:5" ht="25.5" x14ac:dyDescent="0.2">
      <c r="A140" s="11">
        <v>139</v>
      </c>
      <c r="B140" s="11" t="s">
        <v>84</v>
      </c>
      <c r="D140" s="11" t="s">
        <v>2019</v>
      </c>
      <c r="E140" s="11" t="s">
        <v>126</v>
      </c>
    </row>
    <row r="141" spans="1:5" x14ac:dyDescent="0.2">
      <c r="A141" s="11">
        <v>140</v>
      </c>
      <c r="B141" s="11" t="s">
        <v>84</v>
      </c>
      <c r="D141" s="11" t="s">
        <v>3185</v>
      </c>
      <c r="E141" s="11" t="s">
        <v>126</v>
      </c>
    </row>
    <row r="142" spans="1:5" ht="51" x14ac:dyDescent="0.2">
      <c r="A142" s="11">
        <v>141</v>
      </c>
      <c r="B142" s="11" t="s">
        <v>84</v>
      </c>
      <c r="D142" s="11" t="s">
        <v>3186</v>
      </c>
      <c r="E142" s="11" t="s">
        <v>126</v>
      </c>
    </row>
    <row r="143" spans="1:5" ht="38.25" x14ac:dyDescent="0.2">
      <c r="A143" s="11">
        <v>142</v>
      </c>
      <c r="B143" s="33" t="s">
        <v>84</v>
      </c>
      <c r="C143" s="33"/>
      <c r="D143" s="33" t="s">
        <v>3770</v>
      </c>
      <c r="E143" s="33" t="s">
        <v>126</v>
      </c>
    </row>
    <row r="144" spans="1:5" ht="25.5" x14ac:dyDescent="0.2">
      <c r="A144" s="11">
        <v>143</v>
      </c>
      <c r="B144" s="11" t="s">
        <v>84</v>
      </c>
      <c r="D144" s="7" t="s">
        <v>3780</v>
      </c>
      <c r="E144" s="11" t="s">
        <v>126</v>
      </c>
    </row>
    <row r="145" spans="1:5" ht="38.25" x14ac:dyDescent="0.2">
      <c r="A145" s="11">
        <v>144</v>
      </c>
      <c r="B145" s="11" t="s">
        <v>84</v>
      </c>
      <c r="D145" s="11" t="s">
        <v>3190</v>
      </c>
      <c r="E145" s="11" t="s">
        <v>126</v>
      </c>
    </row>
    <row r="146" spans="1:5" ht="102" x14ac:dyDescent="0.2">
      <c r="A146" s="11">
        <v>145</v>
      </c>
      <c r="B146" s="11" t="s">
        <v>84</v>
      </c>
      <c r="D146" s="11" t="s">
        <v>3191</v>
      </c>
      <c r="E146" s="11" t="s">
        <v>126</v>
      </c>
    </row>
    <row r="147" spans="1:5" x14ac:dyDescent="0.2">
      <c r="A147" s="11">
        <v>146</v>
      </c>
      <c r="B147" s="11" t="s">
        <v>84</v>
      </c>
      <c r="E147" s="11" t="s">
        <v>140</v>
      </c>
    </row>
    <row r="148" spans="1:5" x14ac:dyDescent="0.2">
      <c r="A148" s="11">
        <v>147</v>
      </c>
      <c r="B148" s="11" t="s">
        <v>84</v>
      </c>
      <c r="E148" s="11" t="s">
        <v>126</v>
      </c>
    </row>
    <row r="149" spans="1:5" ht="51" x14ac:dyDescent="0.2">
      <c r="A149" s="11">
        <v>148</v>
      </c>
      <c r="B149" s="11" t="s">
        <v>84</v>
      </c>
      <c r="D149" s="11" t="s">
        <v>3781</v>
      </c>
      <c r="E149" s="11" t="s">
        <v>126</v>
      </c>
    </row>
    <row r="150" spans="1:5" ht="38.25" x14ac:dyDescent="0.2">
      <c r="A150" s="11">
        <v>149</v>
      </c>
      <c r="B150" s="11" t="s">
        <v>84</v>
      </c>
      <c r="D150" s="11" t="s">
        <v>3195</v>
      </c>
      <c r="E150" s="11" t="s">
        <v>90</v>
      </c>
    </row>
    <row r="151" spans="1:5" x14ac:dyDescent="0.2">
      <c r="A151" s="11">
        <v>150</v>
      </c>
      <c r="B151" s="11" t="s">
        <v>84</v>
      </c>
      <c r="D151" s="11" t="s">
        <v>2036</v>
      </c>
      <c r="E151" s="11" t="s">
        <v>126</v>
      </c>
    </row>
    <row r="152" spans="1:5" x14ac:dyDescent="0.2">
      <c r="A152" s="11">
        <v>151</v>
      </c>
      <c r="B152" s="33" t="s">
        <v>84</v>
      </c>
      <c r="C152" s="33"/>
      <c r="D152" s="33"/>
      <c r="E152" s="33" t="s">
        <v>126</v>
      </c>
    </row>
    <row r="153" spans="1:5" ht="25.5" x14ac:dyDescent="0.2">
      <c r="A153" s="11">
        <v>152</v>
      </c>
      <c r="B153" s="11" t="s">
        <v>84</v>
      </c>
      <c r="D153" s="11" t="s">
        <v>3196</v>
      </c>
      <c r="E153" s="11" t="s">
        <v>126</v>
      </c>
    </row>
    <row r="154" spans="1:5" x14ac:dyDescent="0.2">
      <c r="A154" s="11">
        <v>153</v>
      </c>
      <c r="B154" s="11" t="s">
        <v>84</v>
      </c>
      <c r="E154" s="11" t="s">
        <v>140</v>
      </c>
    </row>
    <row r="155" spans="1:5" x14ac:dyDescent="0.2">
      <c r="A155" s="11">
        <v>154</v>
      </c>
      <c r="B155" s="11" t="s">
        <v>84</v>
      </c>
      <c r="E155" s="11" t="s">
        <v>140</v>
      </c>
    </row>
    <row r="156" spans="1:5" x14ac:dyDescent="0.2">
      <c r="A156" s="11">
        <v>155</v>
      </c>
      <c r="B156" s="11" t="s">
        <v>84</v>
      </c>
      <c r="E156" s="11" t="s">
        <v>140</v>
      </c>
    </row>
    <row r="157" spans="1:5" ht="25.5" x14ac:dyDescent="0.2">
      <c r="A157" s="11">
        <v>156</v>
      </c>
      <c r="B157" s="11" t="s">
        <v>84</v>
      </c>
      <c r="C157" s="11" t="s">
        <v>2042</v>
      </c>
      <c r="D157" s="19" t="s">
        <v>2043</v>
      </c>
      <c r="E157" s="11" t="s">
        <v>126</v>
      </c>
    </row>
    <row r="158" spans="1:5" x14ac:dyDescent="0.2">
      <c r="A158" s="11">
        <v>157</v>
      </c>
      <c r="B158" s="11" t="s">
        <v>84</v>
      </c>
      <c r="D158" s="11" t="s">
        <v>3197</v>
      </c>
      <c r="E158" s="11" t="s">
        <v>126</v>
      </c>
    </row>
    <row r="159" spans="1:5" ht="76.5" x14ac:dyDescent="0.2">
      <c r="A159" s="11">
        <v>158</v>
      </c>
      <c r="B159" s="11" t="s">
        <v>84</v>
      </c>
      <c r="C159" s="11" t="s">
        <v>2047</v>
      </c>
      <c r="D159" s="11" t="s">
        <v>3232</v>
      </c>
      <c r="E159" s="11" t="s">
        <v>126</v>
      </c>
    </row>
    <row r="160" spans="1:5" ht="38.25" x14ac:dyDescent="0.2">
      <c r="A160" s="11">
        <v>159</v>
      </c>
      <c r="B160" s="11" t="s">
        <v>84</v>
      </c>
      <c r="D160" s="11" t="s">
        <v>3749</v>
      </c>
      <c r="E160" s="11" t="s">
        <v>126</v>
      </c>
    </row>
    <row r="161" spans="1:5" ht="89.25" x14ac:dyDescent="0.2">
      <c r="A161" s="11">
        <v>160</v>
      </c>
      <c r="B161" s="11" t="s">
        <v>84</v>
      </c>
      <c r="D161" s="11" t="s">
        <v>3771</v>
      </c>
      <c r="E161" s="11" t="s">
        <v>126</v>
      </c>
    </row>
    <row r="162" spans="1:5" ht="25.5" x14ac:dyDescent="0.2">
      <c r="A162" s="11">
        <v>161</v>
      </c>
      <c r="B162" s="11" t="s">
        <v>84</v>
      </c>
      <c r="D162" s="11" t="s">
        <v>3198</v>
      </c>
      <c r="E162" s="11" t="s">
        <v>126</v>
      </c>
    </row>
    <row r="163" spans="1:5" x14ac:dyDescent="0.2">
      <c r="A163" s="11">
        <v>162</v>
      </c>
      <c r="B163" s="11" t="s">
        <v>82</v>
      </c>
      <c r="E163" s="11" t="s">
        <v>140</v>
      </c>
    </row>
    <row r="164" spans="1:5" ht="25.5" x14ac:dyDescent="0.2">
      <c r="A164" s="11">
        <v>163</v>
      </c>
      <c r="B164" s="11" t="s">
        <v>84</v>
      </c>
      <c r="D164" s="11" t="s">
        <v>3199</v>
      </c>
      <c r="E164" s="11" t="s">
        <v>126</v>
      </c>
    </row>
    <row r="165" spans="1:5" ht="25.5" x14ac:dyDescent="0.2">
      <c r="A165" s="11">
        <v>164</v>
      </c>
      <c r="B165" s="11" t="s">
        <v>84</v>
      </c>
      <c r="D165" s="11" t="s">
        <v>3200</v>
      </c>
      <c r="E165" s="11" t="s">
        <v>126</v>
      </c>
    </row>
    <row r="166" spans="1:5" ht="63.75" x14ac:dyDescent="0.2">
      <c r="A166" s="11">
        <v>165</v>
      </c>
      <c r="B166" s="11" t="s">
        <v>84</v>
      </c>
      <c r="C166" s="11" t="s">
        <v>2060</v>
      </c>
      <c r="D166" s="11" t="s">
        <v>3750</v>
      </c>
      <c r="E166" s="11" t="s">
        <v>140</v>
      </c>
    </row>
    <row r="167" spans="1:5" ht="63.75" x14ac:dyDescent="0.2">
      <c r="A167" s="11">
        <v>166</v>
      </c>
      <c r="B167" s="11" t="s">
        <v>84</v>
      </c>
      <c r="D167" s="11" t="s">
        <v>3201</v>
      </c>
      <c r="E167" s="11" t="s">
        <v>126</v>
      </c>
    </row>
    <row r="168" spans="1:5" ht="25.5" x14ac:dyDescent="0.2">
      <c r="A168" s="11">
        <v>167</v>
      </c>
      <c r="B168" s="11" t="s">
        <v>84</v>
      </c>
      <c r="D168" s="11" t="s">
        <v>3202</v>
      </c>
      <c r="E168" s="11" t="s">
        <v>126</v>
      </c>
    </row>
    <row r="169" spans="1:5" x14ac:dyDescent="0.2">
      <c r="A169" s="11">
        <v>168</v>
      </c>
      <c r="B169" s="11" t="s">
        <v>84</v>
      </c>
      <c r="E169" s="11" t="s">
        <v>126</v>
      </c>
    </row>
    <row r="170" spans="1:5" ht="25.5" x14ac:dyDescent="0.2">
      <c r="A170" s="11">
        <v>169</v>
      </c>
      <c r="B170" s="11" t="s">
        <v>84</v>
      </c>
      <c r="D170" s="11" t="s">
        <v>2070</v>
      </c>
      <c r="E170" s="11" t="s">
        <v>140</v>
      </c>
    </row>
    <row r="171" spans="1:5" ht="25.5" x14ac:dyDescent="0.2">
      <c r="A171" s="11">
        <v>170</v>
      </c>
      <c r="B171" s="11" t="s">
        <v>84</v>
      </c>
      <c r="D171" s="11" t="s">
        <v>3203</v>
      </c>
      <c r="E171" s="11" t="s">
        <v>126</v>
      </c>
    </row>
    <row r="172" spans="1:5" ht="102" x14ac:dyDescent="0.2">
      <c r="A172" s="11">
        <v>171</v>
      </c>
      <c r="B172" s="11" t="s">
        <v>84</v>
      </c>
      <c r="C172" s="11" t="s">
        <v>3009</v>
      </c>
      <c r="D172" s="11" t="s">
        <v>3751</v>
      </c>
      <c r="E172" s="11" t="s">
        <v>90</v>
      </c>
    </row>
    <row r="173" spans="1:5" ht="25.5" x14ac:dyDescent="0.2">
      <c r="A173" s="11">
        <v>172</v>
      </c>
      <c r="B173" s="11" t="s">
        <v>84</v>
      </c>
      <c r="D173" s="11" t="s">
        <v>2081</v>
      </c>
      <c r="E173" s="11" t="s">
        <v>90</v>
      </c>
    </row>
    <row r="174" spans="1:5" ht="25.5" x14ac:dyDescent="0.2">
      <c r="A174" s="11">
        <v>173</v>
      </c>
      <c r="B174" s="11" t="s">
        <v>84</v>
      </c>
      <c r="D174" s="11" t="s">
        <v>3204</v>
      </c>
      <c r="E174" s="11" t="s">
        <v>126</v>
      </c>
    </row>
    <row r="175" spans="1:5" ht="51" x14ac:dyDescent="0.2">
      <c r="A175" s="11">
        <v>174</v>
      </c>
      <c r="B175" s="11" t="s">
        <v>84</v>
      </c>
      <c r="D175" s="11" t="s">
        <v>3205</v>
      </c>
      <c r="E175" s="11" t="s">
        <v>126</v>
      </c>
    </row>
    <row r="176" spans="1:5" ht="25.5" x14ac:dyDescent="0.2">
      <c r="A176" s="11">
        <v>175</v>
      </c>
      <c r="B176" s="11" t="s">
        <v>84</v>
      </c>
      <c r="D176" s="11" t="s">
        <v>3752</v>
      </c>
      <c r="E176" s="11" t="s">
        <v>126</v>
      </c>
    </row>
    <row r="177" spans="1:5" ht="25.5" x14ac:dyDescent="0.2">
      <c r="A177" s="11">
        <v>176</v>
      </c>
      <c r="B177" s="11" t="s">
        <v>84</v>
      </c>
      <c r="D177" s="11" t="s">
        <v>3772</v>
      </c>
      <c r="E177" s="11" t="s">
        <v>126</v>
      </c>
    </row>
    <row r="178" spans="1:5" ht="51" x14ac:dyDescent="0.2">
      <c r="A178" s="11">
        <v>177</v>
      </c>
      <c r="B178" s="11" t="s">
        <v>84</v>
      </c>
      <c r="D178" s="11" t="s">
        <v>3206</v>
      </c>
      <c r="E178" s="11" t="s">
        <v>126</v>
      </c>
    </row>
    <row r="179" spans="1:5" ht="38.25" x14ac:dyDescent="0.2">
      <c r="A179" s="11">
        <v>178</v>
      </c>
      <c r="B179" s="11" t="s">
        <v>84</v>
      </c>
      <c r="D179" s="11" t="s">
        <v>3207</v>
      </c>
      <c r="E179" s="11" t="s">
        <v>126</v>
      </c>
    </row>
    <row r="180" spans="1:5" ht="51" x14ac:dyDescent="0.2">
      <c r="A180" s="11">
        <v>179</v>
      </c>
      <c r="B180" s="11" t="s">
        <v>82</v>
      </c>
      <c r="C180" s="11" t="s">
        <v>2096</v>
      </c>
      <c r="E180" s="11" t="s">
        <v>296</v>
      </c>
    </row>
    <row r="181" spans="1:5" ht="102" x14ac:dyDescent="0.2">
      <c r="A181" s="11">
        <v>180</v>
      </c>
      <c r="B181" s="11" t="s">
        <v>84</v>
      </c>
      <c r="D181" s="11" t="s">
        <v>3782</v>
      </c>
      <c r="E181" s="11" t="s">
        <v>126</v>
      </c>
    </row>
    <row r="182" spans="1:5" x14ac:dyDescent="0.2">
      <c r="A182" s="11">
        <v>181</v>
      </c>
      <c r="B182" s="11" t="s">
        <v>82</v>
      </c>
      <c r="E182" s="11" t="s">
        <v>296</v>
      </c>
    </row>
    <row r="183" spans="1:5" ht="51" x14ac:dyDescent="0.2">
      <c r="A183" s="11">
        <v>182</v>
      </c>
      <c r="B183" s="11" t="s">
        <v>84</v>
      </c>
      <c r="C183" s="11" t="s">
        <v>2102</v>
      </c>
      <c r="D183" s="11" t="s">
        <v>3208</v>
      </c>
      <c r="E183" s="11" t="s">
        <v>140</v>
      </c>
    </row>
    <row r="184" spans="1:5" ht="38.25" x14ac:dyDescent="0.2">
      <c r="A184" s="11">
        <v>183</v>
      </c>
      <c r="B184" s="11" t="s">
        <v>84</v>
      </c>
      <c r="C184" s="11" t="s">
        <v>2106</v>
      </c>
      <c r="E184" s="11" t="s">
        <v>126</v>
      </c>
    </row>
    <row r="185" spans="1:5" x14ac:dyDescent="0.2">
      <c r="A185" s="11">
        <v>184</v>
      </c>
      <c r="B185" s="11" t="s">
        <v>84</v>
      </c>
      <c r="D185" s="11" t="s">
        <v>3209</v>
      </c>
      <c r="E185" s="11" t="s">
        <v>90</v>
      </c>
    </row>
    <row r="186" spans="1:5" x14ac:dyDescent="0.2">
      <c r="A186" s="11">
        <v>185</v>
      </c>
      <c r="B186" s="11" t="s">
        <v>82</v>
      </c>
      <c r="E186" s="11" t="s">
        <v>296</v>
      </c>
    </row>
    <row r="187" spans="1:5" x14ac:dyDescent="0.2">
      <c r="A187" s="11">
        <v>186</v>
      </c>
      <c r="B187" s="11" t="s">
        <v>82</v>
      </c>
      <c r="E187" s="11" t="s">
        <v>296</v>
      </c>
    </row>
    <row r="188" spans="1:5" x14ac:dyDescent="0.2">
      <c r="A188" s="11">
        <v>187</v>
      </c>
      <c r="B188" s="11" t="s">
        <v>84</v>
      </c>
      <c r="E188" s="11" t="s">
        <v>140</v>
      </c>
    </row>
    <row r="189" spans="1:5" ht="114.75" x14ac:dyDescent="0.2">
      <c r="A189" s="11">
        <v>188</v>
      </c>
      <c r="B189" s="11" t="s">
        <v>84</v>
      </c>
      <c r="C189" s="11" t="s">
        <v>2113</v>
      </c>
      <c r="D189" s="11" t="s">
        <v>2114</v>
      </c>
      <c r="E189" s="11" t="s">
        <v>126</v>
      </c>
    </row>
    <row r="190" spans="1:5" ht="38.25" x14ac:dyDescent="0.2">
      <c r="A190" s="11">
        <v>189</v>
      </c>
      <c r="B190" s="11" t="s">
        <v>84</v>
      </c>
      <c r="D190" s="11" t="s">
        <v>3210</v>
      </c>
      <c r="E190" s="11" t="s">
        <v>140</v>
      </c>
    </row>
    <row r="191" spans="1:5" ht="25.5" x14ac:dyDescent="0.2">
      <c r="A191" s="11">
        <v>190</v>
      </c>
      <c r="B191" s="11" t="s">
        <v>84</v>
      </c>
      <c r="D191" s="11" t="s">
        <v>3211</v>
      </c>
      <c r="E191" s="11" t="s">
        <v>126</v>
      </c>
    </row>
    <row r="192" spans="1:5" ht="38.25" x14ac:dyDescent="0.2">
      <c r="A192" s="11">
        <v>191</v>
      </c>
      <c r="B192" s="11" t="s">
        <v>84</v>
      </c>
      <c r="D192" s="11" t="s">
        <v>3783</v>
      </c>
      <c r="E192" s="11" t="s">
        <v>140</v>
      </c>
    </row>
    <row r="193" spans="1:5" x14ac:dyDescent="0.2">
      <c r="A193" s="11">
        <v>192</v>
      </c>
      <c r="B193" s="11" t="s">
        <v>84</v>
      </c>
      <c r="D193" s="7" t="s">
        <v>3212</v>
      </c>
      <c r="E193" s="11" t="s">
        <v>126</v>
      </c>
    </row>
    <row r="194" spans="1:5" ht="63.75" x14ac:dyDescent="0.2">
      <c r="A194" s="11">
        <v>193</v>
      </c>
      <c r="B194" s="11" t="s">
        <v>84</v>
      </c>
      <c r="C194" s="11" t="s">
        <v>4203</v>
      </c>
      <c r="D194" s="11" t="s">
        <v>3797</v>
      </c>
      <c r="E194" s="11" t="s">
        <v>140</v>
      </c>
    </row>
    <row r="195" spans="1:5" x14ac:dyDescent="0.2">
      <c r="A195" s="11">
        <v>194</v>
      </c>
      <c r="B195" s="11" t="s">
        <v>82</v>
      </c>
      <c r="E195" s="11" t="s">
        <v>140</v>
      </c>
    </row>
    <row r="196" spans="1:5" ht="229.5" x14ac:dyDescent="0.2">
      <c r="A196" s="11">
        <v>195</v>
      </c>
      <c r="B196" s="11" t="s">
        <v>84</v>
      </c>
      <c r="D196" s="11" t="s">
        <v>3753</v>
      </c>
      <c r="E196" s="11" t="s">
        <v>296</v>
      </c>
    </row>
    <row r="197" spans="1:5" ht="89.25" x14ac:dyDescent="0.2">
      <c r="A197" s="11">
        <v>196</v>
      </c>
      <c r="B197" s="11" t="s">
        <v>82</v>
      </c>
      <c r="C197" s="11" t="s">
        <v>2505</v>
      </c>
      <c r="E197" s="11" t="s">
        <v>126</v>
      </c>
    </row>
    <row r="198" spans="1:5" ht="38.25" x14ac:dyDescent="0.2">
      <c r="A198" s="11">
        <v>197</v>
      </c>
      <c r="B198" s="33" t="s">
        <v>84</v>
      </c>
      <c r="C198" s="33"/>
      <c r="D198" s="33" t="s">
        <v>3789</v>
      </c>
      <c r="E198" s="33" t="s">
        <v>140</v>
      </c>
    </row>
    <row r="199" spans="1:5" x14ac:dyDescent="0.2">
      <c r="A199" s="11">
        <v>198</v>
      </c>
      <c r="B199" s="33" t="s">
        <v>84</v>
      </c>
      <c r="C199" s="33"/>
      <c r="D199" s="33" t="s">
        <v>2521</v>
      </c>
      <c r="E199" s="33" t="s">
        <v>126</v>
      </c>
    </row>
    <row r="200" spans="1:5" x14ac:dyDescent="0.2">
      <c r="A200" s="11">
        <v>199</v>
      </c>
      <c r="B200" s="11" t="s">
        <v>82</v>
      </c>
      <c r="E200" s="11" t="s">
        <v>126</v>
      </c>
    </row>
    <row r="201" spans="1:5" ht="51" x14ac:dyDescent="0.2">
      <c r="A201" s="11">
        <v>200</v>
      </c>
      <c r="B201" s="11" t="s">
        <v>84</v>
      </c>
      <c r="C201" s="11" t="s">
        <v>2527</v>
      </c>
      <c r="D201" s="11" t="s">
        <v>3754</v>
      </c>
      <c r="E201" s="11" t="s">
        <v>140</v>
      </c>
    </row>
    <row r="202" spans="1:5" ht="38.25" x14ac:dyDescent="0.2">
      <c r="A202" s="11">
        <v>201</v>
      </c>
      <c r="B202" s="11" t="s">
        <v>84</v>
      </c>
      <c r="D202" s="11" t="s">
        <v>3213</v>
      </c>
      <c r="E202" s="11" t="s">
        <v>126</v>
      </c>
    </row>
    <row r="203" spans="1:5" ht="25.5" x14ac:dyDescent="0.2">
      <c r="A203" s="11">
        <v>202</v>
      </c>
      <c r="B203" s="11" t="s">
        <v>84</v>
      </c>
      <c r="D203" s="7" t="s">
        <v>3214</v>
      </c>
      <c r="E203" s="11" t="s">
        <v>126</v>
      </c>
    </row>
    <row r="204" spans="1:5" x14ac:dyDescent="0.2">
      <c r="A204" s="11">
        <v>203</v>
      </c>
      <c r="B204" s="11" t="s">
        <v>84</v>
      </c>
      <c r="E204" s="11" t="s">
        <v>126</v>
      </c>
    </row>
    <row r="205" spans="1:5" ht="25.5" x14ac:dyDescent="0.2">
      <c r="A205" s="11">
        <v>204</v>
      </c>
      <c r="B205" s="11" t="s">
        <v>84</v>
      </c>
      <c r="D205" s="11" t="s">
        <v>3215</v>
      </c>
      <c r="E205" s="11" t="s">
        <v>126</v>
      </c>
    </row>
    <row r="206" spans="1:5" x14ac:dyDescent="0.2">
      <c r="A206" s="11">
        <v>205</v>
      </c>
      <c r="B206" s="11" t="s">
        <v>84</v>
      </c>
      <c r="E206" s="11" t="s">
        <v>126</v>
      </c>
    </row>
    <row r="207" spans="1:5" ht="25.5" x14ac:dyDescent="0.2">
      <c r="A207" s="11">
        <v>206</v>
      </c>
      <c r="B207" s="33" t="s">
        <v>84</v>
      </c>
      <c r="C207" s="33"/>
      <c r="D207" s="33" t="s">
        <v>3233</v>
      </c>
      <c r="E207" s="33" t="s">
        <v>90</v>
      </c>
    </row>
    <row r="208" spans="1:5" x14ac:dyDescent="0.2">
      <c r="A208" s="11">
        <v>207</v>
      </c>
      <c r="B208" s="11" t="s">
        <v>84</v>
      </c>
      <c r="E208" s="11" t="s">
        <v>140</v>
      </c>
    </row>
    <row r="209" spans="1:5" ht="63.75" x14ac:dyDescent="0.2">
      <c r="A209" s="11">
        <v>208</v>
      </c>
      <c r="B209" s="11" t="s">
        <v>84</v>
      </c>
      <c r="C209" s="11" t="s">
        <v>2566</v>
      </c>
      <c r="D209" s="11" t="s">
        <v>3798</v>
      </c>
      <c r="E209" s="11" t="s">
        <v>140</v>
      </c>
    </row>
    <row r="210" spans="1:5" ht="178.5" x14ac:dyDescent="0.2">
      <c r="A210" s="11">
        <v>209</v>
      </c>
      <c r="B210" s="11" t="s">
        <v>84</v>
      </c>
      <c r="D210" s="11" t="s">
        <v>3790</v>
      </c>
      <c r="E210" s="11" t="s">
        <v>126</v>
      </c>
    </row>
    <row r="211" spans="1:5" ht="63.75" x14ac:dyDescent="0.2">
      <c r="A211" s="11">
        <v>210</v>
      </c>
      <c r="B211" s="11" t="s">
        <v>84</v>
      </c>
      <c r="D211" s="11" t="s">
        <v>3217</v>
      </c>
      <c r="E211" s="11" t="s">
        <v>126</v>
      </c>
    </row>
    <row r="212" spans="1:5" x14ac:dyDescent="0.2">
      <c r="A212" s="11">
        <v>211</v>
      </c>
      <c r="B212" s="11" t="s">
        <v>84</v>
      </c>
      <c r="D212" s="11" t="s">
        <v>3216</v>
      </c>
      <c r="E212" s="11" t="s">
        <v>126</v>
      </c>
    </row>
    <row r="213" spans="1:5" x14ac:dyDescent="0.2">
      <c r="A213" s="11">
        <v>212</v>
      </c>
      <c r="B213" s="11" t="s">
        <v>84</v>
      </c>
      <c r="D213" s="11" t="s">
        <v>2616</v>
      </c>
      <c r="E213" s="11" t="s">
        <v>126</v>
      </c>
    </row>
    <row r="214" spans="1:5" x14ac:dyDescent="0.2">
      <c r="A214" s="11">
        <v>213</v>
      </c>
      <c r="B214" s="11" t="s">
        <v>84</v>
      </c>
      <c r="D214" s="11" t="s">
        <v>2108</v>
      </c>
      <c r="E214" s="11" t="s">
        <v>90</v>
      </c>
    </row>
    <row r="215" spans="1:5" ht="38.25" x14ac:dyDescent="0.2">
      <c r="A215" s="11">
        <v>214</v>
      </c>
      <c r="B215" s="11" t="s">
        <v>84</v>
      </c>
      <c r="D215" s="11" t="s">
        <v>3755</v>
      </c>
      <c r="E215" s="11" t="s">
        <v>126</v>
      </c>
    </row>
    <row r="216" spans="1:5" x14ac:dyDescent="0.2">
      <c r="A216" s="11">
        <v>215</v>
      </c>
      <c r="B216" s="33" t="s">
        <v>145</v>
      </c>
      <c r="C216" s="33"/>
      <c r="D216" s="33"/>
      <c r="E216" s="33" t="s">
        <v>140</v>
      </c>
    </row>
    <row r="217" spans="1:5" ht="76.5" x14ac:dyDescent="0.2">
      <c r="A217" s="11">
        <v>216</v>
      </c>
      <c r="B217" s="11" t="s">
        <v>84</v>
      </c>
      <c r="C217" s="11" t="s">
        <v>3008</v>
      </c>
      <c r="D217" s="11" t="s">
        <v>3788</v>
      </c>
      <c r="E217" s="11" t="s">
        <v>126</v>
      </c>
    </row>
    <row r="218" spans="1:5" ht="25.5" x14ac:dyDescent="0.2">
      <c r="A218" s="11">
        <v>217</v>
      </c>
      <c r="B218" s="11" t="s">
        <v>84</v>
      </c>
      <c r="D218" s="11" t="s">
        <v>3234</v>
      </c>
      <c r="E218" s="11" t="s">
        <v>126</v>
      </c>
    </row>
    <row r="219" spans="1:5" ht="25.5" x14ac:dyDescent="0.2">
      <c r="A219" s="11">
        <v>218</v>
      </c>
      <c r="B219" s="11" t="s">
        <v>84</v>
      </c>
      <c r="D219" s="11" t="s">
        <v>3773</v>
      </c>
      <c r="E219" s="11" t="s">
        <v>126</v>
      </c>
    </row>
    <row r="220" spans="1:5" x14ac:dyDescent="0.2">
      <c r="A220" s="11">
        <v>219</v>
      </c>
      <c r="B220" s="11" t="s">
        <v>84</v>
      </c>
      <c r="E220" s="11" t="s">
        <v>140</v>
      </c>
    </row>
    <row r="221" spans="1:5" x14ac:dyDescent="0.2">
      <c r="A221" s="11">
        <v>220</v>
      </c>
      <c r="B221" s="11" t="s">
        <v>82</v>
      </c>
      <c r="E221" s="11" t="s">
        <v>126</v>
      </c>
    </row>
    <row r="222" spans="1:5" ht="25.5" x14ac:dyDescent="0.2">
      <c r="A222" s="11">
        <v>221</v>
      </c>
      <c r="B222" s="11" t="s">
        <v>84</v>
      </c>
      <c r="D222" s="11" t="s">
        <v>2677</v>
      </c>
      <c r="E222" s="11" t="s">
        <v>126</v>
      </c>
    </row>
    <row r="223" spans="1:5" ht="25.5" x14ac:dyDescent="0.2">
      <c r="A223" s="11">
        <v>222</v>
      </c>
      <c r="B223" s="11" t="s">
        <v>84</v>
      </c>
      <c r="D223" s="11" t="s">
        <v>3774</v>
      </c>
      <c r="E223" s="11" t="s">
        <v>126</v>
      </c>
    </row>
    <row r="224" spans="1:5" ht="25.5" x14ac:dyDescent="0.2">
      <c r="A224" s="11">
        <v>223</v>
      </c>
      <c r="B224" s="33" t="s">
        <v>84</v>
      </c>
      <c r="C224" s="33"/>
      <c r="D224" s="33" t="s">
        <v>3235</v>
      </c>
      <c r="E224" s="33" t="s">
        <v>140</v>
      </c>
    </row>
    <row r="225" spans="1:5" ht="51" x14ac:dyDescent="0.2">
      <c r="A225" s="11">
        <v>224</v>
      </c>
      <c r="B225" s="11" t="s">
        <v>84</v>
      </c>
      <c r="C225" s="11" t="s">
        <v>2697</v>
      </c>
      <c r="D225" s="11" t="s">
        <v>3236</v>
      </c>
      <c r="E225" s="11" t="s">
        <v>126</v>
      </c>
    </row>
    <row r="226" spans="1:5" x14ac:dyDescent="0.2">
      <c r="A226" s="11">
        <v>225</v>
      </c>
      <c r="B226" s="11" t="s">
        <v>145</v>
      </c>
      <c r="E226" s="11" t="s">
        <v>140</v>
      </c>
    </row>
    <row r="227" spans="1:5" x14ac:dyDescent="0.2">
      <c r="A227" s="11">
        <v>226</v>
      </c>
      <c r="B227" s="11" t="s">
        <v>82</v>
      </c>
      <c r="C227" s="11" t="s">
        <v>2720</v>
      </c>
      <c r="E227" s="11" t="s">
        <v>140</v>
      </c>
    </row>
    <row r="228" spans="1:5" x14ac:dyDescent="0.2">
      <c r="A228" s="11">
        <v>227</v>
      </c>
      <c r="B228" s="11" t="s">
        <v>84</v>
      </c>
      <c r="D228" s="11" t="s">
        <v>3237</v>
      </c>
      <c r="E228" s="11" t="s">
        <v>126</v>
      </c>
    </row>
    <row r="229" spans="1:5" x14ac:dyDescent="0.2">
      <c r="A229" s="11">
        <v>228</v>
      </c>
      <c r="B229" s="11" t="s">
        <v>84</v>
      </c>
      <c r="E229" s="11" t="s">
        <v>126</v>
      </c>
    </row>
    <row r="230" spans="1:5" x14ac:dyDescent="0.2">
      <c r="A230" s="11">
        <v>229</v>
      </c>
      <c r="B230" s="11" t="s">
        <v>84</v>
      </c>
      <c r="D230" s="11" t="s">
        <v>3238</v>
      </c>
      <c r="E230" s="11" t="s">
        <v>126</v>
      </c>
    </row>
    <row r="231" spans="1:5" x14ac:dyDescent="0.2">
      <c r="A231" s="11">
        <v>230</v>
      </c>
      <c r="B231" s="11" t="s">
        <v>84</v>
      </c>
      <c r="E231" s="11" t="s">
        <v>126</v>
      </c>
    </row>
    <row r="232" spans="1:5" ht="89.25" x14ac:dyDescent="0.2">
      <c r="A232" s="11">
        <v>231</v>
      </c>
      <c r="B232" s="11" t="s">
        <v>84</v>
      </c>
      <c r="C232" s="11" t="s">
        <v>2749</v>
      </c>
      <c r="D232" s="11" t="s">
        <v>3239</v>
      </c>
      <c r="E232" s="11" t="s">
        <v>126</v>
      </c>
    </row>
    <row r="233" spans="1:5" x14ac:dyDescent="0.2">
      <c r="A233" s="11">
        <v>232</v>
      </c>
      <c r="B233" s="11" t="s">
        <v>82</v>
      </c>
      <c r="E233" s="11" t="s">
        <v>296</v>
      </c>
    </row>
    <row r="234" spans="1:5" ht="25.5" x14ac:dyDescent="0.2">
      <c r="A234" s="11">
        <v>233</v>
      </c>
      <c r="B234" s="11" t="s">
        <v>84</v>
      </c>
      <c r="D234" s="7" t="s">
        <v>3784</v>
      </c>
      <c r="E234" s="11" t="s">
        <v>140</v>
      </c>
    </row>
    <row r="235" spans="1:5" x14ac:dyDescent="0.2">
      <c r="A235" s="11">
        <v>234</v>
      </c>
      <c r="B235" s="11" t="s">
        <v>84</v>
      </c>
      <c r="E235" s="11" t="s">
        <v>126</v>
      </c>
    </row>
    <row r="236" spans="1:5" ht="63.75" x14ac:dyDescent="0.2">
      <c r="A236" s="11">
        <v>235</v>
      </c>
      <c r="B236" s="11" t="s">
        <v>84</v>
      </c>
      <c r="C236" s="11" t="s">
        <v>2781</v>
      </c>
      <c r="D236" s="11" t="s">
        <v>3775</v>
      </c>
      <c r="E236" s="11" t="s">
        <v>126</v>
      </c>
    </row>
    <row r="237" spans="1:5" x14ac:dyDescent="0.2">
      <c r="A237" s="11">
        <v>236</v>
      </c>
      <c r="B237" s="11" t="s">
        <v>84</v>
      </c>
      <c r="C237" s="11" t="s">
        <v>2798</v>
      </c>
      <c r="D237" s="11" t="s">
        <v>3240</v>
      </c>
      <c r="E237" s="11" t="s">
        <v>90</v>
      </c>
    </row>
    <row r="238" spans="1:5" ht="25.5" x14ac:dyDescent="0.2">
      <c r="A238" s="11">
        <v>237</v>
      </c>
      <c r="B238" s="11" t="s">
        <v>84</v>
      </c>
      <c r="D238" s="7" t="s">
        <v>3241</v>
      </c>
      <c r="E238" s="11" t="s">
        <v>140</v>
      </c>
    </row>
    <row r="239" spans="1:5" ht="25.5" x14ac:dyDescent="0.2">
      <c r="A239" s="11">
        <v>238</v>
      </c>
      <c r="B239" s="11" t="s">
        <v>84</v>
      </c>
      <c r="D239" s="7" t="s">
        <v>3242</v>
      </c>
      <c r="E239" s="11" t="s">
        <v>126</v>
      </c>
    </row>
    <row r="240" spans="1:5" ht="38.25" x14ac:dyDescent="0.2">
      <c r="A240" s="11">
        <v>239</v>
      </c>
      <c r="B240" s="11" t="s">
        <v>84</v>
      </c>
      <c r="D240" s="11" t="s">
        <v>3243</v>
      </c>
      <c r="E240" s="11" t="s">
        <v>126</v>
      </c>
    </row>
    <row r="241" spans="1:5" x14ac:dyDescent="0.2">
      <c r="A241" s="11">
        <v>240</v>
      </c>
      <c r="B241" s="33" t="s">
        <v>82</v>
      </c>
      <c r="C241" s="33"/>
      <c r="D241" s="33"/>
      <c r="E241" s="33" t="s">
        <v>90</v>
      </c>
    </row>
    <row r="242" spans="1:5" x14ac:dyDescent="0.2">
      <c r="A242" s="11">
        <v>241</v>
      </c>
      <c r="B242" s="11" t="s">
        <v>84</v>
      </c>
      <c r="D242" s="11" t="s">
        <v>2859</v>
      </c>
      <c r="E242" s="11" t="s">
        <v>140</v>
      </c>
    </row>
    <row r="243" spans="1:5" ht="63.75" x14ac:dyDescent="0.2">
      <c r="A243" s="11">
        <v>242</v>
      </c>
      <c r="B243" s="11" t="s">
        <v>84</v>
      </c>
      <c r="C243" s="11" t="s">
        <v>3007</v>
      </c>
      <c r="D243" s="11" t="s">
        <v>3244</v>
      </c>
      <c r="E243" s="11" t="s">
        <v>140</v>
      </c>
    </row>
    <row r="244" spans="1:5" x14ac:dyDescent="0.2">
      <c r="A244" s="11">
        <v>243</v>
      </c>
      <c r="B244" s="11" t="s">
        <v>82</v>
      </c>
      <c r="E244" s="11" t="s">
        <v>90</v>
      </c>
    </row>
    <row r="245" spans="1:5" ht="89.25" x14ac:dyDescent="0.2">
      <c r="A245" s="11">
        <v>244</v>
      </c>
      <c r="B245" s="11" t="s">
        <v>84</v>
      </c>
      <c r="C245" s="11" t="s">
        <v>2895</v>
      </c>
      <c r="D245" s="11" t="s">
        <v>3756</v>
      </c>
      <c r="E245" s="11" t="s">
        <v>126</v>
      </c>
    </row>
    <row r="246" spans="1:5" x14ac:dyDescent="0.2">
      <c r="A246" s="11">
        <v>245</v>
      </c>
      <c r="B246" s="11" t="s">
        <v>84</v>
      </c>
      <c r="C246" s="11" t="s">
        <v>2912</v>
      </c>
      <c r="D246" s="11" t="s">
        <v>2913</v>
      </c>
      <c r="E246" s="11" t="s">
        <v>140</v>
      </c>
    </row>
    <row r="247" spans="1:5" x14ac:dyDescent="0.2">
      <c r="A247" s="11">
        <v>246</v>
      </c>
      <c r="B247" s="11" t="s">
        <v>84</v>
      </c>
      <c r="D247" s="11" t="s">
        <v>3245</v>
      </c>
      <c r="E247" s="11" t="s">
        <v>126</v>
      </c>
    </row>
    <row r="248" spans="1:5" ht="38.25" x14ac:dyDescent="0.2">
      <c r="A248" s="11">
        <v>247</v>
      </c>
      <c r="B248" s="11" t="s">
        <v>84</v>
      </c>
      <c r="D248" s="11" t="s">
        <v>3246</v>
      </c>
      <c r="E248" s="11" t="s">
        <v>126</v>
      </c>
    </row>
    <row r="249" spans="1:5" x14ac:dyDescent="0.2">
      <c r="A249" s="11">
        <v>248</v>
      </c>
      <c r="B249" s="11" t="s">
        <v>84</v>
      </c>
      <c r="E249" s="11" t="s">
        <v>126</v>
      </c>
    </row>
    <row r="250" spans="1:5" x14ac:dyDescent="0.2">
      <c r="A250" s="11">
        <v>249</v>
      </c>
      <c r="B250" s="11" t="s">
        <v>84</v>
      </c>
      <c r="E250" s="11" t="s">
        <v>296</v>
      </c>
    </row>
    <row r="251" spans="1:5" x14ac:dyDescent="0.2">
      <c r="A251" s="11">
        <v>250</v>
      </c>
      <c r="B251" s="11" t="s">
        <v>84</v>
      </c>
      <c r="E251" s="11" t="s">
        <v>140</v>
      </c>
    </row>
    <row r="252" spans="1:5" ht="38.25" x14ac:dyDescent="0.2">
      <c r="A252" s="11">
        <v>251</v>
      </c>
      <c r="B252" s="11" t="s">
        <v>84</v>
      </c>
      <c r="D252" s="11" t="s">
        <v>3247</v>
      </c>
      <c r="E252" s="11" t="s">
        <v>126</v>
      </c>
    </row>
    <row r="253" spans="1:5" ht="38.25" x14ac:dyDescent="0.2">
      <c r="A253" s="11">
        <v>252</v>
      </c>
      <c r="B253" s="11" t="s">
        <v>84</v>
      </c>
      <c r="D253" s="11" t="s">
        <v>3230</v>
      </c>
      <c r="E253" s="11" t="s">
        <v>126</v>
      </c>
    </row>
    <row r="254" spans="1:5" x14ac:dyDescent="0.2">
      <c r="A254" s="11">
        <v>253</v>
      </c>
      <c r="B254" s="11" t="s">
        <v>84</v>
      </c>
      <c r="E254" s="11" t="s">
        <v>126</v>
      </c>
    </row>
    <row r="255" spans="1:5" ht="25.5" x14ac:dyDescent="0.2">
      <c r="A255" s="11">
        <v>254</v>
      </c>
      <c r="B255" s="11" t="s">
        <v>84</v>
      </c>
      <c r="D255" s="11" t="s">
        <v>3757</v>
      </c>
      <c r="E255" s="11" t="s">
        <v>140</v>
      </c>
    </row>
    <row r="256" spans="1:5" ht="25.5" x14ac:dyDescent="0.2">
      <c r="A256" s="11">
        <v>255</v>
      </c>
      <c r="B256" s="33" t="s">
        <v>84</v>
      </c>
      <c r="C256" s="33" t="s">
        <v>2979</v>
      </c>
      <c r="D256" s="33" t="s">
        <v>3229</v>
      </c>
      <c r="E256" s="33" t="s">
        <v>126</v>
      </c>
    </row>
    <row r="257" spans="1:5" ht="76.5" x14ac:dyDescent="0.2">
      <c r="A257" s="11">
        <v>256</v>
      </c>
      <c r="B257" s="33" t="s">
        <v>84</v>
      </c>
      <c r="C257" s="33"/>
      <c r="D257" s="33" t="s">
        <v>3228</v>
      </c>
      <c r="E257" s="33" t="s">
        <v>126</v>
      </c>
    </row>
    <row r="258" spans="1:5" ht="63.75" x14ac:dyDescent="0.2">
      <c r="A258" s="11">
        <v>257</v>
      </c>
      <c r="B258" s="11" t="s">
        <v>84</v>
      </c>
      <c r="D258" s="11" t="s">
        <v>3226</v>
      </c>
      <c r="E258" s="11" t="s">
        <v>126</v>
      </c>
    </row>
    <row r="259" spans="1:5" x14ac:dyDescent="0.2">
      <c r="A259" s="11">
        <v>258</v>
      </c>
      <c r="B259" s="11" t="s">
        <v>84</v>
      </c>
      <c r="D259" s="7" t="s">
        <v>3227</v>
      </c>
      <c r="E259" s="11" t="s">
        <v>126</v>
      </c>
    </row>
    <row r="260" spans="1:5" ht="25.5" x14ac:dyDescent="0.2">
      <c r="A260" s="11">
        <v>259</v>
      </c>
      <c r="B260" s="11" t="s">
        <v>84</v>
      </c>
      <c r="D260" s="11" t="s">
        <v>3758</v>
      </c>
      <c r="E260" s="11" t="s">
        <v>126</v>
      </c>
    </row>
    <row r="261" spans="1:5" ht="140.25" x14ac:dyDescent="0.2">
      <c r="A261" s="11">
        <v>260</v>
      </c>
      <c r="B261" s="11" t="s">
        <v>84</v>
      </c>
      <c r="D261" s="11" t="s">
        <v>3225</v>
      </c>
      <c r="E261" s="11" t="s">
        <v>126</v>
      </c>
    </row>
    <row r="262" spans="1:5" x14ac:dyDescent="0.2">
      <c r="A262" s="11">
        <v>261</v>
      </c>
      <c r="B262" s="11" t="s">
        <v>145</v>
      </c>
      <c r="C262" s="11" t="s">
        <v>3078</v>
      </c>
      <c r="E262" s="11" t="s">
        <v>90</v>
      </c>
    </row>
    <row r="263" spans="1:5" ht="38.25" x14ac:dyDescent="0.2">
      <c r="A263" s="11">
        <v>262</v>
      </c>
      <c r="B263" s="11" t="s">
        <v>84</v>
      </c>
      <c r="D263" s="11" t="s">
        <v>3224</v>
      </c>
      <c r="E263" s="11" t="s">
        <v>126</v>
      </c>
    </row>
    <row r="264" spans="1:5" x14ac:dyDescent="0.2">
      <c r="A264" s="11">
        <v>263</v>
      </c>
      <c r="B264" s="11" t="s">
        <v>84</v>
      </c>
      <c r="D264" s="7" t="s">
        <v>3223</v>
      </c>
      <c r="E264" s="11" t="s">
        <v>126</v>
      </c>
    </row>
    <row r="265" spans="1:5" x14ac:dyDescent="0.2">
      <c r="A265" s="11">
        <v>264</v>
      </c>
      <c r="B265" s="11" t="s">
        <v>84</v>
      </c>
      <c r="E265" s="11" t="s">
        <v>296</v>
      </c>
    </row>
    <row r="266" spans="1:5" ht="25.5" x14ac:dyDescent="0.2">
      <c r="A266" s="11">
        <v>265</v>
      </c>
      <c r="B266" s="11" t="s">
        <v>84</v>
      </c>
      <c r="D266" s="11" t="s">
        <v>3222</v>
      </c>
      <c r="E266" s="11" t="s">
        <v>126</v>
      </c>
    </row>
    <row r="267" spans="1:5" x14ac:dyDescent="0.2">
      <c r="A267" s="11">
        <v>266</v>
      </c>
      <c r="B267" s="11" t="s">
        <v>145</v>
      </c>
      <c r="E267" s="11" t="s">
        <v>140</v>
      </c>
    </row>
    <row r="268" spans="1:5" x14ac:dyDescent="0.2">
      <c r="A268" s="11">
        <v>267</v>
      </c>
      <c r="B268" s="11" t="s">
        <v>84</v>
      </c>
      <c r="D268" s="7" t="s">
        <v>3221</v>
      </c>
      <c r="E268" s="11" t="s">
        <v>126</v>
      </c>
    </row>
    <row r="269" spans="1:5" x14ac:dyDescent="0.2">
      <c r="A269" s="11">
        <v>268</v>
      </c>
      <c r="B269" s="11" t="s">
        <v>82</v>
      </c>
      <c r="E269" s="11" t="s">
        <v>90</v>
      </c>
    </row>
    <row r="270" spans="1:5" ht="38.25" x14ac:dyDescent="0.2">
      <c r="A270" s="11">
        <v>269</v>
      </c>
      <c r="B270" s="11" t="s">
        <v>145</v>
      </c>
      <c r="C270" s="11" t="s">
        <v>3137</v>
      </c>
      <c r="E270" s="11" t="s">
        <v>641</v>
      </c>
    </row>
    <row r="271" spans="1:5" x14ac:dyDescent="0.2">
      <c r="A271" s="11">
        <v>270</v>
      </c>
      <c r="B271" s="11" t="s">
        <v>84</v>
      </c>
      <c r="D271" s="11" t="s">
        <v>3220</v>
      </c>
      <c r="E271" s="11" t="s">
        <v>140</v>
      </c>
    </row>
    <row r="272" spans="1:5" ht="63.75" x14ac:dyDescent="0.2">
      <c r="A272" s="11">
        <v>271</v>
      </c>
      <c r="B272" s="11" t="s">
        <v>82</v>
      </c>
      <c r="C272" s="11" t="s">
        <v>3163</v>
      </c>
      <c r="E272" s="11" t="s">
        <v>90</v>
      </c>
    </row>
    <row r="273" spans="1:5" ht="38.25" x14ac:dyDescent="0.2">
      <c r="A273" s="11">
        <v>272</v>
      </c>
      <c r="B273" s="11" t="s">
        <v>84</v>
      </c>
      <c r="D273" s="11" t="s">
        <v>3219</v>
      </c>
      <c r="E273" s="11" t="s">
        <v>126</v>
      </c>
    </row>
    <row r="274" spans="1:5" x14ac:dyDescent="0.2">
      <c r="A274" s="11">
        <v>273</v>
      </c>
      <c r="B274" s="11" t="s">
        <v>145</v>
      </c>
      <c r="C274" s="11" t="s">
        <v>3580</v>
      </c>
      <c r="E274" s="11" t="s">
        <v>126</v>
      </c>
    </row>
    <row r="275" spans="1:5" ht="51" x14ac:dyDescent="0.2">
      <c r="A275" s="11">
        <v>274</v>
      </c>
      <c r="B275" s="11" t="s">
        <v>84</v>
      </c>
      <c r="D275" s="11" t="s">
        <v>3603</v>
      </c>
      <c r="E275" s="11" t="s">
        <v>126</v>
      </c>
    </row>
    <row r="276" spans="1:5" ht="114.75" x14ac:dyDescent="0.2">
      <c r="A276" s="11">
        <v>275</v>
      </c>
      <c r="B276" s="11" t="s">
        <v>84</v>
      </c>
      <c r="D276" s="11" t="s">
        <v>3776</v>
      </c>
      <c r="E276" s="11" t="s">
        <v>126</v>
      </c>
    </row>
    <row r="277" spans="1:5" ht="38.25" x14ac:dyDescent="0.2">
      <c r="A277" s="11">
        <v>276</v>
      </c>
      <c r="B277" s="11" t="s">
        <v>84</v>
      </c>
      <c r="D277" s="11" t="s">
        <v>4004</v>
      </c>
      <c r="E277" s="11" t="s">
        <v>126</v>
      </c>
    </row>
  </sheetData>
  <pageMargins left="0.5" right="0.5" top="1" bottom="1" header="0.5" footer="0.5"/>
  <pageSetup orientation="portrait" useFirstPageNumber="1" r:id="rId1"/>
  <headerFooter>
    <oddHeader>&amp;C&amp;"Times New Roman,Regular"&amp;12&amp;A</oddHeader>
    <oddFooter>&amp;C&amp;"Times New Roman,Regular"&amp;12Page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8B94-45C4-4BA8-BF9D-29E43DDA5783}">
  <dimension ref="A1:AW277"/>
  <sheetViews>
    <sheetView topLeftCell="N1" zoomScale="70" zoomScaleNormal="70" workbookViewId="0">
      <pane ySplit="1" topLeftCell="A2" activePane="bottomLeft" state="frozen"/>
      <selection activeCell="F1" sqref="F1"/>
      <selection pane="bottomLeft" activeCell="Q1" sqref="Q1"/>
    </sheetView>
  </sheetViews>
  <sheetFormatPr defaultColWidth="9.140625" defaultRowHeight="12.75" x14ac:dyDescent="0.2"/>
  <cols>
    <col min="1" max="1" width="9.140625" style="11"/>
    <col min="2" max="2" width="24.85546875" style="11" bestFit="1" customWidth="1"/>
    <col min="3" max="3" width="13.7109375" style="11" customWidth="1"/>
    <col min="4" max="4" width="12.140625" style="11" customWidth="1"/>
    <col min="5" max="5" width="32.5703125" style="11" customWidth="1"/>
    <col min="6" max="7" width="12.42578125" style="7" customWidth="1"/>
    <col min="8" max="8" width="12.7109375" style="7" customWidth="1"/>
    <col min="9" max="9" width="11.85546875" style="7" customWidth="1"/>
    <col min="10" max="10" width="13.5703125" style="7" customWidth="1"/>
    <col min="11" max="11" width="65.85546875" style="11" customWidth="1"/>
    <col min="12" max="13" width="12.42578125" style="7" customWidth="1"/>
    <col min="14" max="14" width="12.7109375" style="7" customWidth="1"/>
    <col min="15" max="15" width="11.85546875" style="7" customWidth="1"/>
    <col min="16" max="16" width="11.7109375" style="7" customWidth="1"/>
    <col min="17" max="17" width="9.140625" style="11"/>
    <col min="18" max="18" width="29.5703125" style="11" customWidth="1"/>
    <col min="19" max="33" width="9.140625" style="11"/>
    <col min="34" max="34" width="28.7109375" style="11" customWidth="1"/>
    <col min="35" max="16384" width="9.140625" style="11"/>
  </cols>
  <sheetData>
    <row r="1" spans="1:49" s="2" customFormat="1" ht="63.75" x14ac:dyDescent="0.2">
      <c r="B1" s="2" t="s">
        <v>642</v>
      </c>
      <c r="C1" s="22" t="s">
        <v>3608</v>
      </c>
      <c r="D1" s="2" t="s">
        <v>643</v>
      </c>
      <c r="E1" s="22" t="s">
        <v>644</v>
      </c>
      <c r="F1" s="2" t="s">
        <v>1936</v>
      </c>
      <c r="G1" s="2" t="s">
        <v>978</v>
      </c>
      <c r="H1" s="2" t="s">
        <v>1935</v>
      </c>
      <c r="I1" s="2" t="s">
        <v>478</v>
      </c>
      <c r="J1" s="2" t="s">
        <v>702</v>
      </c>
      <c r="K1" s="22" t="s">
        <v>645</v>
      </c>
      <c r="L1" s="2" t="s">
        <v>1936</v>
      </c>
      <c r="M1" s="2" t="s">
        <v>978</v>
      </c>
      <c r="N1" s="2" t="s">
        <v>1935</v>
      </c>
      <c r="O1" s="2" t="s">
        <v>478</v>
      </c>
      <c r="P1" s="2" t="s">
        <v>702</v>
      </c>
      <c r="R1" s="8" t="s">
        <v>642</v>
      </c>
      <c r="S1" s="8" t="s">
        <v>3570</v>
      </c>
      <c r="T1" s="8"/>
      <c r="U1" s="8" t="s">
        <v>4002</v>
      </c>
      <c r="V1" s="8" t="s">
        <v>4014</v>
      </c>
      <c r="W1" s="8" t="s">
        <v>4003</v>
      </c>
      <c r="X1" s="8"/>
      <c r="Y1" s="8" t="s">
        <v>105</v>
      </c>
      <c r="Z1" s="8" t="s">
        <v>324</v>
      </c>
      <c r="AA1" s="8" t="s">
        <v>309</v>
      </c>
      <c r="AB1" s="8" t="s">
        <v>443</v>
      </c>
      <c r="AC1" s="8" t="s">
        <v>107</v>
      </c>
      <c r="AD1" s="8" t="s">
        <v>3959</v>
      </c>
      <c r="AE1" s="8" t="s">
        <v>377</v>
      </c>
      <c r="AF1" s="8" t="s">
        <v>161</v>
      </c>
      <c r="AG1" s="8"/>
      <c r="AH1" s="8" t="s">
        <v>1939</v>
      </c>
      <c r="AI1" s="8" t="s">
        <v>3570</v>
      </c>
      <c r="AJ1" s="8"/>
      <c r="AK1" s="8" t="s">
        <v>4002</v>
      </c>
      <c r="AL1" s="8" t="s">
        <v>4014</v>
      </c>
      <c r="AM1" s="8" t="s">
        <v>4003</v>
      </c>
      <c r="AN1" s="8"/>
      <c r="AO1" s="8" t="s">
        <v>105</v>
      </c>
      <c r="AP1" s="8" t="s">
        <v>324</v>
      </c>
      <c r="AQ1" s="8" t="s">
        <v>309</v>
      </c>
      <c r="AR1" s="8" t="s">
        <v>443</v>
      </c>
      <c r="AS1" s="8" t="s">
        <v>107</v>
      </c>
      <c r="AT1" s="8" t="s">
        <v>3959</v>
      </c>
      <c r="AU1" s="8" t="s">
        <v>377</v>
      </c>
      <c r="AV1" s="8" t="s">
        <v>161</v>
      </c>
      <c r="AW1" s="8"/>
    </row>
    <row r="2" spans="1:49" x14ac:dyDescent="0.2">
      <c r="A2" s="11">
        <v>1</v>
      </c>
      <c r="B2" s="11" t="s">
        <v>91</v>
      </c>
      <c r="D2" s="11" t="s">
        <v>80</v>
      </c>
      <c r="F2" s="21"/>
      <c r="G2" s="21"/>
      <c r="H2" s="21"/>
      <c r="I2" s="21"/>
      <c r="J2" s="21"/>
      <c r="K2" s="11" t="s">
        <v>986</v>
      </c>
      <c r="L2" s="21" t="s">
        <v>84</v>
      </c>
      <c r="M2" s="21"/>
      <c r="N2" s="21"/>
      <c r="O2" s="21"/>
      <c r="P2" s="21"/>
      <c r="R2" s="11" t="s">
        <v>82</v>
      </c>
      <c r="S2" s="11">
        <f>COUNTIF($B$2:$B$496,"No")</f>
        <v>4</v>
      </c>
      <c r="U2" s="11">
        <f>COUNTIFS($B$2:$B$496,"No",'1'!$F$2:$F$496,"*staff*")</f>
        <v>1</v>
      </c>
      <c r="V2" s="11">
        <f>COUNTIFS($B$2:$B$496,"No",'1'!$F$2:$F$496,"*both*")</f>
        <v>2</v>
      </c>
      <c r="W2" s="11">
        <f>COUNTIFS($B$2:$B$496,"No",'1'!$F$2:$F$496,"*users work*")</f>
        <v>1</v>
      </c>
      <c r="Y2" s="11">
        <f>COUNTIFS($B$2:$B$496,"No",'1'!$B$2:$B$496,"*flow cytometry*")</f>
        <v>0</v>
      </c>
      <c r="Z2" s="11">
        <f>COUNTIFS($B$2:$B$496,"No",'1'!$B$2:$B$496,"*genomics*")</f>
        <v>0</v>
      </c>
      <c r="AA2" s="11">
        <f>COUNTIFS($B$2:$B$496,"No",'1'!$B$2:$B$496,"*histology*")</f>
        <v>0</v>
      </c>
      <c r="AB2" s="11">
        <f>COUNTIFS($B$2:$B$496,"No",'1'!$B$2:$B$496,"*metabolomics*")</f>
        <v>0</v>
      </c>
      <c r="AC2" s="11">
        <f>COUNTIFS($B$2:$B$496,"No",'1'!$B$2:$B$496,"*microscopy*")</f>
        <v>1</v>
      </c>
      <c r="AD2" s="11">
        <f>COUNTIFS($B$2:$B$496,"No",'1'!$B$2:$B$496,"*mouse*")</f>
        <v>0</v>
      </c>
      <c r="AE2" s="11">
        <f>COUNTIFS($B$2:$B$496,"No",'1'!$B$2:$B$496,"*protein expression*")</f>
        <v>0</v>
      </c>
      <c r="AF2" s="11">
        <f>COUNTIFS($B$2:$B$496,"No",'1'!$B$2:$B$496,"*proteomics*")</f>
        <v>0</v>
      </c>
      <c r="AH2" s="11" t="s">
        <v>977</v>
      </c>
      <c r="AI2" s="11">
        <f>COUNTIF($L$2:$L$496,"Yes")+COUNTIF($F$2:$F$496,"Yes")</f>
        <v>243</v>
      </c>
      <c r="AK2" s="11">
        <f>COUNTIFS($L$2:$L$496,"Yes",'1'!$F$2:$F$496,"*staff*")+COUNTIFS($F$2:$F$496,"Yes",'1'!$F$2:$F$496,"*staff*")</f>
        <v>67</v>
      </c>
      <c r="AL2" s="11">
        <f>COUNTIFS($L$2:$L$496,"Yes",'1'!$F$2:$F$496,"*both*")+COUNTIFS($F$2:$F$496,"Yes",'1'!$F$2:$F$496,"*both*")</f>
        <v>158</v>
      </c>
      <c r="AM2" s="11">
        <f>COUNTIFS($L$2:$L$496,"Yes",'1'!$F$2:$F$496,"*users work*")+COUNTIFS($F$2:$F$496,"Yes",'1'!$F$2:$F$496,"*users work*")</f>
        <v>18</v>
      </c>
      <c r="AO2" s="11">
        <f>COUNTIFS($L$2:$L$496,"Yes",'1'!$B$2:$B$496,"*flow cytometry*")+COUNTIFS($F$2:$F$496,"Yes",'1'!$B$2:$B$496,"*flow cytometry*")</f>
        <v>46</v>
      </c>
      <c r="AP2" s="11">
        <f>COUNTIFS($L$2:$L$496,"Yes",'1'!$B$2:$B$496,"*genomics*")+COUNTIFS($F$2:$F$496,"Yes",'1'!$B$2:$B$496,"*genomics*")</f>
        <v>30</v>
      </c>
      <c r="AQ2" s="11">
        <f>COUNTIFS($L$2:$L$496,"Yes",'1'!$B$2:$B$496,"*histology*")+COUNTIFS($F$2:$F$496,"Yes",'1'!$B$2:$B$496,"*histology*")</f>
        <v>10</v>
      </c>
      <c r="AR2" s="11">
        <f>COUNTIFS($L$2:$L$496,"Yes",'1'!$B$2:$B$496,"*metabolomics*")+COUNTIFS($F$2:$F$496,"Yes",'1'!$B$2:$B$496,"*metabolomics*")</f>
        <v>7</v>
      </c>
      <c r="AS2" s="11">
        <f>COUNTIFS($L$2:$L$496,"Yes",'1'!$B$2:$B$496,"*microscopy*")+COUNTIFS($F$2:$F$496,"Yes",'1'!$B$2:$B$496,"*microscopy*")</f>
        <v>59</v>
      </c>
      <c r="AT2" s="11">
        <f>COUNTIFS($L$2:$L$496,"Yes",'1'!$B$2:$B$496,"*mouse*")+COUNTIFS($F$2:$F$496,"Yes",'1'!$B$2:$B$496,"*mouse*")</f>
        <v>11</v>
      </c>
      <c r="AU2" s="11">
        <f>COUNTIFS($L$2:$L$496,"Yes",'1'!$B$2:$B$496,"*protein expression*")+COUNTIFS($F$2:$F$496,"Yes",'1'!$B$2:$B$496,"*protein expression*")</f>
        <v>7</v>
      </c>
      <c r="AV2" s="11">
        <f>COUNTIFS($L$2:$L$496,"Yes",'1'!$B$2:$B$496,"*proteomics*")+COUNTIFS($F$2:$F$496,"Yes",'1'!$B$2:$B$496,"*proteomics*")</f>
        <v>32</v>
      </c>
    </row>
    <row r="3" spans="1:49" x14ac:dyDescent="0.2">
      <c r="A3" s="11">
        <v>2</v>
      </c>
      <c r="B3" s="11" t="s">
        <v>111</v>
      </c>
      <c r="D3" s="11" t="s">
        <v>80</v>
      </c>
      <c r="F3" s="21"/>
      <c r="G3" s="21"/>
      <c r="H3" s="21"/>
      <c r="I3" s="21"/>
      <c r="J3" s="21"/>
      <c r="L3" s="21"/>
      <c r="M3" s="21"/>
      <c r="N3" s="21"/>
      <c r="O3" s="21"/>
      <c r="P3" s="21"/>
      <c r="R3" s="11" t="s">
        <v>111</v>
      </c>
      <c r="S3" s="11">
        <f>COUNTIF($B$2:$B$496,"Yes, we provide information")</f>
        <v>108</v>
      </c>
      <c r="U3" s="11">
        <f>COUNTIFS($B$2:$B$496,"Yes, we provide information",'1'!$F$2:$F$496,"*staff*")</f>
        <v>22</v>
      </c>
      <c r="V3" s="11">
        <f>COUNTIFS($B$2:$B$496,"Yes, we provide information",'1'!$F$2:$F$496,"*both*")</f>
        <v>66</v>
      </c>
      <c r="W3" s="11">
        <f>COUNTIFS($B$2:$B$496,"Yes, we provide information",'1'!$F$2:$F$496,"*users work*")</f>
        <v>20</v>
      </c>
      <c r="Y3" s="11">
        <f>COUNTIFS($B$2:$B$496,"Yes, we provide information",'1'!$B$2:$B$496,"*flow cytometry*")</f>
        <v>28</v>
      </c>
      <c r="Z3" s="11">
        <f>COUNTIFS($B$2:$B$496,"Yes, we provide information",'1'!$B$2:$B$496,"*genomics*")</f>
        <v>13</v>
      </c>
      <c r="AA3" s="11">
        <f>COUNTIFS($B$2:$B$496,"Yes, we provide information",'1'!$B$2:$B$496,"*histology*")</f>
        <v>8</v>
      </c>
      <c r="AB3" s="11">
        <f>COUNTIFS($B$2:$B$496,"Yes, we provide information",'1'!$B$2:$B$496,"*metabolomics*")</f>
        <v>4</v>
      </c>
      <c r="AC3" s="11">
        <f>COUNTIFS($B$2:$B$496,"Yes, we provide information",'1'!$B$2:$B$496,"*microscopy*")</f>
        <v>31</v>
      </c>
      <c r="AD3" s="11">
        <f>COUNTIFS($B$2:$B$496,"Yes, we provide information",'1'!$B$2:$B$496,"*mouse*")</f>
        <v>2</v>
      </c>
      <c r="AE3" s="11">
        <f>COUNTIFS($B$2:$B$496,"Yes, we provide information",'1'!$B$2:$B$496,"*protein expression*")</f>
        <v>0</v>
      </c>
      <c r="AF3" s="11">
        <f>COUNTIFS($B$2:$B$496,"Yes, we provide information",'1'!$B$2:$B$496,"*proteomics*")</f>
        <v>7</v>
      </c>
      <c r="AH3" s="11" t="s">
        <v>478</v>
      </c>
      <c r="AI3" s="11">
        <f>COUNTIF($O$2:$O$496,"Yes")+COUNTIF($I$2:$I$496,"Yes")</f>
        <v>171</v>
      </c>
      <c r="AK3" s="11">
        <f>COUNTIFS($O$2:$O$496,"Yes",'1'!$F$2:$F$496,"*staff*")+COUNTIFS($I$2:$I$496,"Yes",'1'!$F$2:$F$496,"*staff*")</f>
        <v>48</v>
      </c>
      <c r="AL3" s="11">
        <f>COUNTIFS($O$2:$O$496,"Yes",'1'!$F$2:$F$496,"*both*")+COUNTIFS($I$2:$I$496,"Yes",'1'!$F$2:$F$496,"*both*")</f>
        <v>115</v>
      </c>
      <c r="AM3" s="11">
        <f>COUNTIFS($O$2:$O$496,"Yes",'1'!$F$2:$F$496,"*users work*")+COUNTIFS($I$2:$I$496,"Yes",'1'!$F$2:$F$496,"*users work*")</f>
        <v>8</v>
      </c>
      <c r="AO3" s="11">
        <f>COUNTIFS($O$2:$O$496,"Yes",'1'!$B$2:$B$496,"*flow cytometry*")+COUNTIFS($I$2:$I$496,"Yes",'1'!$B$2:$B$496,"*flow cytometry*")</f>
        <v>34</v>
      </c>
      <c r="AP3" s="11">
        <f>COUNTIFS($O$2:$O$496,"Yes",'1'!$B$2:$B$496,"*genomics*")+COUNTIFS($I$2:$I$496,"Yes",'1'!$B$2:$B$496,"*genomics*")</f>
        <v>24</v>
      </c>
      <c r="AQ3" s="11">
        <f>COUNTIFS($O$2:$O$496,"Yes",'1'!$B$2:$B$496,"*histology*")+COUNTIFS($I$2:$I$496,"Yes",'1'!$B$2:$B$496,"*histology*")</f>
        <v>5</v>
      </c>
      <c r="AR3" s="11">
        <f>COUNTIFS($O$2:$O$496,"Yes",'1'!$B$2:$B$496,"*metabolomics*")+COUNTIFS($I$2:$I$496,"Yes",'1'!$B$2:$B$496,"*metabolomics*")</f>
        <v>7</v>
      </c>
      <c r="AS3" s="11">
        <f>COUNTIFS($O$2:$O$496,"Yes",'1'!$B$2:$B$496,"*microscopy*")+COUNTIFS($I$2:$I$496,"Yes",'1'!$B$2:$B$496,"*microscopy*")</f>
        <v>37</v>
      </c>
      <c r="AT3" s="11">
        <f>COUNTIFS($O$2:$O$496,"Yes",'1'!$B$2:$B$496,"*mouse*")+COUNTIFS($I$2:$I$496,"Yes",'1'!$B$2:$B$496,"*mouse*")</f>
        <v>9</v>
      </c>
      <c r="AU3" s="11">
        <f>COUNTIFS($O$2:$O$496,"Yes",'1'!$B$2:$B$496,"*protein expression*")+COUNTIFS($I$2:$I$496,"Yes",'1'!$B$2:$B$496,"*protein expression*")</f>
        <v>7</v>
      </c>
      <c r="AV3" s="11">
        <f>COUNTIFS($O$2:$O$496,"Yes",'1'!$B$2:$B$496,"*proteomics*")+COUNTIFS($I$2:$I$496,"Yes",'1'!$B$2:$B$496,"*proteomics*")</f>
        <v>20</v>
      </c>
    </row>
    <row r="4" spans="1:49" ht="25.5" x14ac:dyDescent="0.2">
      <c r="A4" s="11">
        <v>3</v>
      </c>
      <c r="B4" s="11" t="s">
        <v>111</v>
      </c>
      <c r="D4" s="11" t="s">
        <v>80</v>
      </c>
      <c r="E4" s="11" t="s">
        <v>987</v>
      </c>
      <c r="F4" s="21" t="s">
        <v>84</v>
      </c>
      <c r="G4" s="21"/>
      <c r="H4" s="21"/>
      <c r="I4" s="21"/>
      <c r="J4" s="21"/>
      <c r="L4" s="21"/>
      <c r="M4" s="21"/>
      <c r="N4" s="21"/>
      <c r="O4" s="21"/>
      <c r="P4" s="21"/>
      <c r="R4" s="11" t="s">
        <v>91</v>
      </c>
      <c r="S4" s="11">
        <f>COUNTIF($B$2:$B$496,"Yes, we are actively involved")</f>
        <v>164</v>
      </c>
      <c r="U4" s="11">
        <f>COUNTIFS($B$2:$B$496,"Yes, we are actively involved",'1'!$F$2:$F$496,"*staff*")</f>
        <v>50</v>
      </c>
      <c r="V4" s="11">
        <f>COUNTIFS($B$2:$B$496,"Yes, we are actively involved",'1'!$F$2:$F$496,"*both*")</f>
        <v>107</v>
      </c>
      <c r="W4" s="11">
        <f>COUNTIFS($B$2:$B$496,"Yes, we are actively involved",'1'!$F$2:$F$496,"*users work*")</f>
        <v>7</v>
      </c>
      <c r="Y4" s="11">
        <f>COUNTIFS($B$2:$B$496,"Yes, we are actively involved",'1'!$B$2:$B$496,"*flow cytometry*")</f>
        <v>22</v>
      </c>
      <c r="Z4" s="11">
        <f>COUNTIFS($B$2:$B$496,"Yes, we are actively involved",'1'!$B$2:$B$496,"*genomics*")</f>
        <v>20</v>
      </c>
      <c r="AA4" s="11">
        <f>COUNTIFS($B$2:$B$496,"Yes, we are actively involved",'1'!$B$2:$B$496,"*histology*")</f>
        <v>3</v>
      </c>
      <c r="AB4" s="11">
        <f>COUNTIFS($B$2:$B$496,"Yes, we are actively involved",'1'!$B$2:$B$496,"*metabolomics*")</f>
        <v>4</v>
      </c>
      <c r="AC4" s="11">
        <f>COUNTIFS($B$2:$B$496,"Yes, we are actively involved",'1'!$B$2:$B$496,"*microscopy*")</f>
        <v>31</v>
      </c>
      <c r="AD4" s="11">
        <f>COUNTIFS($B$2:$B$496,"Yes, we are actively involved",'1'!$B$2:$B$496,"*mouse*")</f>
        <v>14</v>
      </c>
      <c r="AE4" s="11">
        <f>COUNTIFS($B$2:$B$496,"Yes, we are actively involved",'1'!$B$2:$B$496,"*protein expression*")</f>
        <v>8</v>
      </c>
      <c r="AF4" s="11">
        <f>COUNTIFS($B$2:$B$496,"Yes, we are actively involved",'1'!$B$2:$B$496,"*proteomics*")</f>
        <v>28</v>
      </c>
      <c r="AH4" s="11" t="s">
        <v>1073</v>
      </c>
      <c r="AI4" s="11">
        <f>COUNTIF($N$2:$N$496,"Yes")+COUNTIF($H$2:$H$496,"Yes")</f>
        <v>118</v>
      </c>
      <c r="AK4" s="11">
        <f>COUNTIFS($N$2:$N$496,"Yes",'1'!$F$2:$F$496,"*staff*")+COUNTIFS($H$2:$H$496,"Yes",'1'!$F$2:$F$496,"*staff*")</f>
        <v>39</v>
      </c>
      <c r="AL4" s="11">
        <f>COUNTIFS($N$2:$N$496,"Yes",'1'!$F$2:$F$496,"*both*")+COUNTIFS($H$2:$H$496,"Yes",'1'!$F$2:$F$496,"*both*")</f>
        <v>76</v>
      </c>
      <c r="AM4" s="11">
        <f>COUNTIFS($N$2:$N$496,"Yes",'1'!$F$2:$F$496,"*users work*")+COUNTIFS($H$2:$H$496,"Yes",'1'!$F$2:$F$496,"*users work*")</f>
        <v>3</v>
      </c>
      <c r="AO4" s="11">
        <f>COUNTIFS($N$2:$N$496,"Yes",'1'!$B$2:$B$496,"*flow cytometry*")+COUNTIFS($H$2:$H$496,"Yes",'1'!$B$2:$B$496,"*flow cytometry*")</f>
        <v>20</v>
      </c>
      <c r="AP4" s="11">
        <f>COUNTIFS($N$2:$N$496,"Yes",'1'!$B$2:$B$496,"*genomics*")+COUNTIFS($H$2:$H$496,"Yes",'1'!$B$2:$B$496,"*genomics*")</f>
        <v>17</v>
      </c>
      <c r="AQ4" s="11">
        <f>COUNTIFS($N$2:$N$496,"Yes",'1'!$B$2:$B$496,"*histology*")+COUNTIFS($H$2:$H$496,"Yes",'1'!$B$2:$B$496,"*histology*")</f>
        <v>6</v>
      </c>
      <c r="AR4" s="11">
        <f>COUNTIFS($N$2:$N$496,"Yes",'1'!$B$2:$B$496,"*metabolomics*")+COUNTIFS($H$2:$H$496,"Yes",'1'!$B$2:$B$496,"*metabolomics*")</f>
        <v>3</v>
      </c>
      <c r="AS4" s="11">
        <f>COUNTIFS($N$2:$N$496,"Yes",'1'!$B$2:$B$496,"*microscopy*")+COUNTIFS($H$2:$H$496,"Yes",'1'!$B$2:$B$496,"*microscopy*")</f>
        <v>24</v>
      </c>
      <c r="AT4" s="11">
        <f>COUNTIFS($N$2:$N$496,"Yes",'1'!$B$2:$B$496,"*mouse*")+COUNTIFS($H$2:$H$496,"Yes",'1'!$B$2:$B$496,"*mouse*")</f>
        <v>9</v>
      </c>
      <c r="AU4" s="11">
        <f>COUNTIFS($N$2:$N$496,"Yes",'1'!$B$2:$B$496,"*protein expression*")+COUNTIFS($H$2:$H$496,"Yes",'1'!$B$2:$B$496,"*protein expression*")</f>
        <v>5</v>
      </c>
      <c r="AV4" s="11">
        <f>COUNTIFS($N$2:$N$496,"Yes",'1'!$B$2:$B$496,"*proteomics*")+COUNTIFS($H$2:$H$496,"Yes",'1'!$B$2:$B$496,"*proteomics*")</f>
        <v>15</v>
      </c>
    </row>
    <row r="5" spans="1:49" x14ac:dyDescent="0.2">
      <c r="A5" s="11">
        <v>4</v>
      </c>
      <c r="B5" s="11" t="s">
        <v>91</v>
      </c>
      <c r="D5" s="11" t="s">
        <v>80</v>
      </c>
      <c r="F5" s="21"/>
      <c r="G5" s="21"/>
      <c r="H5" s="21"/>
      <c r="I5" s="21"/>
      <c r="J5" s="21"/>
      <c r="K5" s="11" t="s">
        <v>4197</v>
      </c>
      <c r="L5" s="21"/>
      <c r="M5" s="21"/>
      <c r="N5" s="21"/>
      <c r="O5" s="21"/>
      <c r="P5" s="21"/>
      <c r="S5" s="11">
        <f>SUM(S2:S4)</f>
        <v>276</v>
      </c>
      <c r="AH5" s="11" t="s">
        <v>978</v>
      </c>
      <c r="AI5" s="11">
        <f>COUNTIF($M$2:$M$496,"Yes")+COUNTIF($G$2:$G$496,"Yes")</f>
        <v>96</v>
      </c>
      <c r="AK5" s="11">
        <f>COUNTIFS($M$2:$M$496,"Yes",'1'!$F$2:$F$496,"*staff*")+COUNTIFS($G$2:$G$496,"Yes",'1'!$F$2:$F$496,"*staff*")</f>
        <v>31</v>
      </c>
      <c r="AL5" s="11">
        <f>COUNTIFS($M$2:$M$496,"Yes",'1'!$F$2:$F$496,"*both*")+COUNTIFS($G$2:$G$496,"Yes",'1'!$F$2:$F$496,"*both*")</f>
        <v>65</v>
      </c>
      <c r="AM5" s="11">
        <f>COUNTIFS($M$2:$M$496,"Yes",'1'!$F$2:$F$496,"*users work*")+COUNTIFS($G$2:$G$496,"Yes",'1'!$F$2:$F$496,"*users work*")</f>
        <v>0</v>
      </c>
      <c r="AO5" s="11">
        <f>COUNTIFS($M$2:$M$496,"Yes",'1'!$B$2:$B$496,"*flow cytometry*")+COUNTIFS($G$2:$G$496,"Yes",'1'!$B$2:$B$496,"*flow cytometry*")</f>
        <v>12</v>
      </c>
      <c r="AP5" s="11">
        <f>COUNTIFS($M$2:$M$496,"Yes",'1'!$B$2:$B$496,"*genomics*")+COUNTIFS($G$2:$G$496,"Yes",'1'!$B$2:$B$496,"*genomics*")</f>
        <v>19</v>
      </c>
      <c r="AQ5" s="11">
        <f>COUNTIFS($M$2:$M$496,"Yes",'1'!$B$2:$B$496,"*histology*")+COUNTIFS($G$2:$G$496,"Yes",'1'!$B$2:$B$496,"*histology*")</f>
        <v>3</v>
      </c>
      <c r="AR5" s="11">
        <f>COUNTIFS($M$2:$M$496,"Yes",'1'!$B$2:$B$496,"*metabolomics*")+COUNTIFS($G$2:$G$496,"Yes",'1'!$B$2:$B$496,"*metabolomics*")</f>
        <v>3</v>
      </c>
      <c r="AS5" s="11">
        <f>COUNTIFS($M$2:$M$496,"Yes",'1'!$B$2:$B$496,"*microscopy*")+COUNTIFS($G$2:$G$496,"Yes",'1'!$B$2:$B$496,"*microscopy*")</f>
        <v>19</v>
      </c>
      <c r="AT5" s="11">
        <f>COUNTIFS($M$2:$M$496,"Yes",'1'!$B$2:$B$496,"*mouse*")+COUNTIFS($G$2:$G$496,"Yes",'1'!$B$2:$B$496,"*mouse*")</f>
        <v>6</v>
      </c>
      <c r="AU5" s="11">
        <f>COUNTIFS($M$2:$M$496,"Yes",'1'!$B$2:$B$496,"*protein expression*")+COUNTIFS($G$2:$G$496,"Yes",'1'!$B$2:$B$496,"*protein expression*")</f>
        <v>6</v>
      </c>
      <c r="AV5" s="11">
        <f>COUNTIFS($M$2:$M$496,"Yes",'1'!$B$2:$B$496,"*proteomics*")+COUNTIFS($G$2:$G$496,"Yes",'1'!$B$2:$B$496,"*proteomics*")</f>
        <v>9</v>
      </c>
    </row>
    <row r="6" spans="1:49" x14ac:dyDescent="0.2">
      <c r="A6" s="11">
        <v>5</v>
      </c>
      <c r="B6" s="11" t="s">
        <v>111</v>
      </c>
      <c r="D6" s="11" t="s">
        <v>80</v>
      </c>
      <c r="E6" s="11" t="s">
        <v>154</v>
      </c>
      <c r="F6" s="21" t="s">
        <v>84</v>
      </c>
      <c r="G6" s="21"/>
      <c r="H6" s="21"/>
      <c r="I6" s="21"/>
      <c r="J6" s="21"/>
      <c r="L6" s="21"/>
      <c r="M6" s="21"/>
      <c r="N6" s="21"/>
      <c r="O6" s="21"/>
      <c r="P6" s="21"/>
      <c r="AH6" s="11" t="s">
        <v>702</v>
      </c>
      <c r="AI6" s="11">
        <f>COUNTIF($P$2:$P$496,"**")+COUNTIF($J$2:$J$496,"**")</f>
        <v>8</v>
      </c>
      <c r="AK6" s="11">
        <f>COUNTIFS($P$2:$P$496,"**",'1'!$F$2:$F$496,"*staff*")+COUNTIFS($J$2:$J$496,"**",'1'!$F$2:$F$496,"*staff*")</f>
        <v>2</v>
      </c>
      <c r="AL6" s="11">
        <f>COUNTIFS($P$2:$P$496,"**",'1'!$F$2:$F$496,"*both*")+COUNTIFS($J$2:$J$496,"**",'1'!$F$2:$F$496,"*both*")</f>
        <v>4</v>
      </c>
      <c r="AM6" s="11">
        <f>COUNTIFS($P$2:$P$496,"**",'1'!$F$2:$F$496,"*users work*")+COUNTIFS($J$2:$J$496,"**",'1'!$F$2:$F$496,"*users work*")</f>
        <v>2</v>
      </c>
      <c r="AO6" s="11">
        <f>COUNTIFS($P$2:$P$496,"**",'1'!$B$2:$B$496,"*flow cytometry*")+COUNTIFS($J$2:$J$496,"**",'1'!$B$2:$B$496,"*flow cytometry*")</f>
        <v>0</v>
      </c>
      <c r="AP6" s="11">
        <f>COUNTIFS($P$2:$P$496,"**",'1'!$B$2:$B$496,"*genomics*")+COUNTIFS($J$2:$J$496,"**",'1'!$B$2:$B$496,"*genomics*")</f>
        <v>0</v>
      </c>
      <c r="AQ6" s="11">
        <f>COUNTIFS($P$2:$P$496,"**",'1'!$B$2:$B$496,"*histology*")+COUNTIFS($J$2:$J$496,"**",'1'!$B$2:$B$496,"*histology*")</f>
        <v>0</v>
      </c>
      <c r="AR6" s="11">
        <f>COUNTIFS($P$2:$P$496,"**",'1'!$B$2:$B$496,"*metabolomics*")+COUNTIFS($J$2:$J$496,"**",'1'!$B$2:$B$496,"*metabolomics*")</f>
        <v>0</v>
      </c>
      <c r="AS6" s="11">
        <f>COUNTIFS($P$2:$P$496,"**",'1'!$B$2:$B$496,"*microscopy*")+COUNTIFS($J$2:$J$496,"**",'1'!$B$2:$B$496,"*microscopy*")</f>
        <v>4</v>
      </c>
      <c r="AT6" s="11">
        <f>COUNTIFS($P$2:$P$496,"**",'1'!$B$2:$B$496,"*mouse*")+COUNTIFS($J$2:$J$496,"**",'1'!$B$2:$B$496,"*mouse*")</f>
        <v>1</v>
      </c>
      <c r="AU6" s="11">
        <f>COUNTIFS($P$2:$P$496,"**",'1'!$B$2:$B$496,"*protein expression*")+COUNTIFS($J$2:$J$496,"**",'1'!$B$2:$B$496,"*protein expression*")</f>
        <v>1</v>
      </c>
      <c r="AV6" s="11">
        <f>COUNTIFS($P$2:$P$496,"**",'1'!$B$2:$B$496,"*proteomics*")+COUNTIFS($J$2:$J$496,"**",'1'!$B$2:$B$496,"*proteomics*")</f>
        <v>1</v>
      </c>
    </row>
    <row r="7" spans="1:49" x14ac:dyDescent="0.2">
      <c r="A7" s="11">
        <v>6</v>
      </c>
      <c r="B7" s="11" t="s">
        <v>91</v>
      </c>
      <c r="D7" s="11" t="s">
        <v>80</v>
      </c>
      <c r="F7" s="21"/>
      <c r="G7" s="21"/>
      <c r="H7" s="21"/>
      <c r="I7" s="21"/>
      <c r="J7" s="21"/>
      <c r="K7" s="11" t="s">
        <v>988</v>
      </c>
      <c r="L7" s="21" t="s">
        <v>84</v>
      </c>
      <c r="M7" s="21"/>
      <c r="N7" s="21"/>
      <c r="O7" s="21"/>
      <c r="P7" s="21"/>
    </row>
    <row r="8" spans="1:49" x14ac:dyDescent="0.2">
      <c r="A8" s="11">
        <v>7</v>
      </c>
      <c r="B8" s="11" t="s">
        <v>111</v>
      </c>
      <c r="D8" s="11" t="s">
        <v>80</v>
      </c>
      <c r="F8" s="21"/>
      <c r="G8" s="21"/>
      <c r="H8" s="21"/>
      <c r="I8" s="21"/>
      <c r="J8" s="21"/>
      <c r="L8" s="21"/>
      <c r="M8" s="21"/>
      <c r="N8" s="21"/>
      <c r="O8" s="21"/>
      <c r="P8" s="21"/>
    </row>
    <row r="9" spans="1:49" x14ac:dyDescent="0.2">
      <c r="A9" s="11">
        <v>8</v>
      </c>
      <c r="B9" s="11" t="s">
        <v>91</v>
      </c>
      <c r="D9" s="11" t="s">
        <v>80</v>
      </c>
      <c r="F9" s="21"/>
      <c r="G9" s="21"/>
      <c r="H9" s="21"/>
      <c r="I9" s="21"/>
      <c r="J9" s="21"/>
      <c r="K9" s="11" t="s">
        <v>199</v>
      </c>
      <c r="L9" s="21"/>
      <c r="M9" s="21"/>
      <c r="N9" s="21"/>
      <c r="O9" s="21"/>
      <c r="P9" s="21"/>
    </row>
    <row r="10" spans="1:49" x14ac:dyDescent="0.2">
      <c r="A10" s="11">
        <v>9</v>
      </c>
      <c r="B10" s="11" t="s">
        <v>111</v>
      </c>
      <c r="D10" s="11" t="s">
        <v>80</v>
      </c>
      <c r="E10" s="20" t="s">
        <v>208</v>
      </c>
      <c r="F10" s="21" t="s">
        <v>84</v>
      </c>
      <c r="G10" s="21"/>
      <c r="H10" s="21"/>
      <c r="I10" s="21"/>
      <c r="J10" s="21"/>
      <c r="L10" s="21"/>
      <c r="M10" s="21"/>
      <c r="N10" s="21"/>
      <c r="O10" s="21"/>
      <c r="P10" s="21"/>
    </row>
    <row r="11" spans="1:49" ht="25.5" x14ac:dyDescent="0.2">
      <c r="A11" s="11">
        <v>10</v>
      </c>
      <c r="B11" s="11" t="s">
        <v>111</v>
      </c>
      <c r="D11" s="11" t="s">
        <v>80</v>
      </c>
      <c r="E11" s="11" t="s">
        <v>989</v>
      </c>
      <c r="F11" s="21" t="s">
        <v>84</v>
      </c>
      <c r="G11" s="21"/>
      <c r="H11" s="21"/>
      <c r="I11" s="21"/>
      <c r="J11" s="21"/>
      <c r="L11" s="21"/>
      <c r="M11" s="21"/>
      <c r="N11" s="21"/>
      <c r="O11" s="21"/>
      <c r="P11" s="21"/>
    </row>
    <row r="12" spans="1:49" x14ac:dyDescent="0.2">
      <c r="A12" s="11">
        <v>11</v>
      </c>
      <c r="B12" s="11" t="s">
        <v>111</v>
      </c>
      <c r="D12" s="11" t="s">
        <v>80</v>
      </c>
      <c r="E12" s="7" t="s">
        <v>990</v>
      </c>
      <c r="F12" s="21" t="s">
        <v>84</v>
      </c>
      <c r="G12" s="21"/>
      <c r="H12" s="21" t="s">
        <v>84</v>
      </c>
      <c r="I12" s="21"/>
      <c r="J12" s="21"/>
      <c r="L12" s="21"/>
      <c r="M12" s="21"/>
      <c r="N12" s="21"/>
      <c r="O12" s="21"/>
      <c r="P12" s="21"/>
    </row>
    <row r="13" spans="1:49" x14ac:dyDescent="0.2">
      <c r="A13" s="11">
        <v>12</v>
      </c>
      <c r="B13" s="11" t="s">
        <v>91</v>
      </c>
      <c r="D13" s="11" t="s">
        <v>80</v>
      </c>
      <c r="F13" s="21"/>
      <c r="G13" s="21"/>
      <c r="H13" s="21"/>
      <c r="I13" s="21"/>
      <c r="J13" s="21"/>
      <c r="K13" s="11" t="s">
        <v>991</v>
      </c>
      <c r="L13" s="21" t="s">
        <v>84</v>
      </c>
      <c r="M13" s="21"/>
      <c r="N13" s="21"/>
      <c r="O13" s="21"/>
      <c r="P13" s="21"/>
    </row>
    <row r="14" spans="1:49" ht="76.5" x14ac:dyDescent="0.2">
      <c r="A14" s="11">
        <v>13</v>
      </c>
      <c r="B14" s="11" t="s">
        <v>111</v>
      </c>
      <c r="D14" s="11" t="s">
        <v>80</v>
      </c>
      <c r="E14" s="11" t="s">
        <v>992</v>
      </c>
      <c r="F14" s="21"/>
      <c r="G14" s="21"/>
      <c r="H14" s="21"/>
      <c r="I14" s="21"/>
      <c r="J14" s="21"/>
      <c r="L14" s="21"/>
      <c r="M14" s="21"/>
      <c r="N14" s="21"/>
      <c r="O14" s="21"/>
      <c r="P14" s="21"/>
    </row>
    <row r="15" spans="1:49" ht="38.25" x14ac:dyDescent="0.2">
      <c r="A15" s="11">
        <v>14</v>
      </c>
      <c r="B15" s="11" t="s">
        <v>91</v>
      </c>
      <c r="D15" s="11" t="s">
        <v>80</v>
      </c>
      <c r="F15" s="21"/>
      <c r="G15" s="21"/>
      <c r="H15" s="21"/>
      <c r="I15" s="21"/>
      <c r="J15" s="21"/>
      <c r="K15" s="11" t="s">
        <v>297</v>
      </c>
      <c r="L15" s="21"/>
      <c r="M15" s="21"/>
      <c r="N15" s="21"/>
      <c r="O15" s="21"/>
      <c r="P15" s="21"/>
    </row>
    <row r="16" spans="1:49" x14ac:dyDescent="0.2">
      <c r="A16" s="11">
        <v>15</v>
      </c>
      <c r="B16" s="11" t="s">
        <v>91</v>
      </c>
      <c r="D16" s="11" t="s">
        <v>80</v>
      </c>
      <c r="F16" s="21"/>
      <c r="G16" s="21"/>
      <c r="H16" s="21"/>
      <c r="I16" s="21"/>
      <c r="J16" s="21"/>
      <c r="K16" s="7" t="s">
        <v>993</v>
      </c>
      <c r="L16" s="21" t="s">
        <v>84</v>
      </c>
      <c r="M16" s="21"/>
      <c r="N16" s="21" t="s">
        <v>84</v>
      </c>
      <c r="O16" s="21"/>
      <c r="P16" s="21"/>
    </row>
    <row r="17" spans="1:19" x14ac:dyDescent="0.2">
      <c r="A17" s="11">
        <v>16</v>
      </c>
      <c r="B17" s="11" t="s">
        <v>111</v>
      </c>
      <c r="D17" s="11" t="s">
        <v>80</v>
      </c>
      <c r="F17" s="21"/>
      <c r="G17" s="21"/>
      <c r="H17" s="21"/>
      <c r="I17" s="21"/>
      <c r="J17" s="21"/>
      <c r="L17" s="21"/>
      <c r="M17" s="21"/>
      <c r="N17" s="21"/>
      <c r="O17" s="21"/>
      <c r="P17" s="21"/>
      <c r="R17" s="11" t="s">
        <v>84</v>
      </c>
      <c r="S17" s="11">
        <f>COUNTIF(B$2:B$496,"Yes*")</f>
        <v>272</v>
      </c>
    </row>
    <row r="18" spans="1:19" ht="51" x14ac:dyDescent="0.2">
      <c r="A18" s="11">
        <v>17</v>
      </c>
      <c r="B18" s="11" t="s">
        <v>82</v>
      </c>
      <c r="C18" s="11" t="s">
        <v>339</v>
      </c>
      <c r="D18" s="11" t="s">
        <v>82</v>
      </c>
      <c r="F18" s="21"/>
      <c r="G18" s="21"/>
      <c r="H18" s="21"/>
      <c r="I18" s="21"/>
      <c r="J18" s="21"/>
      <c r="L18" s="21"/>
      <c r="M18" s="21"/>
      <c r="N18" s="21"/>
      <c r="O18" s="21"/>
      <c r="P18" s="21"/>
      <c r="R18" s="11" t="s">
        <v>82</v>
      </c>
      <c r="S18" s="11">
        <f>COUNTIF(B$2:B$496,"No*")</f>
        <v>4</v>
      </c>
    </row>
    <row r="19" spans="1:19" ht="25.5" x14ac:dyDescent="0.2">
      <c r="A19" s="11">
        <v>18</v>
      </c>
      <c r="B19" s="11" t="s">
        <v>111</v>
      </c>
      <c r="D19" s="11" t="s">
        <v>80</v>
      </c>
      <c r="E19" s="11" t="s">
        <v>994</v>
      </c>
      <c r="F19" s="21" t="s">
        <v>84</v>
      </c>
      <c r="G19" s="21"/>
      <c r="H19" s="21"/>
      <c r="I19" s="21"/>
      <c r="J19" s="21"/>
      <c r="L19" s="21"/>
      <c r="M19" s="21"/>
      <c r="N19" s="21"/>
      <c r="O19" s="21"/>
      <c r="P19" s="21"/>
    </row>
    <row r="20" spans="1:19" x14ac:dyDescent="0.2">
      <c r="A20" s="11">
        <v>19</v>
      </c>
      <c r="B20" s="33" t="s">
        <v>111</v>
      </c>
      <c r="C20" s="33"/>
      <c r="D20" s="33" t="s">
        <v>80</v>
      </c>
      <c r="E20" s="47" t="s">
        <v>366</v>
      </c>
      <c r="F20" s="45"/>
      <c r="G20" s="45"/>
      <c r="H20" s="45"/>
      <c r="I20" s="45"/>
      <c r="J20" s="45" t="s">
        <v>366</v>
      </c>
      <c r="K20" s="33"/>
      <c r="L20" s="45"/>
      <c r="M20" s="45"/>
      <c r="N20" s="45"/>
      <c r="O20" s="45"/>
      <c r="P20" s="45"/>
    </row>
    <row r="21" spans="1:19" x14ac:dyDescent="0.2">
      <c r="A21" s="11">
        <v>20</v>
      </c>
      <c r="B21" s="33" t="s">
        <v>91</v>
      </c>
      <c r="C21" s="33"/>
      <c r="D21" s="33" t="s">
        <v>80</v>
      </c>
      <c r="E21" s="33"/>
      <c r="F21" s="45"/>
      <c r="G21" s="45"/>
      <c r="H21" s="45"/>
      <c r="I21" s="45"/>
      <c r="J21" s="45"/>
      <c r="K21" s="33" t="s">
        <v>371</v>
      </c>
      <c r="L21" s="45"/>
      <c r="M21" s="45"/>
      <c r="N21" s="45"/>
      <c r="O21" s="45"/>
      <c r="P21" s="45"/>
    </row>
    <row r="22" spans="1:19" x14ac:dyDescent="0.2">
      <c r="A22" s="11">
        <v>21</v>
      </c>
      <c r="B22" s="11" t="s">
        <v>91</v>
      </c>
      <c r="D22" s="11" t="s">
        <v>80</v>
      </c>
      <c r="F22" s="21"/>
      <c r="G22" s="21"/>
      <c r="H22" s="21"/>
      <c r="I22" s="21"/>
      <c r="J22" s="21"/>
      <c r="K22" s="11" t="s">
        <v>373</v>
      </c>
      <c r="L22" s="21"/>
      <c r="M22" s="21"/>
      <c r="N22" s="21"/>
      <c r="O22" s="21"/>
      <c r="P22" s="21"/>
    </row>
    <row r="23" spans="1:19" x14ac:dyDescent="0.2">
      <c r="A23" s="11">
        <v>22</v>
      </c>
      <c r="B23" s="11" t="s">
        <v>91</v>
      </c>
      <c r="D23" s="11" t="s">
        <v>80</v>
      </c>
      <c r="F23" s="21"/>
      <c r="G23" s="21"/>
      <c r="H23" s="21"/>
      <c r="I23" s="21"/>
      <c r="J23" s="21"/>
      <c r="K23" s="11" t="s">
        <v>380</v>
      </c>
      <c r="L23" s="21"/>
      <c r="M23" s="21"/>
      <c r="N23" s="21"/>
      <c r="O23" s="21"/>
      <c r="P23" s="21"/>
    </row>
    <row r="24" spans="1:19" x14ac:dyDescent="0.2">
      <c r="A24" s="11">
        <v>23</v>
      </c>
      <c r="B24" s="11" t="s">
        <v>111</v>
      </c>
      <c r="D24" s="11" t="s">
        <v>80</v>
      </c>
      <c r="E24" s="7" t="s">
        <v>998</v>
      </c>
      <c r="F24" s="21" t="s">
        <v>84</v>
      </c>
      <c r="G24" s="21"/>
      <c r="H24" s="21"/>
      <c r="I24" s="21" t="s">
        <v>84</v>
      </c>
      <c r="J24" s="21"/>
      <c r="L24" s="21"/>
      <c r="M24" s="21"/>
      <c r="N24" s="21"/>
      <c r="O24" s="21"/>
      <c r="P24" s="21"/>
    </row>
    <row r="25" spans="1:19" ht="51" x14ac:dyDescent="0.2">
      <c r="A25" s="11">
        <v>24</v>
      </c>
      <c r="B25" s="11" t="s">
        <v>111</v>
      </c>
      <c r="D25" s="11" t="s">
        <v>80</v>
      </c>
      <c r="E25" s="11" t="s">
        <v>995</v>
      </c>
      <c r="F25" s="21"/>
      <c r="G25" s="21"/>
      <c r="H25" s="21"/>
      <c r="I25" s="21"/>
      <c r="J25" s="21"/>
      <c r="L25" s="21"/>
      <c r="M25" s="21"/>
      <c r="N25" s="21"/>
      <c r="O25" s="21"/>
      <c r="P25" s="21"/>
    </row>
    <row r="26" spans="1:19" x14ac:dyDescent="0.2">
      <c r="A26" s="11">
        <v>25</v>
      </c>
      <c r="B26" s="11" t="s">
        <v>111</v>
      </c>
      <c r="D26" s="11" t="s">
        <v>80</v>
      </c>
      <c r="E26" s="11" t="s">
        <v>421</v>
      </c>
      <c r="F26" s="21" t="s">
        <v>84</v>
      </c>
      <c r="G26" s="21"/>
      <c r="H26" s="21"/>
      <c r="I26" s="21"/>
      <c r="J26" s="21"/>
      <c r="L26" s="21"/>
      <c r="M26" s="21"/>
      <c r="N26" s="21"/>
      <c r="O26" s="21"/>
      <c r="P26" s="21"/>
    </row>
    <row r="27" spans="1:19" ht="51" x14ac:dyDescent="0.2">
      <c r="A27" s="11">
        <v>26</v>
      </c>
      <c r="B27" s="11" t="s">
        <v>91</v>
      </c>
      <c r="D27" s="11" t="s">
        <v>80</v>
      </c>
      <c r="F27" s="21"/>
      <c r="G27" s="21"/>
      <c r="H27" s="21"/>
      <c r="I27" s="21"/>
      <c r="J27" s="21"/>
      <c r="K27" s="11" t="s">
        <v>996</v>
      </c>
      <c r="L27" s="21" t="s">
        <v>84</v>
      </c>
      <c r="M27" s="21"/>
      <c r="N27" s="21"/>
      <c r="O27" s="21"/>
      <c r="P27" s="21"/>
    </row>
    <row r="28" spans="1:19" ht="51" x14ac:dyDescent="0.2">
      <c r="A28" s="11">
        <v>27</v>
      </c>
      <c r="B28" s="11" t="s">
        <v>111</v>
      </c>
      <c r="D28" s="11" t="s">
        <v>80</v>
      </c>
      <c r="E28" s="11" t="s">
        <v>997</v>
      </c>
      <c r="F28" s="21" t="s">
        <v>84</v>
      </c>
      <c r="G28" s="21"/>
      <c r="H28" s="21"/>
      <c r="I28" s="21" t="s">
        <v>84</v>
      </c>
      <c r="J28" s="21"/>
      <c r="L28" s="21"/>
      <c r="M28" s="21"/>
      <c r="N28" s="21"/>
      <c r="O28" s="21"/>
      <c r="P28" s="21"/>
    </row>
    <row r="29" spans="1:19" x14ac:dyDescent="0.2">
      <c r="A29" s="11">
        <v>28</v>
      </c>
      <c r="B29" s="11" t="s">
        <v>111</v>
      </c>
      <c r="D29" s="11" t="s">
        <v>80</v>
      </c>
      <c r="E29" s="7" t="s">
        <v>999</v>
      </c>
      <c r="F29" s="21" t="s">
        <v>84</v>
      </c>
      <c r="G29" s="21"/>
      <c r="H29" s="21"/>
      <c r="I29" s="21"/>
      <c r="J29" s="21"/>
      <c r="L29" s="21"/>
      <c r="M29" s="21"/>
      <c r="N29" s="21"/>
      <c r="O29" s="21"/>
      <c r="P29" s="21"/>
    </row>
    <row r="30" spans="1:19" ht="38.25" x14ac:dyDescent="0.2">
      <c r="A30" s="11">
        <v>29</v>
      </c>
      <c r="B30" s="11" t="s">
        <v>91</v>
      </c>
      <c r="D30" s="11" t="s">
        <v>80</v>
      </c>
      <c r="F30" s="21"/>
      <c r="G30" s="21"/>
      <c r="H30" s="21"/>
      <c r="I30" s="21"/>
      <c r="J30" s="21"/>
      <c r="K30" s="11" t="s">
        <v>482</v>
      </c>
      <c r="L30" s="21"/>
      <c r="M30" s="21"/>
      <c r="N30" s="21"/>
      <c r="O30" s="21"/>
      <c r="P30" s="21"/>
    </row>
    <row r="31" spans="1:19" x14ac:dyDescent="0.2">
      <c r="A31" s="11">
        <v>30</v>
      </c>
      <c r="B31" s="11" t="s">
        <v>111</v>
      </c>
      <c r="D31" s="11" t="s">
        <v>80</v>
      </c>
      <c r="E31" s="20" t="s">
        <v>496</v>
      </c>
      <c r="F31" s="21"/>
      <c r="G31" s="21"/>
      <c r="H31" s="21"/>
      <c r="I31" s="21" t="s">
        <v>84</v>
      </c>
      <c r="J31" s="21"/>
      <c r="L31" s="21"/>
      <c r="M31" s="21"/>
      <c r="N31" s="21"/>
      <c r="O31" s="21"/>
      <c r="P31" s="21"/>
    </row>
    <row r="32" spans="1:19" x14ac:dyDescent="0.2">
      <c r="A32" s="11">
        <v>31</v>
      </c>
      <c r="B32" s="11" t="s">
        <v>91</v>
      </c>
      <c r="D32" s="11" t="s">
        <v>80</v>
      </c>
      <c r="F32" s="21"/>
      <c r="G32" s="21"/>
      <c r="H32" s="21"/>
      <c r="I32" s="21"/>
      <c r="J32" s="21"/>
      <c r="K32" s="20" t="s">
        <v>509</v>
      </c>
      <c r="L32" s="21"/>
      <c r="M32" s="21" t="s">
        <v>84</v>
      </c>
      <c r="N32" s="21"/>
      <c r="O32" s="21" t="s">
        <v>84</v>
      </c>
      <c r="P32" s="21"/>
    </row>
    <row r="33" spans="1:16" x14ac:dyDescent="0.2">
      <c r="A33" s="11">
        <v>32</v>
      </c>
      <c r="B33" s="11" t="s">
        <v>91</v>
      </c>
      <c r="D33" s="11" t="s">
        <v>80</v>
      </c>
      <c r="F33" s="21"/>
      <c r="G33" s="21"/>
      <c r="H33" s="21"/>
      <c r="I33" s="21"/>
      <c r="J33" s="21"/>
      <c r="L33" s="21"/>
      <c r="M33" s="21"/>
      <c r="N33" s="21"/>
      <c r="O33" s="21"/>
      <c r="P33" s="21"/>
    </row>
    <row r="34" spans="1:16" ht="25.5" x14ac:dyDescent="0.2">
      <c r="A34" s="11">
        <v>33</v>
      </c>
      <c r="B34" s="11" t="s">
        <v>91</v>
      </c>
      <c r="D34" s="11" t="s">
        <v>80</v>
      </c>
      <c r="F34" s="21"/>
      <c r="G34" s="21"/>
      <c r="H34" s="21"/>
      <c r="I34" s="21"/>
      <c r="J34" s="21"/>
      <c r="K34" s="11" t="s">
        <v>526</v>
      </c>
      <c r="L34" s="21"/>
      <c r="M34" s="21"/>
      <c r="N34" s="21"/>
      <c r="O34" s="21"/>
      <c r="P34" s="21"/>
    </row>
    <row r="35" spans="1:16" x14ac:dyDescent="0.2">
      <c r="A35" s="11">
        <v>34</v>
      </c>
      <c r="B35" s="11" t="s">
        <v>91</v>
      </c>
      <c r="D35" s="11" t="s">
        <v>80</v>
      </c>
      <c r="F35" s="21"/>
      <c r="G35" s="21"/>
      <c r="H35" s="21"/>
      <c r="I35" s="21"/>
      <c r="J35" s="21"/>
      <c r="K35" s="11" t="s">
        <v>546</v>
      </c>
      <c r="L35" s="21"/>
      <c r="M35" s="21"/>
      <c r="N35" s="21"/>
      <c r="O35" s="21"/>
      <c r="P35" s="21"/>
    </row>
    <row r="36" spans="1:16" x14ac:dyDescent="0.2">
      <c r="A36" s="11">
        <v>35</v>
      </c>
      <c r="B36" s="11" t="s">
        <v>91</v>
      </c>
      <c r="D36" s="11" t="s">
        <v>80</v>
      </c>
      <c r="F36" s="21"/>
      <c r="G36" s="21"/>
      <c r="H36" s="21"/>
      <c r="I36" s="21"/>
      <c r="J36" s="21"/>
      <c r="K36" s="20" t="s">
        <v>564</v>
      </c>
      <c r="L36" s="21"/>
      <c r="M36" s="21"/>
      <c r="N36" s="21"/>
      <c r="O36" s="21"/>
      <c r="P36" s="21"/>
    </row>
    <row r="37" spans="1:16" ht="38.25" x14ac:dyDescent="0.2">
      <c r="A37" s="11">
        <v>36</v>
      </c>
      <c r="B37" s="11" t="s">
        <v>91</v>
      </c>
      <c r="D37" s="11" t="s">
        <v>80</v>
      </c>
      <c r="F37" s="21"/>
      <c r="G37" s="21"/>
      <c r="H37" s="21"/>
      <c r="I37" s="21"/>
      <c r="J37" s="21"/>
      <c r="K37" s="11" t="s">
        <v>1000</v>
      </c>
      <c r="L37" s="21" t="s">
        <v>84</v>
      </c>
      <c r="M37" s="21"/>
      <c r="N37" s="21"/>
      <c r="O37" s="21"/>
      <c r="P37" s="21"/>
    </row>
    <row r="38" spans="1:16" ht="63.75" x14ac:dyDescent="0.2">
      <c r="A38" s="11">
        <v>37</v>
      </c>
      <c r="B38" s="11" t="s">
        <v>91</v>
      </c>
      <c r="D38" s="11" t="s">
        <v>80</v>
      </c>
      <c r="F38" s="21"/>
      <c r="G38" s="21"/>
      <c r="H38" s="21"/>
      <c r="I38" s="21"/>
      <c r="J38" s="21"/>
      <c r="K38" s="7" t="s">
        <v>1001</v>
      </c>
      <c r="L38" s="21"/>
      <c r="M38" s="21"/>
      <c r="N38" s="21"/>
      <c r="O38" s="21"/>
      <c r="P38" s="21"/>
    </row>
    <row r="39" spans="1:16" ht="89.25" x14ac:dyDescent="0.2">
      <c r="A39" s="11">
        <v>38</v>
      </c>
      <c r="B39" s="11" t="s">
        <v>91</v>
      </c>
      <c r="D39" s="11" t="s">
        <v>80</v>
      </c>
      <c r="F39" s="21"/>
      <c r="G39" s="21"/>
      <c r="H39" s="21"/>
      <c r="I39" s="21"/>
      <c r="J39" s="21"/>
      <c r="K39" s="11" t="s">
        <v>1002</v>
      </c>
      <c r="L39" s="21" t="s">
        <v>84</v>
      </c>
      <c r="M39" s="21"/>
      <c r="N39" s="21"/>
      <c r="O39" s="21"/>
      <c r="P39" s="21"/>
    </row>
    <row r="40" spans="1:16" x14ac:dyDescent="0.2">
      <c r="A40" s="11">
        <v>39</v>
      </c>
      <c r="B40" s="11" t="s">
        <v>91</v>
      </c>
      <c r="D40" s="11" t="s">
        <v>80</v>
      </c>
      <c r="F40" s="21"/>
      <c r="G40" s="21"/>
      <c r="H40" s="21"/>
      <c r="I40" s="21"/>
      <c r="J40" s="21"/>
      <c r="K40" s="11" t="s">
        <v>4198</v>
      </c>
      <c r="L40" s="21" t="s">
        <v>84</v>
      </c>
      <c r="M40" s="21"/>
      <c r="N40" s="21"/>
      <c r="O40" s="21"/>
      <c r="P40" s="21"/>
    </row>
    <row r="41" spans="1:16" x14ac:dyDescent="0.2">
      <c r="A41" s="11">
        <v>40</v>
      </c>
      <c r="B41" s="11" t="s">
        <v>91</v>
      </c>
      <c r="D41" s="11" t="s">
        <v>80</v>
      </c>
      <c r="F41" s="21"/>
      <c r="G41" s="21"/>
      <c r="H41" s="21"/>
      <c r="I41" s="21"/>
      <c r="J41" s="21"/>
      <c r="K41" s="11" t="s">
        <v>1003</v>
      </c>
      <c r="L41" s="21" t="s">
        <v>84</v>
      </c>
      <c r="M41" s="21"/>
      <c r="N41" s="21"/>
      <c r="O41" s="21"/>
      <c r="P41" s="21"/>
    </row>
    <row r="42" spans="1:16" x14ac:dyDescent="0.2">
      <c r="A42" s="11">
        <v>41</v>
      </c>
      <c r="B42" s="11" t="s">
        <v>111</v>
      </c>
      <c r="D42" s="11" t="s">
        <v>80</v>
      </c>
      <c r="E42" s="11" t="s">
        <v>1004</v>
      </c>
      <c r="F42" s="21" t="s">
        <v>84</v>
      </c>
      <c r="G42" s="21"/>
      <c r="H42" s="21"/>
      <c r="I42" s="21"/>
      <c r="J42" s="21"/>
      <c r="L42" s="21"/>
      <c r="M42" s="21"/>
      <c r="N42" s="21"/>
      <c r="O42" s="21"/>
      <c r="P42" s="21"/>
    </row>
    <row r="43" spans="1:16" x14ac:dyDescent="0.2">
      <c r="A43" s="11">
        <v>42</v>
      </c>
      <c r="B43" s="11" t="s">
        <v>91</v>
      </c>
      <c r="D43" s="11" t="s">
        <v>80</v>
      </c>
      <c r="F43" s="21"/>
      <c r="G43" s="21"/>
      <c r="H43" s="21"/>
      <c r="I43" s="21"/>
      <c r="J43" s="21"/>
      <c r="K43" s="11" t="s">
        <v>1005</v>
      </c>
      <c r="L43" s="21" t="s">
        <v>84</v>
      </c>
      <c r="M43" s="21"/>
      <c r="N43" s="21"/>
      <c r="O43" s="21"/>
      <c r="P43" s="21"/>
    </row>
    <row r="44" spans="1:16" ht="25.5" x14ac:dyDescent="0.2">
      <c r="A44" s="11">
        <v>43</v>
      </c>
      <c r="B44" s="11" t="s">
        <v>91</v>
      </c>
      <c r="D44" s="11" t="s">
        <v>80</v>
      </c>
      <c r="F44" s="21"/>
      <c r="G44" s="21"/>
      <c r="H44" s="21"/>
      <c r="I44" s="21"/>
      <c r="J44" s="21"/>
      <c r="K44" s="11" t="s">
        <v>790</v>
      </c>
      <c r="L44" s="21"/>
      <c r="M44" s="21"/>
      <c r="N44" s="21"/>
      <c r="O44" s="21"/>
      <c r="P44" s="21"/>
    </row>
    <row r="45" spans="1:16" ht="25.5" x14ac:dyDescent="0.2">
      <c r="A45" s="11">
        <v>44</v>
      </c>
      <c r="B45" s="33" t="s">
        <v>91</v>
      </c>
      <c r="C45" s="33"/>
      <c r="D45" s="33" t="s">
        <v>80</v>
      </c>
      <c r="E45" s="33"/>
      <c r="F45" s="45"/>
      <c r="G45" s="45"/>
      <c r="H45" s="45"/>
      <c r="I45" s="45"/>
      <c r="J45" s="45"/>
      <c r="K45" s="33" t="s">
        <v>1006</v>
      </c>
      <c r="L45" s="45"/>
      <c r="M45" s="45"/>
      <c r="N45" s="45" t="s">
        <v>84</v>
      </c>
      <c r="O45" s="45"/>
      <c r="P45" s="45"/>
    </row>
    <row r="46" spans="1:16" x14ac:dyDescent="0.2">
      <c r="A46" s="11">
        <v>45</v>
      </c>
      <c r="B46" s="11" t="s">
        <v>91</v>
      </c>
      <c r="D46" s="11" t="s">
        <v>80</v>
      </c>
      <c r="F46" s="21"/>
      <c r="G46" s="21"/>
      <c r="H46" s="21"/>
      <c r="I46" s="21"/>
      <c r="J46" s="21"/>
      <c r="K46" s="11" t="s">
        <v>1007</v>
      </c>
      <c r="L46" s="21" t="s">
        <v>84</v>
      </c>
      <c r="M46" s="21"/>
      <c r="N46" s="21"/>
      <c r="O46" s="21"/>
      <c r="P46" s="21"/>
    </row>
    <row r="47" spans="1:16" x14ac:dyDescent="0.2">
      <c r="A47" s="11">
        <v>46</v>
      </c>
      <c r="B47" s="11" t="s">
        <v>111</v>
      </c>
      <c r="D47" s="11" t="s">
        <v>80</v>
      </c>
      <c r="E47" s="7" t="s">
        <v>1008</v>
      </c>
      <c r="F47" s="21" t="s">
        <v>84</v>
      </c>
      <c r="G47" s="21"/>
      <c r="H47" s="21"/>
      <c r="I47" s="21"/>
      <c r="J47" s="21"/>
      <c r="L47" s="21"/>
      <c r="M47" s="21"/>
      <c r="N47" s="21"/>
      <c r="O47" s="21"/>
      <c r="P47" s="21"/>
    </row>
    <row r="48" spans="1:16" x14ac:dyDescent="0.2">
      <c r="A48" s="11">
        <v>47</v>
      </c>
      <c r="B48" s="11" t="s">
        <v>91</v>
      </c>
      <c r="D48" s="11" t="s">
        <v>80</v>
      </c>
      <c r="F48" s="21"/>
      <c r="G48" s="21"/>
      <c r="H48" s="21"/>
      <c r="I48" s="21"/>
      <c r="J48" s="21"/>
      <c r="K48" s="11" t="s">
        <v>1009</v>
      </c>
      <c r="L48" s="21" t="s">
        <v>84</v>
      </c>
      <c r="M48" s="21"/>
      <c r="N48" s="21"/>
      <c r="O48" s="21" t="s">
        <v>84</v>
      </c>
      <c r="P48" s="21"/>
    </row>
    <row r="49" spans="1:16" x14ac:dyDescent="0.2">
      <c r="A49" s="11">
        <v>48</v>
      </c>
      <c r="B49" s="11" t="s">
        <v>91</v>
      </c>
      <c r="D49" s="11" t="s">
        <v>80</v>
      </c>
      <c r="F49" s="21"/>
      <c r="G49" s="21"/>
      <c r="H49" s="21"/>
      <c r="I49" s="21"/>
      <c r="J49" s="21"/>
      <c r="K49" s="11" t="s">
        <v>858</v>
      </c>
      <c r="L49" s="21"/>
      <c r="M49" s="21"/>
      <c r="N49" s="21"/>
      <c r="O49" s="21"/>
      <c r="P49" s="21"/>
    </row>
    <row r="50" spans="1:16" x14ac:dyDescent="0.2">
      <c r="A50" s="11">
        <v>49</v>
      </c>
      <c r="B50" s="11" t="s">
        <v>111</v>
      </c>
      <c r="D50" s="11" t="s">
        <v>80</v>
      </c>
      <c r="E50" s="11" t="s">
        <v>1010</v>
      </c>
      <c r="F50" s="21" t="s">
        <v>84</v>
      </c>
      <c r="G50" s="21"/>
      <c r="H50" s="21" t="s">
        <v>84</v>
      </c>
      <c r="I50" s="21"/>
      <c r="J50" s="21"/>
      <c r="L50" s="21"/>
      <c r="M50" s="21"/>
      <c r="N50" s="21"/>
      <c r="O50" s="21"/>
      <c r="P50" s="21"/>
    </row>
    <row r="51" spans="1:16" ht="63.75" x14ac:dyDescent="0.2">
      <c r="A51" s="11">
        <v>50</v>
      </c>
      <c r="B51" s="11" t="s">
        <v>111</v>
      </c>
      <c r="D51" s="11" t="s">
        <v>80</v>
      </c>
      <c r="E51" s="11" t="s">
        <v>1011</v>
      </c>
      <c r="F51" s="21" t="s">
        <v>84</v>
      </c>
      <c r="G51" s="21"/>
      <c r="H51" s="21"/>
      <c r="I51" s="21"/>
      <c r="J51" s="21"/>
      <c r="L51" s="21"/>
      <c r="M51" s="21"/>
      <c r="N51" s="21"/>
      <c r="O51" s="21"/>
      <c r="P51" s="21"/>
    </row>
    <row r="52" spans="1:16" x14ac:dyDescent="0.2">
      <c r="A52" s="11">
        <v>51</v>
      </c>
      <c r="B52" s="11" t="s">
        <v>91</v>
      </c>
      <c r="D52" s="11" t="s">
        <v>80</v>
      </c>
      <c r="F52" s="21"/>
      <c r="G52" s="21"/>
      <c r="H52" s="21"/>
      <c r="I52" s="21"/>
      <c r="J52" s="21"/>
      <c r="L52" s="21"/>
      <c r="M52" s="21"/>
      <c r="N52" s="21"/>
      <c r="O52" s="21"/>
      <c r="P52" s="21"/>
    </row>
    <row r="53" spans="1:16" x14ac:dyDescent="0.2">
      <c r="A53" s="11">
        <v>52</v>
      </c>
      <c r="B53" s="11" t="s">
        <v>91</v>
      </c>
      <c r="D53" s="11" t="s">
        <v>80</v>
      </c>
      <c r="F53" s="21"/>
      <c r="G53" s="21"/>
      <c r="H53" s="21"/>
      <c r="I53" s="21"/>
      <c r="J53" s="21"/>
      <c r="L53" s="21"/>
      <c r="M53" s="21"/>
      <c r="N53" s="21"/>
      <c r="O53" s="21"/>
      <c r="P53" s="21"/>
    </row>
    <row r="54" spans="1:16" ht="25.5" x14ac:dyDescent="0.2">
      <c r="A54" s="11">
        <v>53</v>
      </c>
      <c r="B54" s="11" t="s">
        <v>91</v>
      </c>
      <c r="D54" s="11" t="s">
        <v>80</v>
      </c>
      <c r="F54" s="21"/>
      <c r="G54" s="21"/>
      <c r="H54" s="21"/>
      <c r="I54" s="21"/>
      <c r="J54" s="21"/>
      <c r="K54" s="11" t="s">
        <v>1012</v>
      </c>
      <c r="L54" s="21" t="s">
        <v>84</v>
      </c>
      <c r="M54" s="21"/>
      <c r="N54" s="21"/>
      <c r="O54" s="21"/>
      <c r="P54" s="21"/>
    </row>
    <row r="55" spans="1:16" x14ac:dyDescent="0.2">
      <c r="A55" s="11">
        <v>54</v>
      </c>
      <c r="B55" s="11" t="s">
        <v>111</v>
      </c>
      <c r="D55" s="11" t="s">
        <v>80</v>
      </c>
      <c r="E55" s="11" t="s">
        <v>1013</v>
      </c>
      <c r="F55" s="21" t="s">
        <v>84</v>
      </c>
      <c r="G55" s="21"/>
      <c r="H55" s="21"/>
      <c r="I55" s="21"/>
      <c r="J55" s="21"/>
      <c r="L55" s="21"/>
      <c r="M55" s="21"/>
      <c r="N55" s="21"/>
      <c r="O55" s="21"/>
      <c r="P55" s="21"/>
    </row>
    <row r="56" spans="1:16" ht="114.75" x14ac:dyDescent="0.2">
      <c r="A56" s="11">
        <v>55</v>
      </c>
      <c r="B56" s="11" t="s">
        <v>111</v>
      </c>
      <c r="D56" s="11" t="s">
        <v>80</v>
      </c>
      <c r="E56" s="11" t="s">
        <v>933</v>
      </c>
      <c r="F56" s="21"/>
      <c r="G56" s="21"/>
      <c r="H56" s="21"/>
      <c r="I56" s="21"/>
      <c r="J56" s="21"/>
      <c r="L56" s="21"/>
      <c r="M56" s="21"/>
      <c r="N56" s="21"/>
      <c r="O56" s="21"/>
      <c r="P56" s="21"/>
    </row>
    <row r="57" spans="1:16" ht="63.75" x14ac:dyDescent="0.2">
      <c r="A57" s="11">
        <v>56</v>
      </c>
      <c r="B57" s="11" t="s">
        <v>91</v>
      </c>
      <c r="D57" s="11" t="s">
        <v>80</v>
      </c>
      <c r="F57" s="21"/>
      <c r="G57" s="21"/>
      <c r="H57" s="21"/>
      <c r="I57" s="21"/>
      <c r="J57" s="21"/>
      <c r="K57" s="11" t="s">
        <v>4199</v>
      </c>
      <c r="L57" s="21" t="s">
        <v>84</v>
      </c>
      <c r="M57" s="21"/>
      <c r="N57" s="21"/>
      <c r="O57" s="21"/>
      <c r="P57" s="21"/>
    </row>
    <row r="58" spans="1:16" x14ac:dyDescent="0.2">
      <c r="A58" s="11">
        <v>57</v>
      </c>
      <c r="B58" s="11" t="s">
        <v>111</v>
      </c>
      <c r="D58" s="11" t="s">
        <v>80</v>
      </c>
      <c r="E58" s="20" t="s">
        <v>421</v>
      </c>
      <c r="F58" s="21" t="s">
        <v>84</v>
      </c>
      <c r="G58" s="21"/>
      <c r="H58" s="21"/>
      <c r="I58" s="21"/>
      <c r="J58" s="21"/>
      <c r="L58" s="21"/>
      <c r="M58" s="21"/>
      <c r="N58" s="21"/>
      <c r="O58" s="21"/>
      <c r="P58" s="21"/>
    </row>
    <row r="59" spans="1:16" ht="102" x14ac:dyDescent="0.2">
      <c r="A59" s="11">
        <v>58</v>
      </c>
      <c r="B59" s="11" t="s">
        <v>111</v>
      </c>
      <c r="D59" s="11" t="s">
        <v>80</v>
      </c>
      <c r="E59" s="11" t="s">
        <v>1937</v>
      </c>
      <c r="F59" s="21" t="s">
        <v>84</v>
      </c>
      <c r="G59" s="21"/>
      <c r="H59" s="21"/>
      <c r="I59" s="21"/>
      <c r="J59" s="21"/>
      <c r="L59" s="21"/>
      <c r="M59" s="21"/>
      <c r="N59" s="21"/>
      <c r="O59" s="21"/>
      <c r="P59" s="21"/>
    </row>
    <row r="60" spans="1:16" ht="38.25" x14ac:dyDescent="0.2">
      <c r="A60" s="11">
        <v>59</v>
      </c>
      <c r="B60" s="11" t="s">
        <v>91</v>
      </c>
      <c r="D60" s="11" t="s">
        <v>80</v>
      </c>
      <c r="F60" s="21"/>
      <c r="G60" s="21"/>
      <c r="H60" s="21"/>
      <c r="I60" s="21"/>
      <c r="J60" s="21"/>
      <c r="K60" s="11" t="s">
        <v>1096</v>
      </c>
      <c r="L60" s="21"/>
      <c r="M60" s="21"/>
      <c r="N60" s="21"/>
      <c r="O60" s="21"/>
      <c r="P60" s="21"/>
    </row>
    <row r="61" spans="1:16" x14ac:dyDescent="0.2">
      <c r="A61" s="11">
        <v>60</v>
      </c>
      <c r="B61" s="11" t="s">
        <v>91</v>
      </c>
      <c r="D61" s="11" t="s">
        <v>80</v>
      </c>
      <c r="K61" s="7" t="s">
        <v>1938</v>
      </c>
      <c r="L61" s="21" t="s">
        <v>84</v>
      </c>
    </row>
    <row r="62" spans="1:16" x14ac:dyDescent="0.2">
      <c r="A62" s="11">
        <v>61</v>
      </c>
      <c r="B62" s="11" t="s">
        <v>111</v>
      </c>
      <c r="D62" s="11" t="s">
        <v>80</v>
      </c>
      <c r="E62" s="24"/>
      <c r="F62" s="7" t="s">
        <v>84</v>
      </c>
      <c r="G62" s="7" t="s">
        <v>82</v>
      </c>
      <c r="H62" s="7" t="s">
        <v>84</v>
      </c>
      <c r="I62" s="7" t="s">
        <v>84</v>
      </c>
      <c r="K62" s="24"/>
      <c r="L62" s="7" t="s">
        <v>80</v>
      </c>
      <c r="M62" s="7" t="s">
        <v>80</v>
      </c>
      <c r="N62" s="7" t="s">
        <v>80</v>
      </c>
      <c r="O62" s="7" t="s">
        <v>80</v>
      </c>
    </row>
    <row r="63" spans="1:16" x14ac:dyDescent="0.2">
      <c r="A63" s="11">
        <v>62</v>
      </c>
      <c r="B63" s="11" t="s">
        <v>91</v>
      </c>
      <c r="D63" s="11" t="s">
        <v>80</v>
      </c>
      <c r="E63" s="24"/>
      <c r="F63" s="7" t="s">
        <v>80</v>
      </c>
      <c r="G63" s="7" t="s">
        <v>80</v>
      </c>
      <c r="H63" s="7" t="s">
        <v>80</v>
      </c>
      <c r="I63" s="7" t="s">
        <v>80</v>
      </c>
      <c r="K63" s="24"/>
      <c r="L63" s="7" t="s">
        <v>84</v>
      </c>
      <c r="M63" s="7" t="s">
        <v>82</v>
      </c>
      <c r="N63" s="7" t="s">
        <v>82</v>
      </c>
      <c r="O63" s="7" t="s">
        <v>84</v>
      </c>
    </row>
    <row r="64" spans="1:16" x14ac:dyDescent="0.2">
      <c r="A64" s="11">
        <v>63</v>
      </c>
      <c r="B64" s="11" t="s">
        <v>111</v>
      </c>
      <c r="D64" s="11" t="s">
        <v>80</v>
      </c>
      <c r="E64" s="24"/>
      <c r="F64" s="7" t="s">
        <v>84</v>
      </c>
      <c r="G64" s="7" t="s">
        <v>82</v>
      </c>
      <c r="H64" s="7" t="s">
        <v>82</v>
      </c>
      <c r="I64" s="7" t="s">
        <v>82</v>
      </c>
      <c r="K64" s="24"/>
      <c r="L64" s="7" t="s">
        <v>80</v>
      </c>
      <c r="M64" s="7" t="s">
        <v>80</v>
      </c>
      <c r="N64" s="7" t="s">
        <v>80</v>
      </c>
      <c r="O64" s="7" t="s">
        <v>80</v>
      </c>
    </row>
    <row r="65" spans="1:16" x14ac:dyDescent="0.2">
      <c r="A65" s="11">
        <v>64</v>
      </c>
      <c r="B65" s="33" t="s">
        <v>111</v>
      </c>
      <c r="C65" s="33"/>
      <c r="D65" s="33" t="s">
        <v>80</v>
      </c>
      <c r="E65" s="33"/>
      <c r="F65" s="52" t="s">
        <v>84</v>
      </c>
      <c r="G65" s="52" t="s">
        <v>84</v>
      </c>
      <c r="H65" s="52" t="s">
        <v>84</v>
      </c>
      <c r="I65" s="52" t="s">
        <v>84</v>
      </c>
      <c r="J65" s="52"/>
      <c r="K65" s="33"/>
      <c r="L65" s="52" t="s">
        <v>80</v>
      </c>
      <c r="M65" s="52" t="s">
        <v>80</v>
      </c>
      <c r="N65" s="52" t="s">
        <v>80</v>
      </c>
      <c r="O65" s="52" t="s">
        <v>80</v>
      </c>
      <c r="P65" s="52"/>
    </row>
    <row r="66" spans="1:16" ht="89.25" x14ac:dyDescent="0.2">
      <c r="A66" s="11">
        <v>65</v>
      </c>
      <c r="B66" s="11" t="s">
        <v>91</v>
      </c>
      <c r="D66" s="11" t="s">
        <v>80</v>
      </c>
      <c r="E66" s="24"/>
      <c r="F66" s="7" t="s">
        <v>80</v>
      </c>
      <c r="G66" s="7" t="s">
        <v>80</v>
      </c>
      <c r="H66" s="7" t="s">
        <v>80</v>
      </c>
      <c r="I66" s="7" t="s">
        <v>80</v>
      </c>
      <c r="K66" s="24"/>
      <c r="L66" s="7" t="s">
        <v>84</v>
      </c>
      <c r="M66" s="7" t="s">
        <v>84</v>
      </c>
      <c r="N66" s="7" t="s">
        <v>82</v>
      </c>
      <c r="O66" s="7" t="s">
        <v>84</v>
      </c>
      <c r="P66" s="7" t="s">
        <v>1342</v>
      </c>
    </row>
    <row r="67" spans="1:16" x14ac:dyDescent="0.2">
      <c r="A67" s="11">
        <v>66</v>
      </c>
      <c r="B67" s="11" t="s">
        <v>111</v>
      </c>
      <c r="D67" s="11" t="s">
        <v>80</v>
      </c>
      <c r="E67" s="24"/>
      <c r="F67" s="7" t="s">
        <v>84</v>
      </c>
      <c r="G67" s="7" t="s">
        <v>84</v>
      </c>
      <c r="H67" s="7" t="s">
        <v>84</v>
      </c>
      <c r="I67" s="7" t="s">
        <v>84</v>
      </c>
      <c r="K67" s="24"/>
      <c r="L67" s="7" t="s">
        <v>80</v>
      </c>
      <c r="M67" s="7" t="s">
        <v>80</v>
      </c>
      <c r="N67" s="7" t="s">
        <v>80</v>
      </c>
      <c r="O67" s="7" t="s">
        <v>80</v>
      </c>
    </row>
    <row r="68" spans="1:16" x14ac:dyDescent="0.2">
      <c r="A68" s="11">
        <v>67</v>
      </c>
      <c r="B68" s="11" t="s">
        <v>91</v>
      </c>
      <c r="D68" s="11" t="s">
        <v>80</v>
      </c>
      <c r="E68" s="24"/>
      <c r="F68" s="7" t="s">
        <v>80</v>
      </c>
      <c r="G68" s="7" t="s">
        <v>80</v>
      </c>
      <c r="H68" s="7" t="s">
        <v>80</v>
      </c>
      <c r="I68" s="7" t="s">
        <v>80</v>
      </c>
      <c r="K68" s="24"/>
      <c r="L68" s="7" t="s">
        <v>84</v>
      </c>
      <c r="M68" s="7" t="s">
        <v>84</v>
      </c>
      <c r="N68" s="7" t="s">
        <v>84</v>
      </c>
      <c r="O68" s="7" t="s">
        <v>84</v>
      </c>
    </row>
    <row r="69" spans="1:16" x14ac:dyDescent="0.2">
      <c r="A69" s="11">
        <v>68</v>
      </c>
      <c r="B69" s="11" t="s">
        <v>91</v>
      </c>
      <c r="D69" s="11" t="s">
        <v>80</v>
      </c>
      <c r="E69" s="24"/>
      <c r="F69" s="7" t="s">
        <v>80</v>
      </c>
      <c r="G69" s="7" t="s">
        <v>80</v>
      </c>
      <c r="H69" s="7" t="s">
        <v>80</v>
      </c>
      <c r="I69" s="7" t="s">
        <v>80</v>
      </c>
      <c r="K69" s="24"/>
      <c r="L69" s="7" t="s">
        <v>84</v>
      </c>
      <c r="M69" s="7" t="s">
        <v>84</v>
      </c>
      <c r="N69" s="7" t="s">
        <v>82</v>
      </c>
      <c r="O69" s="7" t="s">
        <v>84</v>
      </c>
    </row>
    <row r="70" spans="1:16" x14ac:dyDescent="0.2">
      <c r="A70" s="11">
        <v>69</v>
      </c>
      <c r="B70" s="11" t="s">
        <v>111</v>
      </c>
      <c r="D70" s="11" t="s">
        <v>80</v>
      </c>
      <c r="E70" s="24"/>
      <c r="F70" s="7" t="s">
        <v>84</v>
      </c>
      <c r="G70" s="7" t="s">
        <v>82</v>
      </c>
      <c r="H70" s="7" t="s">
        <v>82</v>
      </c>
      <c r="I70" s="7" t="s">
        <v>82</v>
      </c>
      <c r="K70" s="24"/>
      <c r="L70" s="7" t="s">
        <v>80</v>
      </c>
      <c r="M70" s="7" t="s">
        <v>80</v>
      </c>
      <c r="N70" s="7" t="s">
        <v>80</v>
      </c>
      <c r="O70" s="7" t="s">
        <v>80</v>
      </c>
    </row>
    <row r="71" spans="1:16" x14ac:dyDescent="0.2">
      <c r="A71" s="11">
        <v>70</v>
      </c>
      <c r="B71" s="11" t="s">
        <v>91</v>
      </c>
      <c r="D71" s="11" t="s">
        <v>80</v>
      </c>
      <c r="E71" s="24"/>
      <c r="F71" s="7" t="s">
        <v>80</v>
      </c>
      <c r="G71" s="7" t="s">
        <v>80</v>
      </c>
      <c r="H71" s="7" t="s">
        <v>80</v>
      </c>
      <c r="I71" s="7" t="s">
        <v>80</v>
      </c>
      <c r="K71" s="24"/>
      <c r="L71" s="7" t="s">
        <v>84</v>
      </c>
      <c r="M71" s="7" t="s">
        <v>84</v>
      </c>
      <c r="N71" s="7" t="s">
        <v>84</v>
      </c>
      <c r="O71" s="7" t="s">
        <v>84</v>
      </c>
    </row>
    <row r="72" spans="1:16" x14ac:dyDescent="0.2">
      <c r="A72" s="11">
        <v>71</v>
      </c>
      <c r="B72" s="11" t="s">
        <v>91</v>
      </c>
      <c r="D72" s="11" t="s">
        <v>80</v>
      </c>
      <c r="E72" s="24"/>
      <c r="F72" s="7" t="s">
        <v>80</v>
      </c>
      <c r="G72" s="7" t="s">
        <v>80</v>
      </c>
      <c r="H72" s="7" t="s">
        <v>80</v>
      </c>
      <c r="I72" s="7" t="s">
        <v>80</v>
      </c>
      <c r="K72" s="24"/>
      <c r="L72" s="7" t="s">
        <v>84</v>
      </c>
      <c r="M72" s="7" t="s">
        <v>84</v>
      </c>
      <c r="N72" s="7" t="s">
        <v>82</v>
      </c>
      <c r="O72" s="7" t="s">
        <v>84</v>
      </c>
    </row>
    <row r="73" spans="1:16" x14ac:dyDescent="0.2">
      <c r="A73" s="11">
        <v>72</v>
      </c>
      <c r="B73" s="11" t="s">
        <v>111</v>
      </c>
      <c r="D73" s="11" t="s">
        <v>80</v>
      </c>
      <c r="E73" s="24"/>
      <c r="F73" s="7" t="s">
        <v>84</v>
      </c>
      <c r="G73" s="7" t="s">
        <v>82</v>
      </c>
      <c r="H73" s="7" t="s">
        <v>82</v>
      </c>
      <c r="I73" s="7" t="s">
        <v>82</v>
      </c>
      <c r="K73" s="24"/>
      <c r="L73" s="7" t="s">
        <v>80</v>
      </c>
      <c r="M73" s="7" t="s">
        <v>80</v>
      </c>
      <c r="N73" s="7" t="s">
        <v>80</v>
      </c>
      <c r="O73" s="7" t="s">
        <v>80</v>
      </c>
    </row>
    <row r="74" spans="1:16" x14ac:dyDescent="0.2">
      <c r="A74" s="11">
        <v>73</v>
      </c>
      <c r="B74" s="33" t="s">
        <v>91</v>
      </c>
      <c r="C74" s="33"/>
      <c r="D74" s="33" t="s">
        <v>80</v>
      </c>
      <c r="E74" s="33"/>
      <c r="F74" s="52" t="s">
        <v>80</v>
      </c>
      <c r="G74" s="52" t="s">
        <v>80</v>
      </c>
      <c r="H74" s="52" t="s">
        <v>80</v>
      </c>
      <c r="I74" s="52" t="s">
        <v>80</v>
      </c>
      <c r="J74" s="52"/>
      <c r="K74" s="33"/>
      <c r="L74" s="52" t="s">
        <v>84</v>
      </c>
      <c r="M74" s="52" t="s">
        <v>84</v>
      </c>
      <c r="N74" s="52" t="s">
        <v>84</v>
      </c>
      <c r="O74" s="52" t="s">
        <v>84</v>
      </c>
      <c r="P74" s="52"/>
    </row>
    <row r="75" spans="1:16" x14ac:dyDescent="0.2">
      <c r="A75" s="11">
        <v>74</v>
      </c>
      <c r="B75" s="11" t="s">
        <v>91</v>
      </c>
      <c r="D75" s="11" t="s">
        <v>80</v>
      </c>
      <c r="E75" s="24"/>
      <c r="F75" s="7" t="s">
        <v>80</v>
      </c>
      <c r="G75" s="7" t="s">
        <v>80</v>
      </c>
      <c r="H75" s="7" t="s">
        <v>80</v>
      </c>
      <c r="I75" s="7" t="s">
        <v>80</v>
      </c>
      <c r="K75" s="24"/>
      <c r="L75" s="7" t="s">
        <v>84</v>
      </c>
      <c r="M75" s="7" t="s">
        <v>82</v>
      </c>
      <c r="N75" s="7" t="s">
        <v>82</v>
      </c>
      <c r="O75" s="7" t="s">
        <v>84</v>
      </c>
    </row>
    <row r="76" spans="1:16" x14ac:dyDescent="0.2">
      <c r="A76" s="11">
        <v>75</v>
      </c>
      <c r="B76" s="33" t="s">
        <v>111</v>
      </c>
      <c r="C76" s="33"/>
      <c r="D76" s="33" t="s">
        <v>80</v>
      </c>
      <c r="E76" s="33"/>
      <c r="F76" s="52" t="s">
        <v>84</v>
      </c>
      <c r="G76" s="52" t="s">
        <v>84</v>
      </c>
      <c r="H76" s="52" t="s">
        <v>84</v>
      </c>
      <c r="I76" s="52" t="s">
        <v>84</v>
      </c>
      <c r="J76" s="52"/>
      <c r="K76" s="33"/>
      <c r="L76" s="52" t="s">
        <v>80</v>
      </c>
      <c r="M76" s="52" t="s">
        <v>80</v>
      </c>
      <c r="N76" s="52" t="s">
        <v>80</v>
      </c>
      <c r="O76" s="52" t="s">
        <v>80</v>
      </c>
      <c r="P76" s="52"/>
    </row>
    <row r="77" spans="1:16" x14ac:dyDescent="0.2">
      <c r="A77" s="11">
        <v>76</v>
      </c>
      <c r="B77" s="11" t="s">
        <v>91</v>
      </c>
      <c r="D77" s="11" t="s">
        <v>80</v>
      </c>
      <c r="E77" s="24"/>
      <c r="F77" s="7" t="s">
        <v>80</v>
      </c>
      <c r="G77" s="7" t="s">
        <v>80</v>
      </c>
      <c r="H77" s="7" t="s">
        <v>80</v>
      </c>
      <c r="I77" s="7" t="s">
        <v>80</v>
      </c>
      <c r="K77" s="24"/>
      <c r="L77" s="7" t="s">
        <v>84</v>
      </c>
      <c r="M77" s="7" t="s">
        <v>84</v>
      </c>
      <c r="N77" s="7" t="s">
        <v>84</v>
      </c>
      <c r="O77" s="7" t="s">
        <v>84</v>
      </c>
    </row>
    <row r="78" spans="1:16" x14ac:dyDescent="0.2">
      <c r="A78" s="11">
        <v>77</v>
      </c>
      <c r="B78" s="11" t="s">
        <v>91</v>
      </c>
      <c r="D78" s="11" t="s">
        <v>80</v>
      </c>
      <c r="E78" s="24"/>
      <c r="F78" s="7" t="s">
        <v>80</v>
      </c>
      <c r="G78" s="7" t="s">
        <v>80</v>
      </c>
      <c r="H78" s="7" t="s">
        <v>80</v>
      </c>
      <c r="I78" s="7" t="s">
        <v>80</v>
      </c>
      <c r="K78" s="24"/>
      <c r="L78" s="7" t="s">
        <v>84</v>
      </c>
      <c r="M78" s="7" t="s">
        <v>82</v>
      </c>
      <c r="N78" s="7" t="s">
        <v>82</v>
      </c>
      <c r="O78" s="7" t="s">
        <v>84</v>
      </c>
    </row>
    <row r="79" spans="1:16" x14ac:dyDescent="0.2">
      <c r="A79" s="11">
        <v>78</v>
      </c>
      <c r="B79" s="11" t="s">
        <v>111</v>
      </c>
      <c r="D79" s="11" t="s">
        <v>80</v>
      </c>
      <c r="E79" s="24"/>
      <c r="F79" s="7" t="s">
        <v>84</v>
      </c>
      <c r="G79" s="7" t="s">
        <v>84</v>
      </c>
      <c r="H79" s="7" t="s">
        <v>82</v>
      </c>
      <c r="I79" s="7" t="s">
        <v>84</v>
      </c>
      <c r="K79" s="24"/>
      <c r="L79" s="7" t="s">
        <v>80</v>
      </c>
      <c r="M79" s="7" t="s">
        <v>80</v>
      </c>
      <c r="N79" s="7" t="s">
        <v>80</v>
      </c>
      <c r="O79" s="7" t="s">
        <v>80</v>
      </c>
    </row>
    <row r="80" spans="1:16" x14ac:dyDescent="0.2">
      <c r="A80" s="11">
        <v>79</v>
      </c>
      <c r="B80" s="11" t="s">
        <v>91</v>
      </c>
      <c r="D80" s="11" t="s">
        <v>80</v>
      </c>
      <c r="E80" s="24"/>
      <c r="F80" s="7" t="s">
        <v>80</v>
      </c>
      <c r="G80" s="7" t="s">
        <v>80</v>
      </c>
      <c r="H80" s="7" t="s">
        <v>80</v>
      </c>
      <c r="I80" s="7" t="s">
        <v>80</v>
      </c>
      <c r="K80" s="24"/>
      <c r="L80" s="7" t="s">
        <v>84</v>
      </c>
      <c r="M80" s="7" t="s">
        <v>84</v>
      </c>
      <c r="N80" s="7" t="s">
        <v>82</v>
      </c>
      <c r="O80" s="7" t="s">
        <v>84</v>
      </c>
    </row>
    <row r="81" spans="1:16" x14ac:dyDescent="0.2">
      <c r="A81" s="11">
        <v>80</v>
      </c>
      <c r="B81" s="11" t="s">
        <v>91</v>
      </c>
      <c r="D81" s="11" t="s">
        <v>80</v>
      </c>
      <c r="E81" s="24"/>
      <c r="F81" s="7" t="s">
        <v>80</v>
      </c>
      <c r="G81" s="7" t="s">
        <v>80</v>
      </c>
      <c r="H81" s="7" t="s">
        <v>80</v>
      </c>
      <c r="I81" s="7" t="s">
        <v>80</v>
      </c>
      <c r="K81" s="24"/>
      <c r="L81" s="7" t="s">
        <v>84</v>
      </c>
      <c r="M81" s="7" t="s">
        <v>84</v>
      </c>
      <c r="N81" s="7" t="s">
        <v>84</v>
      </c>
      <c r="O81" s="7" t="s">
        <v>84</v>
      </c>
    </row>
    <row r="82" spans="1:16" x14ac:dyDescent="0.2">
      <c r="A82" s="11">
        <v>81</v>
      </c>
      <c r="B82" s="11" t="s">
        <v>91</v>
      </c>
      <c r="D82" s="11" t="s">
        <v>80</v>
      </c>
      <c r="E82" s="24"/>
      <c r="F82" s="7" t="s">
        <v>80</v>
      </c>
      <c r="G82" s="7" t="s">
        <v>80</v>
      </c>
      <c r="H82" s="7" t="s">
        <v>80</v>
      </c>
      <c r="I82" s="7" t="s">
        <v>80</v>
      </c>
      <c r="K82" s="24"/>
      <c r="L82" s="7" t="s">
        <v>84</v>
      </c>
      <c r="M82" s="7" t="s">
        <v>82</v>
      </c>
      <c r="N82" s="7" t="s">
        <v>82</v>
      </c>
      <c r="O82" s="7" t="s">
        <v>84</v>
      </c>
    </row>
    <row r="83" spans="1:16" x14ac:dyDescent="0.2">
      <c r="A83" s="11">
        <v>82</v>
      </c>
      <c r="B83" s="11" t="s">
        <v>111</v>
      </c>
      <c r="D83" s="11" t="s">
        <v>80</v>
      </c>
      <c r="E83" s="24"/>
      <c r="F83" s="7" t="s">
        <v>84</v>
      </c>
      <c r="G83" s="7" t="s">
        <v>84</v>
      </c>
      <c r="H83" s="7" t="s">
        <v>84</v>
      </c>
      <c r="I83" s="7" t="s">
        <v>84</v>
      </c>
      <c r="K83" s="24"/>
      <c r="L83" s="7" t="s">
        <v>80</v>
      </c>
      <c r="M83" s="7" t="s">
        <v>80</v>
      </c>
      <c r="N83" s="7" t="s">
        <v>80</v>
      </c>
      <c r="O83" s="7" t="s">
        <v>80</v>
      </c>
    </row>
    <row r="84" spans="1:16" x14ac:dyDescent="0.2">
      <c r="A84" s="11">
        <v>83</v>
      </c>
      <c r="B84" s="11" t="s">
        <v>91</v>
      </c>
      <c r="D84" s="11" t="s">
        <v>80</v>
      </c>
      <c r="E84" s="24"/>
      <c r="F84" s="7" t="s">
        <v>80</v>
      </c>
      <c r="G84" s="7" t="s">
        <v>80</v>
      </c>
      <c r="H84" s="7" t="s">
        <v>80</v>
      </c>
      <c r="I84" s="7" t="s">
        <v>80</v>
      </c>
      <c r="K84" s="24"/>
      <c r="L84" s="7" t="s">
        <v>84</v>
      </c>
      <c r="M84" s="7" t="s">
        <v>84</v>
      </c>
      <c r="N84" s="7" t="s">
        <v>84</v>
      </c>
      <c r="O84" s="7" t="s">
        <v>84</v>
      </c>
    </row>
    <row r="85" spans="1:16" x14ac:dyDescent="0.2">
      <c r="A85" s="11">
        <v>84</v>
      </c>
      <c r="B85" s="11" t="s">
        <v>91</v>
      </c>
      <c r="D85" s="11" t="s">
        <v>80</v>
      </c>
      <c r="E85" s="24"/>
      <c r="F85" s="7" t="s">
        <v>80</v>
      </c>
      <c r="G85" s="7" t="s">
        <v>80</v>
      </c>
      <c r="H85" s="7" t="s">
        <v>80</v>
      </c>
      <c r="I85" s="7" t="s">
        <v>80</v>
      </c>
      <c r="K85" s="24"/>
      <c r="L85" s="7" t="s">
        <v>84</v>
      </c>
      <c r="M85" s="7" t="s">
        <v>84</v>
      </c>
      <c r="N85" s="7" t="s">
        <v>84</v>
      </c>
      <c r="O85" s="7" t="s">
        <v>84</v>
      </c>
    </row>
    <row r="86" spans="1:16" x14ac:dyDescent="0.2">
      <c r="A86" s="11">
        <v>85</v>
      </c>
      <c r="B86" s="11" t="s">
        <v>91</v>
      </c>
      <c r="D86" s="11" t="s">
        <v>80</v>
      </c>
      <c r="E86" s="24"/>
      <c r="F86" s="7" t="s">
        <v>80</v>
      </c>
      <c r="G86" s="7" t="s">
        <v>80</v>
      </c>
      <c r="H86" s="7" t="s">
        <v>80</v>
      </c>
      <c r="I86" s="7" t="s">
        <v>80</v>
      </c>
      <c r="K86" s="24"/>
      <c r="L86" s="7" t="s">
        <v>84</v>
      </c>
      <c r="M86" s="7" t="s">
        <v>84</v>
      </c>
      <c r="N86" s="7" t="s">
        <v>84</v>
      </c>
      <c r="O86" s="7" t="s">
        <v>84</v>
      </c>
      <c r="P86" s="7" t="s">
        <v>1504</v>
      </c>
    </row>
    <row r="87" spans="1:16" x14ac:dyDescent="0.2">
      <c r="A87" s="11">
        <v>86</v>
      </c>
      <c r="B87" s="33" t="s">
        <v>111</v>
      </c>
      <c r="C87" s="33"/>
      <c r="D87" s="33" t="s">
        <v>80</v>
      </c>
      <c r="E87" s="33"/>
      <c r="F87" s="52" t="s">
        <v>84</v>
      </c>
      <c r="G87" s="52" t="s">
        <v>82</v>
      </c>
      <c r="H87" s="52" t="s">
        <v>82</v>
      </c>
      <c r="I87" s="52" t="s">
        <v>82</v>
      </c>
      <c r="J87" s="52"/>
      <c r="K87" s="33"/>
      <c r="L87" s="52" t="s">
        <v>80</v>
      </c>
      <c r="M87" s="52" t="s">
        <v>80</v>
      </c>
      <c r="N87" s="52" t="s">
        <v>80</v>
      </c>
      <c r="O87" s="52" t="s">
        <v>80</v>
      </c>
      <c r="P87" s="52"/>
    </row>
    <row r="88" spans="1:16" x14ac:dyDescent="0.2">
      <c r="A88" s="11">
        <v>87</v>
      </c>
      <c r="B88" s="11" t="s">
        <v>91</v>
      </c>
      <c r="D88" s="11" t="s">
        <v>80</v>
      </c>
      <c r="E88" s="24"/>
      <c r="F88" s="7" t="s">
        <v>80</v>
      </c>
      <c r="G88" s="7" t="s">
        <v>80</v>
      </c>
      <c r="H88" s="7" t="s">
        <v>80</v>
      </c>
      <c r="I88" s="7" t="s">
        <v>80</v>
      </c>
      <c r="K88" s="24"/>
      <c r="L88" s="7" t="s">
        <v>84</v>
      </c>
      <c r="M88" s="7" t="s">
        <v>84</v>
      </c>
      <c r="N88" s="7" t="s">
        <v>84</v>
      </c>
      <c r="O88" s="7" t="s">
        <v>84</v>
      </c>
    </row>
    <row r="89" spans="1:16" x14ac:dyDescent="0.2">
      <c r="A89" s="11">
        <v>88</v>
      </c>
      <c r="B89" s="11" t="s">
        <v>111</v>
      </c>
      <c r="D89" s="11" t="s">
        <v>80</v>
      </c>
      <c r="E89" s="24"/>
      <c r="F89" s="7" t="s">
        <v>84</v>
      </c>
      <c r="G89" s="7" t="s">
        <v>82</v>
      </c>
      <c r="H89" s="7" t="s">
        <v>82</v>
      </c>
      <c r="I89" s="7" t="s">
        <v>82</v>
      </c>
      <c r="K89" s="24"/>
      <c r="L89" s="7" t="s">
        <v>80</v>
      </c>
      <c r="M89" s="7" t="s">
        <v>80</v>
      </c>
      <c r="N89" s="7" t="s">
        <v>80</v>
      </c>
      <c r="O89" s="7" t="s">
        <v>80</v>
      </c>
    </row>
    <row r="90" spans="1:16" x14ac:dyDescent="0.2">
      <c r="A90" s="11">
        <v>89</v>
      </c>
      <c r="B90" s="11" t="s">
        <v>111</v>
      </c>
      <c r="D90" s="11" t="s">
        <v>80</v>
      </c>
      <c r="E90" s="24"/>
      <c r="F90" s="7" t="s">
        <v>84</v>
      </c>
      <c r="G90" s="7" t="s">
        <v>84</v>
      </c>
      <c r="H90" s="7" t="s">
        <v>84</v>
      </c>
      <c r="I90" s="7" t="s">
        <v>84</v>
      </c>
      <c r="K90" s="24"/>
      <c r="L90" s="7" t="s">
        <v>80</v>
      </c>
      <c r="M90" s="7" t="s">
        <v>80</v>
      </c>
      <c r="N90" s="7" t="s">
        <v>80</v>
      </c>
      <c r="O90" s="7" t="s">
        <v>80</v>
      </c>
    </row>
    <row r="91" spans="1:16" x14ac:dyDescent="0.2">
      <c r="A91" s="11">
        <v>90</v>
      </c>
      <c r="B91" s="11" t="s">
        <v>111</v>
      </c>
      <c r="D91" s="11" t="s">
        <v>80</v>
      </c>
      <c r="E91" s="24"/>
      <c r="F91" s="7" t="s">
        <v>84</v>
      </c>
      <c r="G91" s="7" t="s">
        <v>82</v>
      </c>
      <c r="H91" s="7" t="s">
        <v>82</v>
      </c>
      <c r="I91" s="7" t="s">
        <v>84</v>
      </c>
      <c r="K91" s="24"/>
      <c r="L91" s="7" t="s">
        <v>80</v>
      </c>
      <c r="M91" s="7" t="s">
        <v>80</v>
      </c>
      <c r="N91" s="7" t="s">
        <v>80</v>
      </c>
      <c r="O91" s="7" t="s">
        <v>80</v>
      </c>
    </row>
    <row r="92" spans="1:16" x14ac:dyDescent="0.2">
      <c r="A92" s="11">
        <v>91</v>
      </c>
      <c r="B92" s="33" t="s">
        <v>91</v>
      </c>
      <c r="C92" s="33"/>
      <c r="D92" s="33" t="s">
        <v>80</v>
      </c>
      <c r="E92" s="33"/>
      <c r="F92" s="52" t="s">
        <v>80</v>
      </c>
      <c r="G92" s="52" t="s">
        <v>80</v>
      </c>
      <c r="H92" s="52" t="s">
        <v>80</v>
      </c>
      <c r="I92" s="52" t="s">
        <v>80</v>
      </c>
      <c r="J92" s="52"/>
      <c r="K92" s="33"/>
      <c r="L92" s="52" t="s">
        <v>84</v>
      </c>
      <c r="M92" s="52" t="s">
        <v>84</v>
      </c>
      <c r="N92" s="52" t="s">
        <v>84</v>
      </c>
      <c r="O92" s="52" t="s">
        <v>84</v>
      </c>
      <c r="P92" s="52"/>
    </row>
    <row r="93" spans="1:16" x14ac:dyDescent="0.2">
      <c r="A93" s="11">
        <v>92</v>
      </c>
      <c r="B93" s="11" t="s">
        <v>91</v>
      </c>
      <c r="D93" s="11" t="s">
        <v>80</v>
      </c>
      <c r="E93" s="24"/>
      <c r="F93" s="7" t="s">
        <v>80</v>
      </c>
      <c r="G93" s="7" t="s">
        <v>80</v>
      </c>
      <c r="H93" s="7" t="s">
        <v>80</v>
      </c>
      <c r="I93" s="7" t="s">
        <v>80</v>
      </c>
      <c r="K93" s="24"/>
      <c r="L93" s="7" t="s">
        <v>84</v>
      </c>
      <c r="M93" s="7" t="s">
        <v>82</v>
      </c>
      <c r="N93" s="7" t="s">
        <v>84</v>
      </c>
      <c r="O93" s="7" t="s">
        <v>84</v>
      </c>
    </row>
    <row r="94" spans="1:16" x14ac:dyDescent="0.2">
      <c r="A94" s="11">
        <v>93</v>
      </c>
      <c r="B94" s="11" t="s">
        <v>111</v>
      </c>
      <c r="D94" s="11" t="s">
        <v>80</v>
      </c>
      <c r="E94" s="24"/>
      <c r="F94" s="7" t="s">
        <v>84</v>
      </c>
      <c r="G94" s="7" t="s">
        <v>84</v>
      </c>
      <c r="H94" s="7" t="s">
        <v>82</v>
      </c>
      <c r="I94" s="7" t="s">
        <v>82</v>
      </c>
      <c r="K94" s="24"/>
      <c r="L94" s="7" t="s">
        <v>80</v>
      </c>
      <c r="M94" s="7" t="s">
        <v>80</v>
      </c>
      <c r="N94" s="7" t="s">
        <v>80</v>
      </c>
      <c r="O94" s="7" t="s">
        <v>80</v>
      </c>
    </row>
    <row r="95" spans="1:16" x14ac:dyDescent="0.2">
      <c r="A95" s="11">
        <v>94</v>
      </c>
      <c r="B95" s="11" t="s">
        <v>91</v>
      </c>
      <c r="D95" s="11" t="s">
        <v>80</v>
      </c>
      <c r="E95" s="24"/>
      <c r="F95" s="7" t="s">
        <v>80</v>
      </c>
      <c r="G95" s="7" t="s">
        <v>80</v>
      </c>
      <c r="H95" s="7" t="s">
        <v>80</v>
      </c>
      <c r="I95" s="7" t="s">
        <v>80</v>
      </c>
      <c r="K95" s="24"/>
      <c r="L95" s="7" t="s">
        <v>84</v>
      </c>
      <c r="M95" s="7" t="s">
        <v>82</v>
      </c>
      <c r="N95" s="7" t="s">
        <v>82</v>
      </c>
      <c r="O95" s="7" t="s">
        <v>84</v>
      </c>
    </row>
    <row r="96" spans="1:16" x14ac:dyDescent="0.2">
      <c r="A96" s="11">
        <v>95</v>
      </c>
      <c r="B96" s="11" t="s">
        <v>91</v>
      </c>
      <c r="D96" s="11" t="s">
        <v>80</v>
      </c>
      <c r="E96" s="24"/>
      <c r="F96" s="7" t="s">
        <v>80</v>
      </c>
      <c r="G96" s="7" t="s">
        <v>80</v>
      </c>
      <c r="H96" s="7" t="s">
        <v>80</v>
      </c>
      <c r="I96" s="7" t="s">
        <v>80</v>
      </c>
      <c r="K96" s="24"/>
      <c r="L96" s="7" t="s">
        <v>84</v>
      </c>
      <c r="M96" s="7" t="s">
        <v>84</v>
      </c>
      <c r="N96" s="7" t="s">
        <v>84</v>
      </c>
      <c r="O96" s="7" t="s">
        <v>84</v>
      </c>
    </row>
    <row r="97" spans="1:15" x14ac:dyDescent="0.2">
      <c r="A97" s="11">
        <v>96</v>
      </c>
      <c r="B97" s="11" t="s">
        <v>111</v>
      </c>
      <c r="D97" s="11" t="s">
        <v>80</v>
      </c>
      <c r="E97" s="24"/>
      <c r="F97" s="7" t="s">
        <v>84</v>
      </c>
      <c r="G97" s="7" t="s">
        <v>82</v>
      </c>
      <c r="H97" s="7" t="s">
        <v>84</v>
      </c>
      <c r="I97" s="7" t="s">
        <v>82</v>
      </c>
      <c r="J97" s="7" t="s">
        <v>1586</v>
      </c>
      <c r="K97" s="24"/>
      <c r="L97" s="7" t="s">
        <v>80</v>
      </c>
      <c r="M97" s="7" t="s">
        <v>80</v>
      </c>
      <c r="N97" s="7" t="s">
        <v>80</v>
      </c>
      <c r="O97" s="7" t="s">
        <v>80</v>
      </c>
    </row>
    <row r="98" spans="1:15" x14ac:dyDescent="0.2">
      <c r="A98" s="11">
        <v>97</v>
      </c>
      <c r="B98" s="11" t="s">
        <v>111</v>
      </c>
      <c r="D98" s="11" t="s">
        <v>80</v>
      </c>
      <c r="E98" s="24"/>
      <c r="F98" s="7" t="s">
        <v>84</v>
      </c>
      <c r="G98" s="7" t="s">
        <v>82</v>
      </c>
      <c r="H98" s="7" t="s">
        <v>82</v>
      </c>
      <c r="I98" s="7" t="s">
        <v>82</v>
      </c>
      <c r="K98" s="24"/>
      <c r="L98" s="7" t="s">
        <v>80</v>
      </c>
      <c r="M98" s="7" t="s">
        <v>80</v>
      </c>
      <c r="N98" s="7" t="s">
        <v>80</v>
      </c>
      <c r="O98" s="7" t="s">
        <v>80</v>
      </c>
    </row>
    <row r="99" spans="1:15" x14ac:dyDescent="0.2">
      <c r="A99" s="11">
        <v>98</v>
      </c>
      <c r="B99" s="11" t="s">
        <v>91</v>
      </c>
      <c r="D99" s="11" t="s">
        <v>80</v>
      </c>
      <c r="E99" s="24"/>
      <c r="F99" s="7" t="s">
        <v>80</v>
      </c>
      <c r="G99" s="7" t="s">
        <v>80</v>
      </c>
      <c r="H99" s="7" t="s">
        <v>80</v>
      </c>
      <c r="I99" s="7" t="s">
        <v>80</v>
      </c>
      <c r="K99" s="24"/>
      <c r="L99" s="7" t="s">
        <v>84</v>
      </c>
      <c r="M99" s="7" t="s">
        <v>84</v>
      </c>
      <c r="N99" s="7" t="s">
        <v>84</v>
      </c>
      <c r="O99" s="7" t="s">
        <v>84</v>
      </c>
    </row>
    <row r="100" spans="1:15" ht="114.75" x14ac:dyDescent="0.2">
      <c r="A100" s="11">
        <v>99</v>
      </c>
      <c r="B100" s="11" t="s">
        <v>82</v>
      </c>
      <c r="C100" s="11" t="s">
        <v>1618</v>
      </c>
      <c r="D100" s="11" t="s">
        <v>84</v>
      </c>
      <c r="E100" s="24"/>
      <c r="F100" s="7" t="s">
        <v>80</v>
      </c>
      <c r="G100" s="7" t="s">
        <v>80</v>
      </c>
      <c r="H100" s="7" t="s">
        <v>80</v>
      </c>
      <c r="I100" s="7" t="s">
        <v>80</v>
      </c>
      <c r="K100" s="24"/>
      <c r="L100" s="7" t="s">
        <v>80</v>
      </c>
      <c r="M100" s="7" t="s">
        <v>80</v>
      </c>
      <c r="N100" s="7" t="s">
        <v>80</v>
      </c>
      <c r="O100" s="7" t="s">
        <v>80</v>
      </c>
    </row>
    <row r="101" spans="1:15" x14ac:dyDescent="0.2">
      <c r="A101" s="11">
        <v>100</v>
      </c>
      <c r="B101" s="11" t="s">
        <v>91</v>
      </c>
      <c r="D101" s="11" t="s">
        <v>80</v>
      </c>
      <c r="E101" s="24"/>
      <c r="F101" s="7" t="s">
        <v>80</v>
      </c>
      <c r="G101" s="7" t="s">
        <v>80</v>
      </c>
      <c r="H101" s="7" t="s">
        <v>80</v>
      </c>
      <c r="I101" s="7" t="s">
        <v>80</v>
      </c>
      <c r="K101" s="24"/>
      <c r="L101" s="7" t="s">
        <v>84</v>
      </c>
      <c r="M101" s="7" t="s">
        <v>84</v>
      </c>
      <c r="N101" s="7" t="s">
        <v>82</v>
      </c>
      <c r="O101" s="7" t="s">
        <v>84</v>
      </c>
    </row>
    <row r="102" spans="1:15" x14ac:dyDescent="0.2">
      <c r="A102" s="11">
        <v>101</v>
      </c>
      <c r="B102" s="11" t="s">
        <v>91</v>
      </c>
      <c r="D102" s="11" t="s">
        <v>80</v>
      </c>
      <c r="E102" s="24"/>
      <c r="F102" s="7" t="s">
        <v>80</v>
      </c>
      <c r="G102" s="7" t="s">
        <v>80</v>
      </c>
      <c r="H102" s="7" t="s">
        <v>80</v>
      </c>
      <c r="I102" s="7" t="s">
        <v>80</v>
      </c>
      <c r="K102" s="24"/>
      <c r="L102" s="7" t="s">
        <v>84</v>
      </c>
      <c r="M102" s="7" t="s">
        <v>84</v>
      </c>
      <c r="N102" s="7" t="s">
        <v>84</v>
      </c>
      <c r="O102" s="7" t="s">
        <v>84</v>
      </c>
    </row>
    <row r="103" spans="1:15" x14ac:dyDescent="0.2">
      <c r="A103" s="11">
        <v>102</v>
      </c>
      <c r="B103" s="11" t="s">
        <v>91</v>
      </c>
      <c r="D103" s="11" t="s">
        <v>80</v>
      </c>
      <c r="E103" s="24"/>
      <c r="F103" s="7" t="s">
        <v>80</v>
      </c>
      <c r="G103" s="7" t="s">
        <v>80</v>
      </c>
      <c r="H103" s="7" t="s">
        <v>80</v>
      </c>
      <c r="I103" s="7" t="s">
        <v>80</v>
      </c>
      <c r="K103" s="24"/>
      <c r="L103" s="7" t="s">
        <v>84</v>
      </c>
      <c r="M103" s="7" t="s">
        <v>84</v>
      </c>
      <c r="N103" s="7" t="s">
        <v>84</v>
      </c>
      <c r="O103" s="7" t="s">
        <v>84</v>
      </c>
    </row>
    <row r="104" spans="1:15" x14ac:dyDescent="0.2">
      <c r="A104" s="11">
        <v>103</v>
      </c>
      <c r="B104" s="11" t="s">
        <v>91</v>
      </c>
      <c r="D104" s="11" t="s">
        <v>80</v>
      </c>
      <c r="E104" s="24"/>
      <c r="F104" s="7" t="s">
        <v>80</v>
      </c>
      <c r="G104" s="7" t="s">
        <v>80</v>
      </c>
      <c r="H104" s="7" t="s">
        <v>80</v>
      </c>
      <c r="I104" s="7" t="s">
        <v>80</v>
      </c>
      <c r="K104" s="24"/>
      <c r="L104" s="7" t="s">
        <v>84</v>
      </c>
      <c r="M104" s="7" t="s">
        <v>82</v>
      </c>
      <c r="N104" s="7" t="s">
        <v>84</v>
      </c>
      <c r="O104" s="7" t="s">
        <v>82</v>
      </c>
    </row>
    <row r="105" spans="1:15" ht="102" x14ac:dyDescent="0.2">
      <c r="A105" s="11">
        <v>104</v>
      </c>
      <c r="B105" s="11" t="s">
        <v>82</v>
      </c>
      <c r="C105" s="11" t="s">
        <v>1659</v>
      </c>
      <c r="D105" s="11" t="s">
        <v>82</v>
      </c>
      <c r="E105" s="24"/>
      <c r="F105" s="7" t="s">
        <v>80</v>
      </c>
      <c r="G105" s="7" t="s">
        <v>80</v>
      </c>
      <c r="H105" s="7" t="s">
        <v>80</v>
      </c>
      <c r="I105" s="7" t="s">
        <v>80</v>
      </c>
      <c r="K105" s="24"/>
      <c r="L105" s="7" t="s">
        <v>80</v>
      </c>
      <c r="M105" s="7" t="s">
        <v>80</v>
      </c>
      <c r="N105" s="7" t="s">
        <v>80</v>
      </c>
      <c r="O105" s="7" t="s">
        <v>80</v>
      </c>
    </row>
    <row r="106" spans="1:15" x14ac:dyDescent="0.2">
      <c r="A106" s="11">
        <v>105</v>
      </c>
      <c r="B106" s="11" t="s">
        <v>91</v>
      </c>
      <c r="D106" s="11" t="s">
        <v>80</v>
      </c>
      <c r="E106" s="24"/>
      <c r="F106" s="7" t="s">
        <v>80</v>
      </c>
      <c r="G106" s="7" t="s">
        <v>80</v>
      </c>
      <c r="H106" s="7" t="s">
        <v>80</v>
      </c>
      <c r="I106" s="7" t="s">
        <v>80</v>
      </c>
      <c r="K106" s="24"/>
      <c r="L106" s="7" t="s">
        <v>84</v>
      </c>
      <c r="M106" s="7" t="s">
        <v>82</v>
      </c>
      <c r="N106" s="7" t="s">
        <v>82</v>
      </c>
      <c r="O106" s="7" t="s">
        <v>82</v>
      </c>
    </row>
    <row r="107" spans="1:15" x14ac:dyDescent="0.2">
      <c r="A107" s="11">
        <v>106</v>
      </c>
      <c r="B107" s="11" t="s">
        <v>91</v>
      </c>
      <c r="D107" s="11" t="s">
        <v>80</v>
      </c>
      <c r="E107" s="24"/>
      <c r="F107" s="7" t="s">
        <v>80</v>
      </c>
      <c r="G107" s="7" t="s">
        <v>80</v>
      </c>
      <c r="H107" s="7" t="s">
        <v>80</v>
      </c>
      <c r="I107" s="7" t="s">
        <v>80</v>
      </c>
      <c r="K107" s="24"/>
      <c r="L107" s="7" t="s">
        <v>84</v>
      </c>
      <c r="M107" s="7" t="s">
        <v>82</v>
      </c>
      <c r="N107" s="7" t="s">
        <v>84</v>
      </c>
      <c r="O107" s="7" t="s">
        <v>84</v>
      </c>
    </row>
    <row r="108" spans="1:15" x14ac:dyDescent="0.2">
      <c r="A108" s="11">
        <v>107</v>
      </c>
      <c r="B108" s="11" t="s">
        <v>91</v>
      </c>
      <c r="D108" s="11" t="s">
        <v>80</v>
      </c>
      <c r="E108" s="24"/>
      <c r="F108" s="7" t="s">
        <v>80</v>
      </c>
      <c r="G108" s="7" t="s">
        <v>80</v>
      </c>
      <c r="H108" s="7" t="s">
        <v>80</v>
      </c>
      <c r="I108" s="7" t="s">
        <v>80</v>
      </c>
      <c r="K108" s="24"/>
      <c r="L108" s="7" t="s">
        <v>84</v>
      </c>
      <c r="M108" s="7" t="s">
        <v>84</v>
      </c>
      <c r="N108" s="7" t="s">
        <v>84</v>
      </c>
      <c r="O108" s="7" t="s">
        <v>84</v>
      </c>
    </row>
    <row r="109" spans="1:15" x14ac:dyDescent="0.2">
      <c r="A109" s="11">
        <v>108</v>
      </c>
      <c r="B109" s="11" t="s">
        <v>91</v>
      </c>
      <c r="D109" s="11" t="s">
        <v>80</v>
      </c>
      <c r="E109" s="24"/>
      <c r="F109" s="7" t="s">
        <v>80</v>
      </c>
      <c r="G109" s="7" t="s">
        <v>80</v>
      </c>
      <c r="H109" s="7" t="s">
        <v>80</v>
      </c>
      <c r="I109" s="7" t="s">
        <v>80</v>
      </c>
      <c r="K109" s="24"/>
      <c r="L109" s="7" t="s">
        <v>84</v>
      </c>
      <c r="M109" s="7" t="s">
        <v>82</v>
      </c>
      <c r="N109" s="7" t="s">
        <v>84</v>
      </c>
      <c r="O109" s="7" t="s">
        <v>84</v>
      </c>
    </row>
    <row r="110" spans="1:15" x14ac:dyDescent="0.2">
      <c r="A110" s="11">
        <v>109</v>
      </c>
      <c r="B110" s="11" t="s">
        <v>91</v>
      </c>
      <c r="D110" s="11" t="s">
        <v>80</v>
      </c>
      <c r="E110" s="24"/>
      <c r="F110" s="7" t="s">
        <v>80</v>
      </c>
      <c r="G110" s="7" t="s">
        <v>80</v>
      </c>
      <c r="H110" s="7" t="s">
        <v>80</v>
      </c>
      <c r="I110" s="7" t="s">
        <v>80</v>
      </c>
      <c r="K110" s="24"/>
      <c r="L110" s="7" t="s">
        <v>84</v>
      </c>
      <c r="M110" s="7" t="s">
        <v>82</v>
      </c>
      <c r="N110" s="7" t="s">
        <v>84</v>
      </c>
      <c r="O110" s="7" t="s">
        <v>84</v>
      </c>
    </row>
    <row r="111" spans="1:15" x14ac:dyDescent="0.2">
      <c r="A111" s="11">
        <v>110</v>
      </c>
      <c r="B111" s="11" t="s">
        <v>91</v>
      </c>
      <c r="D111" s="11" t="s">
        <v>80</v>
      </c>
      <c r="E111" s="24"/>
      <c r="F111" s="7" t="s">
        <v>80</v>
      </c>
      <c r="G111" s="7" t="s">
        <v>80</v>
      </c>
      <c r="H111" s="7" t="s">
        <v>80</v>
      </c>
      <c r="I111" s="7" t="s">
        <v>80</v>
      </c>
      <c r="K111" s="24"/>
      <c r="L111" s="7" t="s">
        <v>84</v>
      </c>
      <c r="M111" s="7" t="s">
        <v>84</v>
      </c>
      <c r="N111" s="7" t="s">
        <v>84</v>
      </c>
      <c r="O111" s="7" t="s">
        <v>84</v>
      </c>
    </row>
    <row r="112" spans="1:15" x14ac:dyDescent="0.2">
      <c r="A112" s="11">
        <v>111</v>
      </c>
      <c r="B112" s="11" t="s">
        <v>111</v>
      </c>
      <c r="D112" s="11" t="s">
        <v>80</v>
      </c>
      <c r="E112" s="24"/>
      <c r="F112" s="7" t="s">
        <v>84</v>
      </c>
      <c r="G112" s="7" t="s">
        <v>84</v>
      </c>
      <c r="H112" s="7" t="s">
        <v>82</v>
      </c>
      <c r="I112" s="7" t="s">
        <v>84</v>
      </c>
      <c r="K112" s="24"/>
      <c r="L112" s="7" t="s">
        <v>80</v>
      </c>
      <c r="M112" s="7" t="s">
        <v>80</v>
      </c>
      <c r="N112" s="7" t="s">
        <v>80</v>
      </c>
      <c r="O112" s="7" t="s">
        <v>80</v>
      </c>
    </row>
    <row r="113" spans="1:16" x14ac:dyDescent="0.2">
      <c r="A113" s="11">
        <v>112</v>
      </c>
      <c r="B113" s="11" t="s">
        <v>91</v>
      </c>
      <c r="D113" s="11" t="s">
        <v>80</v>
      </c>
      <c r="E113" s="24"/>
      <c r="F113" s="7" t="s">
        <v>80</v>
      </c>
      <c r="G113" s="7" t="s">
        <v>80</v>
      </c>
      <c r="H113" s="7" t="s">
        <v>80</v>
      </c>
      <c r="I113" s="7" t="s">
        <v>80</v>
      </c>
      <c r="K113" s="24"/>
      <c r="L113" s="7" t="s">
        <v>84</v>
      </c>
      <c r="M113" s="7" t="s">
        <v>82</v>
      </c>
      <c r="N113" s="7" t="s">
        <v>82</v>
      </c>
      <c r="O113" s="7" t="s">
        <v>82</v>
      </c>
    </row>
    <row r="114" spans="1:16" x14ac:dyDescent="0.2">
      <c r="A114" s="11">
        <v>113</v>
      </c>
      <c r="B114" s="33" t="s">
        <v>111</v>
      </c>
      <c r="C114" s="33"/>
      <c r="D114" s="33" t="s">
        <v>80</v>
      </c>
      <c r="E114" s="33"/>
      <c r="F114" s="52" t="s">
        <v>84</v>
      </c>
      <c r="G114" s="52" t="s">
        <v>84</v>
      </c>
      <c r="H114" s="52" t="s">
        <v>82</v>
      </c>
      <c r="I114" s="52" t="s">
        <v>84</v>
      </c>
      <c r="J114" s="52"/>
      <c r="K114" s="33"/>
      <c r="L114" s="52" t="s">
        <v>80</v>
      </c>
      <c r="M114" s="52" t="s">
        <v>80</v>
      </c>
      <c r="N114" s="52" t="s">
        <v>80</v>
      </c>
      <c r="O114" s="52" t="s">
        <v>80</v>
      </c>
      <c r="P114" s="52"/>
    </row>
    <row r="115" spans="1:16" x14ac:dyDescent="0.2">
      <c r="A115" s="11">
        <v>114</v>
      </c>
      <c r="B115" s="11" t="s">
        <v>111</v>
      </c>
      <c r="D115" s="11" t="s">
        <v>80</v>
      </c>
      <c r="E115" s="24"/>
      <c r="F115" s="7" t="s">
        <v>84</v>
      </c>
      <c r="G115" s="7" t="s">
        <v>82</v>
      </c>
      <c r="H115" s="7" t="s">
        <v>82</v>
      </c>
      <c r="I115" s="7" t="s">
        <v>84</v>
      </c>
      <c r="K115" s="24"/>
      <c r="L115" s="7" t="s">
        <v>80</v>
      </c>
      <c r="M115" s="7" t="s">
        <v>80</v>
      </c>
      <c r="N115" s="7" t="s">
        <v>80</v>
      </c>
      <c r="O115" s="7" t="s">
        <v>80</v>
      </c>
    </row>
    <row r="116" spans="1:16" x14ac:dyDescent="0.2">
      <c r="A116" s="11">
        <v>115</v>
      </c>
      <c r="B116" s="11" t="s">
        <v>111</v>
      </c>
      <c r="D116" s="11" t="s">
        <v>80</v>
      </c>
      <c r="E116" s="24"/>
      <c r="F116" s="7" t="s">
        <v>84</v>
      </c>
      <c r="G116" s="7" t="s">
        <v>82</v>
      </c>
      <c r="H116" s="7" t="s">
        <v>82</v>
      </c>
      <c r="I116" s="7" t="s">
        <v>82</v>
      </c>
      <c r="K116" s="24"/>
      <c r="L116" s="7" t="s">
        <v>80</v>
      </c>
      <c r="M116" s="7" t="s">
        <v>80</v>
      </c>
      <c r="N116" s="7" t="s">
        <v>80</v>
      </c>
      <c r="O116" s="7" t="s">
        <v>80</v>
      </c>
    </row>
    <row r="117" spans="1:16" x14ac:dyDescent="0.2">
      <c r="A117" s="11">
        <v>116</v>
      </c>
      <c r="B117" s="11" t="s">
        <v>91</v>
      </c>
      <c r="D117" s="11" t="s">
        <v>80</v>
      </c>
      <c r="E117" s="24"/>
      <c r="F117" s="7" t="s">
        <v>80</v>
      </c>
      <c r="G117" s="7" t="s">
        <v>80</v>
      </c>
      <c r="H117" s="7" t="s">
        <v>80</v>
      </c>
      <c r="I117" s="7" t="s">
        <v>80</v>
      </c>
      <c r="K117" s="24"/>
      <c r="L117" s="7" t="s">
        <v>84</v>
      </c>
      <c r="M117" s="7" t="s">
        <v>84</v>
      </c>
      <c r="N117" s="7" t="s">
        <v>82</v>
      </c>
      <c r="O117" s="7" t="s">
        <v>84</v>
      </c>
    </row>
    <row r="118" spans="1:16" x14ac:dyDescent="0.2">
      <c r="A118" s="11">
        <v>117</v>
      </c>
      <c r="B118" s="11" t="s">
        <v>111</v>
      </c>
      <c r="D118" s="11" t="s">
        <v>80</v>
      </c>
      <c r="E118" s="24"/>
      <c r="F118" s="7" t="s">
        <v>84</v>
      </c>
      <c r="G118" s="7" t="s">
        <v>82</v>
      </c>
      <c r="H118" s="7" t="s">
        <v>82</v>
      </c>
      <c r="I118" s="7" t="s">
        <v>82</v>
      </c>
      <c r="K118" s="24"/>
      <c r="L118" s="7" t="s">
        <v>80</v>
      </c>
      <c r="M118" s="7" t="s">
        <v>80</v>
      </c>
      <c r="N118" s="7" t="s">
        <v>80</v>
      </c>
      <c r="O118" s="7" t="s">
        <v>80</v>
      </c>
    </row>
    <row r="119" spans="1:16" x14ac:dyDescent="0.2">
      <c r="A119" s="11">
        <v>118</v>
      </c>
      <c r="B119" s="11" t="s">
        <v>91</v>
      </c>
      <c r="D119" s="11" t="s">
        <v>80</v>
      </c>
      <c r="E119" s="24"/>
      <c r="F119" s="7" t="s">
        <v>80</v>
      </c>
      <c r="G119" s="7" t="s">
        <v>80</v>
      </c>
      <c r="H119" s="7" t="s">
        <v>80</v>
      </c>
      <c r="I119" s="7" t="s">
        <v>80</v>
      </c>
      <c r="K119" s="24"/>
      <c r="L119" s="7" t="s">
        <v>84</v>
      </c>
      <c r="M119" s="7" t="s">
        <v>82</v>
      </c>
      <c r="N119" s="7" t="s">
        <v>82</v>
      </c>
      <c r="O119" s="7" t="s">
        <v>84</v>
      </c>
    </row>
    <row r="120" spans="1:16" x14ac:dyDescent="0.2">
      <c r="A120" s="11">
        <v>119</v>
      </c>
      <c r="B120" s="11" t="s">
        <v>111</v>
      </c>
      <c r="D120" s="11" t="s">
        <v>80</v>
      </c>
      <c r="E120" s="24"/>
      <c r="F120" s="7" t="s">
        <v>84</v>
      </c>
      <c r="G120" s="7" t="s">
        <v>84</v>
      </c>
      <c r="H120" s="7" t="s">
        <v>82</v>
      </c>
      <c r="I120" s="7" t="s">
        <v>84</v>
      </c>
      <c r="K120" s="24"/>
      <c r="L120" s="7" t="s">
        <v>80</v>
      </c>
      <c r="M120" s="7" t="s">
        <v>80</v>
      </c>
      <c r="N120" s="7" t="s">
        <v>80</v>
      </c>
      <c r="O120" s="7" t="s">
        <v>80</v>
      </c>
    </row>
    <row r="121" spans="1:16" x14ac:dyDescent="0.2">
      <c r="A121" s="11">
        <v>120</v>
      </c>
      <c r="B121" s="11" t="s">
        <v>91</v>
      </c>
      <c r="D121" s="11" t="s">
        <v>80</v>
      </c>
      <c r="E121" s="24"/>
      <c r="F121" s="7" t="s">
        <v>80</v>
      </c>
      <c r="G121" s="7" t="s">
        <v>80</v>
      </c>
      <c r="H121" s="7" t="s">
        <v>80</v>
      </c>
      <c r="I121" s="7" t="s">
        <v>80</v>
      </c>
      <c r="K121" s="24"/>
      <c r="L121" s="7" t="s">
        <v>84</v>
      </c>
      <c r="M121" s="7" t="s">
        <v>82</v>
      </c>
      <c r="N121" s="7" t="s">
        <v>82</v>
      </c>
      <c r="O121" s="7" t="s">
        <v>84</v>
      </c>
    </row>
    <row r="122" spans="1:16" x14ac:dyDescent="0.2">
      <c r="A122" s="11">
        <v>121</v>
      </c>
      <c r="B122" s="11" t="s">
        <v>91</v>
      </c>
      <c r="D122" s="11" t="s">
        <v>80</v>
      </c>
      <c r="E122" s="24"/>
      <c r="F122" s="7" t="s">
        <v>80</v>
      </c>
      <c r="G122" s="7" t="s">
        <v>80</v>
      </c>
      <c r="H122" s="7" t="s">
        <v>80</v>
      </c>
      <c r="I122" s="7" t="s">
        <v>80</v>
      </c>
      <c r="K122" s="24"/>
      <c r="L122" s="7" t="s">
        <v>84</v>
      </c>
      <c r="M122" s="7" t="s">
        <v>84</v>
      </c>
      <c r="N122" s="7" t="s">
        <v>82</v>
      </c>
      <c r="O122" s="7" t="s">
        <v>84</v>
      </c>
    </row>
    <row r="123" spans="1:16" x14ac:dyDescent="0.2">
      <c r="A123" s="11">
        <v>122</v>
      </c>
      <c r="B123" s="11" t="s">
        <v>91</v>
      </c>
      <c r="D123" s="11" t="s">
        <v>80</v>
      </c>
      <c r="E123" s="24"/>
      <c r="F123" s="7" t="s">
        <v>80</v>
      </c>
      <c r="G123" s="7" t="s">
        <v>80</v>
      </c>
      <c r="H123" s="7" t="s">
        <v>80</v>
      </c>
      <c r="I123" s="7" t="s">
        <v>80</v>
      </c>
      <c r="K123" s="24"/>
      <c r="L123" s="7" t="s">
        <v>84</v>
      </c>
      <c r="M123" s="7" t="s">
        <v>82</v>
      </c>
      <c r="N123" s="7" t="s">
        <v>84</v>
      </c>
      <c r="O123" s="7" t="s">
        <v>82</v>
      </c>
    </row>
    <row r="124" spans="1:16" x14ac:dyDescent="0.2">
      <c r="A124" s="11">
        <v>123</v>
      </c>
      <c r="B124" s="11" t="s">
        <v>91</v>
      </c>
      <c r="D124" s="11" t="s">
        <v>80</v>
      </c>
      <c r="E124" s="24"/>
      <c r="F124" s="7" t="s">
        <v>80</v>
      </c>
      <c r="G124" s="7" t="s">
        <v>80</v>
      </c>
      <c r="H124" s="7" t="s">
        <v>80</v>
      </c>
      <c r="I124" s="7" t="s">
        <v>80</v>
      </c>
      <c r="K124" s="24"/>
      <c r="L124" s="7" t="s">
        <v>84</v>
      </c>
      <c r="M124" s="7" t="s">
        <v>82</v>
      </c>
      <c r="N124" s="7" t="s">
        <v>84</v>
      </c>
      <c r="O124" s="7" t="s">
        <v>84</v>
      </c>
    </row>
    <row r="125" spans="1:16" x14ac:dyDescent="0.2">
      <c r="A125" s="11">
        <v>124</v>
      </c>
      <c r="B125" s="11" t="s">
        <v>111</v>
      </c>
      <c r="D125" s="11" t="s">
        <v>80</v>
      </c>
      <c r="E125" s="24"/>
      <c r="F125" s="7" t="s">
        <v>84</v>
      </c>
      <c r="G125" s="7" t="s">
        <v>84</v>
      </c>
      <c r="H125" s="7" t="s">
        <v>84</v>
      </c>
      <c r="I125" s="7" t="s">
        <v>84</v>
      </c>
      <c r="K125" s="24"/>
      <c r="L125" s="7" t="s">
        <v>80</v>
      </c>
      <c r="M125" s="7" t="s">
        <v>80</v>
      </c>
      <c r="N125" s="7" t="s">
        <v>80</v>
      </c>
      <c r="O125" s="7" t="s">
        <v>80</v>
      </c>
    </row>
    <row r="126" spans="1:16" x14ac:dyDescent="0.2">
      <c r="A126" s="11">
        <v>125</v>
      </c>
      <c r="B126" s="11" t="s">
        <v>91</v>
      </c>
      <c r="D126" s="11" t="s">
        <v>80</v>
      </c>
      <c r="E126" s="24"/>
      <c r="F126" s="7" t="s">
        <v>80</v>
      </c>
      <c r="G126" s="7" t="s">
        <v>80</v>
      </c>
      <c r="H126" s="7" t="s">
        <v>80</v>
      </c>
      <c r="I126" s="7" t="s">
        <v>80</v>
      </c>
      <c r="K126" s="24"/>
      <c r="L126" s="7" t="s">
        <v>84</v>
      </c>
      <c r="M126" s="7" t="s">
        <v>84</v>
      </c>
      <c r="N126" s="7" t="s">
        <v>84</v>
      </c>
      <c r="O126" s="7" t="s">
        <v>82</v>
      </c>
    </row>
    <row r="127" spans="1:16" x14ac:dyDescent="0.2">
      <c r="A127" s="11">
        <v>126</v>
      </c>
      <c r="B127" s="11" t="s">
        <v>111</v>
      </c>
      <c r="D127" s="11" t="s">
        <v>80</v>
      </c>
      <c r="E127" s="24"/>
      <c r="F127" s="7" t="s">
        <v>84</v>
      </c>
      <c r="G127" s="7" t="s">
        <v>82</v>
      </c>
      <c r="H127" s="7" t="s">
        <v>84</v>
      </c>
      <c r="I127" s="7" t="s">
        <v>84</v>
      </c>
      <c r="K127" s="24"/>
      <c r="L127" s="7" t="s">
        <v>80</v>
      </c>
      <c r="M127" s="7" t="s">
        <v>80</v>
      </c>
      <c r="N127" s="7" t="s">
        <v>80</v>
      </c>
      <c r="O127" s="7" t="s">
        <v>80</v>
      </c>
    </row>
    <row r="128" spans="1:16" x14ac:dyDescent="0.2">
      <c r="A128" s="11">
        <v>127</v>
      </c>
      <c r="B128" s="11" t="s">
        <v>111</v>
      </c>
      <c r="D128" s="11" t="s">
        <v>80</v>
      </c>
      <c r="E128" s="24"/>
      <c r="F128" s="7" t="s">
        <v>84</v>
      </c>
      <c r="G128" s="7" t="s">
        <v>84</v>
      </c>
      <c r="H128" s="7" t="s">
        <v>84</v>
      </c>
      <c r="I128" s="7" t="s">
        <v>84</v>
      </c>
      <c r="K128" s="24"/>
      <c r="L128" s="7" t="s">
        <v>80</v>
      </c>
      <c r="M128" s="7" t="s">
        <v>80</v>
      </c>
      <c r="N128" s="7" t="s">
        <v>80</v>
      </c>
      <c r="O128" s="7" t="s">
        <v>80</v>
      </c>
    </row>
    <row r="129" spans="1:16" x14ac:dyDescent="0.2">
      <c r="A129" s="11">
        <v>128</v>
      </c>
      <c r="B129" s="11" t="s">
        <v>91</v>
      </c>
      <c r="D129" s="11" t="s">
        <v>80</v>
      </c>
      <c r="E129" s="24"/>
      <c r="F129" s="7" t="s">
        <v>80</v>
      </c>
      <c r="G129" s="7" t="s">
        <v>80</v>
      </c>
      <c r="H129" s="7" t="s">
        <v>80</v>
      </c>
      <c r="I129" s="7" t="s">
        <v>80</v>
      </c>
      <c r="K129" s="24"/>
      <c r="L129" s="7" t="s">
        <v>84</v>
      </c>
      <c r="M129" s="7" t="s">
        <v>82</v>
      </c>
      <c r="N129" s="7" t="s">
        <v>84</v>
      </c>
      <c r="O129" s="7" t="s">
        <v>84</v>
      </c>
    </row>
    <row r="130" spans="1:16" x14ac:dyDescent="0.2">
      <c r="A130" s="11">
        <v>129</v>
      </c>
      <c r="B130" s="11" t="s">
        <v>91</v>
      </c>
      <c r="D130" s="11" t="s">
        <v>80</v>
      </c>
      <c r="E130" s="24"/>
      <c r="F130" s="7" t="s">
        <v>80</v>
      </c>
      <c r="G130" s="7" t="s">
        <v>80</v>
      </c>
      <c r="H130" s="7" t="s">
        <v>80</v>
      </c>
      <c r="I130" s="7" t="s">
        <v>80</v>
      </c>
      <c r="K130" s="24"/>
      <c r="L130" s="7" t="s">
        <v>84</v>
      </c>
      <c r="M130" s="7" t="s">
        <v>82</v>
      </c>
      <c r="N130" s="7" t="s">
        <v>82</v>
      </c>
      <c r="O130" s="7" t="s">
        <v>84</v>
      </c>
      <c r="P130" s="7" t="s">
        <v>1868</v>
      </c>
    </row>
    <row r="131" spans="1:16" x14ac:dyDescent="0.2">
      <c r="A131" s="11">
        <v>130</v>
      </c>
      <c r="B131" s="11" t="s">
        <v>91</v>
      </c>
      <c r="D131" s="11" t="s">
        <v>80</v>
      </c>
      <c r="E131" s="24"/>
      <c r="F131" s="7" t="s">
        <v>80</v>
      </c>
      <c r="G131" s="7" t="s">
        <v>80</v>
      </c>
      <c r="H131" s="7" t="s">
        <v>80</v>
      </c>
      <c r="I131" s="7" t="s">
        <v>80</v>
      </c>
      <c r="K131" s="24"/>
      <c r="L131" s="7" t="s">
        <v>84</v>
      </c>
      <c r="M131" s="7" t="s">
        <v>82</v>
      </c>
      <c r="N131" s="7" t="s">
        <v>82</v>
      </c>
      <c r="O131" s="7" t="s">
        <v>84</v>
      </c>
    </row>
    <row r="132" spans="1:16" x14ac:dyDescent="0.2">
      <c r="A132" s="11">
        <v>131</v>
      </c>
      <c r="B132" s="11" t="s">
        <v>111</v>
      </c>
      <c r="D132" s="11" t="s">
        <v>80</v>
      </c>
      <c r="E132" s="24"/>
      <c r="F132" s="7" t="s">
        <v>84</v>
      </c>
      <c r="G132" s="7" t="s">
        <v>82</v>
      </c>
      <c r="H132" s="7" t="s">
        <v>82</v>
      </c>
      <c r="I132" s="7" t="s">
        <v>82</v>
      </c>
      <c r="K132" s="24"/>
      <c r="L132" s="7" t="s">
        <v>80</v>
      </c>
      <c r="M132" s="7" t="s">
        <v>80</v>
      </c>
      <c r="N132" s="7" t="s">
        <v>80</v>
      </c>
      <c r="O132" s="7" t="s">
        <v>80</v>
      </c>
    </row>
    <row r="133" spans="1:16" x14ac:dyDescent="0.2">
      <c r="A133" s="11">
        <v>132</v>
      </c>
      <c r="B133" s="11" t="s">
        <v>111</v>
      </c>
      <c r="D133" s="11" t="s">
        <v>80</v>
      </c>
      <c r="E133" s="24"/>
      <c r="F133" s="7" t="s">
        <v>84</v>
      </c>
      <c r="G133" s="7" t="s">
        <v>82</v>
      </c>
      <c r="H133" s="7" t="s">
        <v>84</v>
      </c>
      <c r="I133" s="7" t="s">
        <v>84</v>
      </c>
      <c r="K133" s="24"/>
      <c r="L133" s="7" t="s">
        <v>80</v>
      </c>
      <c r="M133" s="7" t="s">
        <v>80</v>
      </c>
      <c r="N133" s="7" t="s">
        <v>80</v>
      </c>
      <c r="O133" s="7" t="s">
        <v>80</v>
      </c>
    </row>
    <row r="134" spans="1:16" x14ac:dyDescent="0.2">
      <c r="A134" s="11">
        <v>133</v>
      </c>
      <c r="B134" s="11" t="s">
        <v>91</v>
      </c>
      <c r="D134" s="11" t="s">
        <v>80</v>
      </c>
      <c r="E134" s="24"/>
      <c r="F134" s="7" t="s">
        <v>80</v>
      </c>
      <c r="G134" s="7" t="s">
        <v>80</v>
      </c>
      <c r="H134" s="7" t="s">
        <v>80</v>
      </c>
      <c r="I134" s="7" t="s">
        <v>80</v>
      </c>
      <c r="K134" s="24"/>
      <c r="L134" s="7" t="s">
        <v>84</v>
      </c>
      <c r="M134" s="7" t="s">
        <v>82</v>
      </c>
      <c r="N134" s="7" t="s">
        <v>84</v>
      </c>
      <c r="O134" s="7" t="s">
        <v>82</v>
      </c>
    </row>
    <row r="135" spans="1:16" x14ac:dyDescent="0.2">
      <c r="A135" s="11">
        <v>134</v>
      </c>
      <c r="B135" s="11" t="s">
        <v>91</v>
      </c>
      <c r="D135" s="11" t="s">
        <v>80</v>
      </c>
      <c r="E135" s="24"/>
      <c r="F135" s="7" t="s">
        <v>80</v>
      </c>
      <c r="G135" s="7" t="s">
        <v>80</v>
      </c>
      <c r="H135" s="7" t="s">
        <v>80</v>
      </c>
      <c r="I135" s="7" t="s">
        <v>80</v>
      </c>
      <c r="K135" s="24"/>
      <c r="L135" s="7" t="s">
        <v>84</v>
      </c>
      <c r="M135" s="7" t="s">
        <v>82</v>
      </c>
      <c r="N135" s="7" t="s">
        <v>82</v>
      </c>
      <c r="O135" s="7" t="s">
        <v>82</v>
      </c>
    </row>
    <row r="136" spans="1:16" x14ac:dyDescent="0.2">
      <c r="A136" s="11">
        <v>135</v>
      </c>
      <c r="B136" s="11" t="s">
        <v>91</v>
      </c>
      <c r="D136" s="11" t="s">
        <v>80</v>
      </c>
      <c r="E136" s="24"/>
      <c r="F136" s="11" t="s">
        <v>80</v>
      </c>
      <c r="G136" s="11" t="s">
        <v>80</v>
      </c>
      <c r="H136" s="11" t="s">
        <v>80</v>
      </c>
      <c r="I136" s="11" t="s">
        <v>80</v>
      </c>
      <c r="J136" s="11"/>
      <c r="K136" s="24"/>
      <c r="L136" s="11" t="s">
        <v>84</v>
      </c>
      <c r="M136" s="11" t="s">
        <v>82</v>
      </c>
      <c r="N136" s="11" t="s">
        <v>84</v>
      </c>
      <c r="O136" s="11" t="s">
        <v>84</v>
      </c>
      <c r="P136" s="11"/>
    </row>
    <row r="137" spans="1:16" x14ac:dyDescent="0.2">
      <c r="A137" s="11">
        <v>136</v>
      </c>
      <c r="B137" s="11" t="s">
        <v>111</v>
      </c>
      <c r="D137" s="11" t="s">
        <v>80</v>
      </c>
      <c r="E137" s="24"/>
      <c r="F137" s="11" t="s">
        <v>84</v>
      </c>
      <c r="G137" s="11" t="s">
        <v>84</v>
      </c>
      <c r="H137" s="11" t="s">
        <v>82</v>
      </c>
      <c r="I137" s="11" t="s">
        <v>84</v>
      </c>
      <c r="J137" s="11"/>
      <c r="K137" s="24"/>
      <c r="L137" s="11" t="s">
        <v>80</v>
      </c>
      <c r="M137" s="11" t="s">
        <v>80</v>
      </c>
      <c r="N137" s="11" t="s">
        <v>80</v>
      </c>
      <c r="O137" s="11" t="s">
        <v>80</v>
      </c>
      <c r="P137" s="11"/>
    </row>
    <row r="138" spans="1:16" x14ac:dyDescent="0.2">
      <c r="A138" s="11">
        <v>137</v>
      </c>
      <c r="B138" s="11" t="s">
        <v>111</v>
      </c>
      <c r="D138" s="11" t="s">
        <v>80</v>
      </c>
      <c r="E138" s="24"/>
      <c r="F138" s="11" t="s">
        <v>84</v>
      </c>
      <c r="G138" s="11" t="s">
        <v>82</v>
      </c>
      <c r="H138" s="11" t="s">
        <v>82</v>
      </c>
      <c r="I138" s="11" t="s">
        <v>84</v>
      </c>
      <c r="J138" s="11"/>
      <c r="K138" s="24"/>
      <c r="L138" s="11" t="s">
        <v>80</v>
      </c>
      <c r="M138" s="11" t="s">
        <v>80</v>
      </c>
      <c r="N138" s="11" t="s">
        <v>80</v>
      </c>
      <c r="O138" s="11" t="s">
        <v>80</v>
      </c>
      <c r="P138" s="11"/>
    </row>
    <row r="139" spans="1:16" x14ac:dyDescent="0.2">
      <c r="A139" s="11">
        <v>138</v>
      </c>
      <c r="B139" s="33" t="s">
        <v>111</v>
      </c>
      <c r="C139" s="33"/>
      <c r="D139" s="33" t="s">
        <v>80</v>
      </c>
      <c r="E139" s="33"/>
      <c r="F139" s="33" t="s">
        <v>84</v>
      </c>
      <c r="G139" s="33" t="s">
        <v>82</v>
      </c>
      <c r="H139" s="33" t="s">
        <v>84</v>
      </c>
      <c r="I139" s="33" t="s">
        <v>82</v>
      </c>
      <c r="J139" s="33"/>
      <c r="K139" s="33"/>
      <c r="L139" s="33" t="s">
        <v>80</v>
      </c>
      <c r="M139" s="33" t="s">
        <v>80</v>
      </c>
      <c r="N139" s="33" t="s">
        <v>80</v>
      </c>
      <c r="O139" s="33" t="s">
        <v>80</v>
      </c>
      <c r="P139" s="33"/>
    </row>
    <row r="140" spans="1:16" x14ac:dyDescent="0.2">
      <c r="A140" s="11">
        <v>139</v>
      </c>
      <c r="B140" s="11" t="s">
        <v>111</v>
      </c>
      <c r="D140" s="11" t="s">
        <v>80</v>
      </c>
      <c r="E140" s="24"/>
      <c r="F140" s="11" t="s">
        <v>84</v>
      </c>
      <c r="G140" s="11" t="s">
        <v>82</v>
      </c>
      <c r="H140" s="11" t="s">
        <v>84</v>
      </c>
      <c r="I140" s="11" t="s">
        <v>84</v>
      </c>
      <c r="J140" s="11"/>
      <c r="K140" s="24"/>
      <c r="L140" s="11" t="s">
        <v>80</v>
      </c>
      <c r="M140" s="11" t="s">
        <v>80</v>
      </c>
      <c r="N140" s="11" t="s">
        <v>80</v>
      </c>
      <c r="O140" s="11" t="s">
        <v>80</v>
      </c>
      <c r="P140" s="11"/>
    </row>
    <row r="141" spans="1:16" x14ac:dyDescent="0.2">
      <c r="A141" s="11">
        <v>140</v>
      </c>
      <c r="B141" s="11" t="s">
        <v>91</v>
      </c>
      <c r="D141" s="11" t="s">
        <v>80</v>
      </c>
      <c r="E141" s="24"/>
      <c r="F141" s="11" t="s">
        <v>80</v>
      </c>
      <c r="G141" s="11" t="s">
        <v>80</v>
      </c>
      <c r="H141" s="11" t="s">
        <v>80</v>
      </c>
      <c r="I141" s="11" t="s">
        <v>80</v>
      </c>
      <c r="J141" s="11"/>
      <c r="K141" s="24"/>
      <c r="L141" s="11" t="s">
        <v>84</v>
      </c>
      <c r="M141" s="11" t="s">
        <v>82</v>
      </c>
      <c r="N141" s="11" t="s">
        <v>82</v>
      </c>
      <c r="O141" s="11" t="s">
        <v>84</v>
      </c>
      <c r="P141" s="11"/>
    </row>
    <row r="142" spans="1:16" x14ac:dyDescent="0.2">
      <c r="A142" s="11">
        <v>141</v>
      </c>
      <c r="B142" s="11" t="s">
        <v>91</v>
      </c>
      <c r="D142" s="11" t="s">
        <v>80</v>
      </c>
      <c r="E142" s="24"/>
      <c r="F142" s="11" t="s">
        <v>80</v>
      </c>
      <c r="G142" s="11" t="s">
        <v>80</v>
      </c>
      <c r="H142" s="11" t="s">
        <v>80</v>
      </c>
      <c r="I142" s="11" t="s">
        <v>80</v>
      </c>
      <c r="J142" s="11"/>
      <c r="K142" s="24"/>
      <c r="L142" s="11" t="s">
        <v>84</v>
      </c>
      <c r="M142" s="11" t="s">
        <v>82</v>
      </c>
      <c r="N142" s="11" t="s">
        <v>84</v>
      </c>
      <c r="O142" s="11" t="s">
        <v>84</v>
      </c>
      <c r="P142" s="11"/>
    </row>
    <row r="143" spans="1:16" x14ac:dyDescent="0.2">
      <c r="A143" s="11">
        <v>142</v>
      </c>
      <c r="B143" s="33" t="s">
        <v>91</v>
      </c>
      <c r="C143" s="33"/>
      <c r="D143" s="33" t="s">
        <v>80</v>
      </c>
      <c r="E143" s="33"/>
      <c r="F143" s="33" t="s">
        <v>80</v>
      </c>
      <c r="G143" s="33" t="s">
        <v>80</v>
      </c>
      <c r="H143" s="33" t="s">
        <v>80</v>
      </c>
      <c r="I143" s="33" t="s">
        <v>80</v>
      </c>
      <c r="J143" s="33"/>
      <c r="K143" s="33"/>
      <c r="L143" s="33" t="s">
        <v>84</v>
      </c>
      <c r="M143" s="33" t="s">
        <v>84</v>
      </c>
      <c r="N143" s="33" t="s">
        <v>84</v>
      </c>
      <c r="O143" s="33" t="s">
        <v>84</v>
      </c>
      <c r="P143" s="33"/>
    </row>
    <row r="144" spans="1:16" x14ac:dyDescent="0.2">
      <c r="A144" s="11">
        <v>143</v>
      </c>
      <c r="B144" s="11" t="s">
        <v>111</v>
      </c>
      <c r="D144" s="11" t="s">
        <v>80</v>
      </c>
      <c r="E144" s="24"/>
      <c r="F144" s="11" t="s">
        <v>84</v>
      </c>
      <c r="G144" s="11" t="s">
        <v>82</v>
      </c>
      <c r="H144" s="11" t="s">
        <v>82</v>
      </c>
      <c r="I144" s="11" t="s">
        <v>84</v>
      </c>
      <c r="J144" s="11"/>
      <c r="K144" s="24"/>
      <c r="L144" s="11" t="s">
        <v>80</v>
      </c>
      <c r="M144" s="11" t="s">
        <v>80</v>
      </c>
      <c r="N144" s="11" t="s">
        <v>80</v>
      </c>
      <c r="O144" s="11" t="s">
        <v>80</v>
      </c>
      <c r="P144" s="11"/>
    </row>
    <row r="145" spans="1:16" x14ac:dyDescent="0.2">
      <c r="A145" s="11">
        <v>144</v>
      </c>
      <c r="B145" s="11" t="s">
        <v>111</v>
      </c>
      <c r="D145" s="11" t="s">
        <v>80</v>
      </c>
      <c r="E145" s="24"/>
      <c r="F145" s="11" t="s">
        <v>84</v>
      </c>
      <c r="G145" s="11" t="s">
        <v>82</v>
      </c>
      <c r="H145" s="11" t="s">
        <v>84</v>
      </c>
      <c r="I145" s="11" t="s">
        <v>84</v>
      </c>
      <c r="J145" s="11"/>
      <c r="K145" s="24"/>
      <c r="L145" s="11" t="s">
        <v>80</v>
      </c>
      <c r="M145" s="11" t="s">
        <v>80</v>
      </c>
      <c r="N145" s="11" t="s">
        <v>80</v>
      </c>
      <c r="O145" s="11" t="s">
        <v>80</v>
      </c>
      <c r="P145" s="11"/>
    </row>
    <row r="146" spans="1:16" x14ac:dyDescent="0.2">
      <c r="A146" s="11">
        <v>145</v>
      </c>
      <c r="B146" s="11" t="s">
        <v>91</v>
      </c>
      <c r="D146" s="11" t="s">
        <v>80</v>
      </c>
      <c r="E146" s="24"/>
      <c r="F146" s="11" t="s">
        <v>80</v>
      </c>
      <c r="G146" s="11" t="s">
        <v>80</v>
      </c>
      <c r="H146" s="11" t="s">
        <v>80</v>
      </c>
      <c r="I146" s="11" t="s">
        <v>80</v>
      </c>
      <c r="J146" s="11"/>
      <c r="K146" s="24"/>
      <c r="L146" s="11" t="s">
        <v>84</v>
      </c>
      <c r="M146" s="11" t="s">
        <v>84</v>
      </c>
      <c r="N146" s="11" t="s">
        <v>82</v>
      </c>
      <c r="O146" s="11" t="s">
        <v>84</v>
      </c>
      <c r="P146" s="11"/>
    </row>
    <row r="147" spans="1:16" x14ac:dyDescent="0.2">
      <c r="A147" s="11">
        <v>146</v>
      </c>
      <c r="B147" s="11" t="s">
        <v>111</v>
      </c>
      <c r="D147" s="11" t="s">
        <v>80</v>
      </c>
      <c r="E147" s="24"/>
      <c r="F147" s="11" t="s">
        <v>84</v>
      </c>
      <c r="G147" s="11" t="s">
        <v>82</v>
      </c>
      <c r="H147" s="11" t="s">
        <v>82</v>
      </c>
      <c r="I147" s="11" t="s">
        <v>82</v>
      </c>
      <c r="J147" s="11"/>
      <c r="K147" s="24"/>
      <c r="L147" s="11" t="s">
        <v>80</v>
      </c>
      <c r="M147" s="11" t="s">
        <v>80</v>
      </c>
      <c r="N147" s="11" t="s">
        <v>80</v>
      </c>
      <c r="O147" s="11" t="s">
        <v>80</v>
      </c>
      <c r="P147" s="11"/>
    </row>
    <row r="148" spans="1:16" x14ac:dyDescent="0.2">
      <c r="A148" s="11">
        <v>147</v>
      </c>
      <c r="B148" s="11" t="s">
        <v>111</v>
      </c>
      <c r="D148" s="11" t="s">
        <v>80</v>
      </c>
      <c r="E148" s="24"/>
      <c r="F148" s="11" t="s">
        <v>84</v>
      </c>
      <c r="G148" s="11" t="s">
        <v>82</v>
      </c>
      <c r="H148" s="11" t="s">
        <v>82</v>
      </c>
      <c r="I148" s="11" t="s">
        <v>84</v>
      </c>
      <c r="J148" s="11"/>
      <c r="K148" s="24"/>
      <c r="L148" s="11" t="s">
        <v>80</v>
      </c>
      <c r="M148" s="11" t="s">
        <v>80</v>
      </c>
      <c r="N148" s="11" t="s">
        <v>80</v>
      </c>
      <c r="O148" s="11" t="s">
        <v>80</v>
      </c>
      <c r="P148" s="11"/>
    </row>
    <row r="149" spans="1:16" x14ac:dyDescent="0.2">
      <c r="A149" s="11">
        <v>148</v>
      </c>
      <c r="B149" s="11" t="s">
        <v>111</v>
      </c>
      <c r="D149" s="11" t="s">
        <v>80</v>
      </c>
      <c r="E149" s="24"/>
      <c r="F149" s="11" t="s">
        <v>84</v>
      </c>
      <c r="G149" s="11" t="s">
        <v>82</v>
      </c>
      <c r="H149" s="11" t="s">
        <v>82</v>
      </c>
      <c r="I149" s="11" t="s">
        <v>82</v>
      </c>
      <c r="J149" s="11"/>
      <c r="K149" s="24"/>
      <c r="L149" s="11" t="s">
        <v>80</v>
      </c>
      <c r="M149" s="11" t="s">
        <v>80</v>
      </c>
      <c r="N149" s="11" t="s">
        <v>80</v>
      </c>
      <c r="O149" s="11" t="s">
        <v>80</v>
      </c>
      <c r="P149" s="11"/>
    </row>
    <row r="150" spans="1:16" x14ac:dyDescent="0.2">
      <c r="A150" s="11">
        <v>149</v>
      </c>
      <c r="B150" s="11" t="s">
        <v>91</v>
      </c>
      <c r="D150" s="11" t="s">
        <v>80</v>
      </c>
      <c r="E150" s="24"/>
      <c r="F150" s="11" t="s">
        <v>80</v>
      </c>
      <c r="G150" s="11" t="s">
        <v>80</v>
      </c>
      <c r="H150" s="11" t="s">
        <v>80</v>
      </c>
      <c r="I150" s="11" t="s">
        <v>80</v>
      </c>
      <c r="J150" s="11"/>
      <c r="K150" s="24"/>
      <c r="L150" s="11" t="s">
        <v>84</v>
      </c>
      <c r="M150" s="11" t="s">
        <v>82</v>
      </c>
      <c r="N150" s="11" t="s">
        <v>82</v>
      </c>
      <c r="O150" s="11" t="s">
        <v>82</v>
      </c>
      <c r="P150" s="11"/>
    </row>
    <row r="151" spans="1:16" x14ac:dyDescent="0.2">
      <c r="A151" s="11">
        <v>150</v>
      </c>
      <c r="B151" s="11" t="s">
        <v>111</v>
      </c>
      <c r="D151" s="11" t="s">
        <v>80</v>
      </c>
      <c r="E151" s="24"/>
      <c r="F151" s="11" t="s">
        <v>84</v>
      </c>
      <c r="G151" s="11" t="s">
        <v>82</v>
      </c>
      <c r="H151" s="11" t="s">
        <v>82</v>
      </c>
      <c r="I151" s="11" t="s">
        <v>82</v>
      </c>
      <c r="J151" s="11"/>
      <c r="K151" s="24"/>
      <c r="L151" s="11" t="s">
        <v>80</v>
      </c>
      <c r="M151" s="11" t="s">
        <v>80</v>
      </c>
      <c r="N151" s="11" t="s">
        <v>80</v>
      </c>
      <c r="O151" s="11" t="s">
        <v>80</v>
      </c>
      <c r="P151" s="11"/>
    </row>
    <row r="152" spans="1:16" x14ac:dyDescent="0.2">
      <c r="A152" s="11">
        <v>151</v>
      </c>
      <c r="B152" s="33" t="s">
        <v>91</v>
      </c>
      <c r="C152" s="33"/>
      <c r="D152" s="33" t="s">
        <v>80</v>
      </c>
      <c r="E152" s="33"/>
      <c r="F152" s="33" t="s">
        <v>80</v>
      </c>
      <c r="G152" s="33" t="s">
        <v>80</v>
      </c>
      <c r="H152" s="33" t="s">
        <v>80</v>
      </c>
      <c r="I152" s="33" t="s">
        <v>80</v>
      </c>
      <c r="J152" s="33"/>
      <c r="K152" s="33"/>
      <c r="L152" s="33" t="s">
        <v>84</v>
      </c>
      <c r="M152" s="33" t="s">
        <v>82</v>
      </c>
      <c r="N152" s="33" t="s">
        <v>84</v>
      </c>
      <c r="O152" s="33" t="s">
        <v>84</v>
      </c>
      <c r="P152" s="33"/>
    </row>
    <row r="153" spans="1:16" x14ac:dyDescent="0.2">
      <c r="A153" s="11">
        <v>152</v>
      </c>
      <c r="B153" s="11" t="s">
        <v>111</v>
      </c>
      <c r="D153" s="11" t="s">
        <v>80</v>
      </c>
      <c r="E153" s="24"/>
      <c r="F153" s="11" t="s">
        <v>84</v>
      </c>
      <c r="G153" s="11" t="s">
        <v>82</v>
      </c>
      <c r="H153" s="11" t="s">
        <v>82</v>
      </c>
      <c r="I153" s="11" t="s">
        <v>84</v>
      </c>
      <c r="J153" s="11"/>
      <c r="K153" s="24"/>
      <c r="L153" s="11" t="s">
        <v>80</v>
      </c>
      <c r="M153" s="11" t="s">
        <v>80</v>
      </c>
      <c r="N153" s="11" t="s">
        <v>80</v>
      </c>
      <c r="O153" s="11" t="s">
        <v>80</v>
      </c>
      <c r="P153" s="11"/>
    </row>
    <row r="154" spans="1:16" x14ac:dyDescent="0.2">
      <c r="A154" s="11">
        <v>153</v>
      </c>
      <c r="B154" s="11" t="s">
        <v>91</v>
      </c>
      <c r="D154" s="11" t="s">
        <v>80</v>
      </c>
      <c r="E154" s="24"/>
      <c r="F154" s="11" t="s">
        <v>80</v>
      </c>
      <c r="G154" s="11" t="s">
        <v>80</v>
      </c>
      <c r="H154" s="11" t="s">
        <v>80</v>
      </c>
      <c r="I154" s="11" t="s">
        <v>80</v>
      </c>
      <c r="J154" s="11"/>
      <c r="K154" s="24"/>
      <c r="L154" s="11" t="s">
        <v>84</v>
      </c>
      <c r="M154" s="11" t="s">
        <v>84</v>
      </c>
      <c r="N154" s="11" t="s">
        <v>84</v>
      </c>
      <c r="O154" s="11" t="s">
        <v>84</v>
      </c>
      <c r="P154" s="11"/>
    </row>
    <row r="155" spans="1:16" x14ac:dyDescent="0.2">
      <c r="A155" s="11">
        <v>154</v>
      </c>
      <c r="B155" s="11" t="s">
        <v>111</v>
      </c>
      <c r="D155" s="11" t="s">
        <v>80</v>
      </c>
      <c r="E155" s="24"/>
      <c r="F155" s="11" t="s">
        <v>84</v>
      </c>
      <c r="G155" s="11" t="s">
        <v>84</v>
      </c>
      <c r="H155" s="11" t="s">
        <v>82</v>
      </c>
      <c r="I155" s="11" t="s">
        <v>82</v>
      </c>
      <c r="J155" s="11"/>
      <c r="K155" s="24"/>
      <c r="L155" s="11" t="s">
        <v>80</v>
      </c>
      <c r="M155" s="11" t="s">
        <v>80</v>
      </c>
      <c r="N155" s="11" t="s">
        <v>80</v>
      </c>
      <c r="O155" s="11" t="s">
        <v>80</v>
      </c>
      <c r="P155" s="11"/>
    </row>
    <row r="156" spans="1:16" x14ac:dyDescent="0.2">
      <c r="A156" s="11">
        <v>155</v>
      </c>
      <c r="B156" s="11" t="s">
        <v>111</v>
      </c>
      <c r="D156" s="11" t="s">
        <v>80</v>
      </c>
      <c r="E156" s="24"/>
      <c r="F156" s="11" t="s">
        <v>84</v>
      </c>
      <c r="G156" s="11" t="s">
        <v>82</v>
      </c>
      <c r="H156" s="11" t="s">
        <v>82</v>
      </c>
      <c r="I156" s="11" t="s">
        <v>82</v>
      </c>
      <c r="J156" s="11"/>
      <c r="K156" s="24"/>
      <c r="L156" s="11" t="s">
        <v>80</v>
      </c>
      <c r="M156" s="11" t="s">
        <v>80</v>
      </c>
      <c r="N156" s="11" t="s">
        <v>80</v>
      </c>
      <c r="O156" s="11" t="s">
        <v>80</v>
      </c>
      <c r="P156" s="11"/>
    </row>
    <row r="157" spans="1:16" x14ac:dyDescent="0.2">
      <c r="A157" s="11">
        <v>156</v>
      </c>
      <c r="B157" s="11" t="s">
        <v>91</v>
      </c>
      <c r="D157" s="11" t="s">
        <v>80</v>
      </c>
      <c r="E157" s="24"/>
      <c r="F157" s="11" t="s">
        <v>80</v>
      </c>
      <c r="G157" s="11" t="s">
        <v>80</v>
      </c>
      <c r="H157" s="11" t="s">
        <v>80</v>
      </c>
      <c r="I157" s="11" t="s">
        <v>80</v>
      </c>
      <c r="J157" s="11"/>
      <c r="K157" s="24"/>
      <c r="L157" s="11" t="s">
        <v>84</v>
      </c>
      <c r="M157" s="11" t="s">
        <v>84</v>
      </c>
      <c r="N157" s="11" t="s">
        <v>82</v>
      </c>
      <c r="O157" s="11" t="s">
        <v>84</v>
      </c>
      <c r="P157" s="11"/>
    </row>
    <row r="158" spans="1:16" x14ac:dyDescent="0.2">
      <c r="A158" s="11">
        <v>157</v>
      </c>
      <c r="B158" s="11" t="s">
        <v>111</v>
      </c>
      <c r="D158" s="11" t="s">
        <v>80</v>
      </c>
      <c r="E158" s="24"/>
      <c r="F158" s="11" t="s">
        <v>84</v>
      </c>
      <c r="G158" s="11" t="s">
        <v>82</v>
      </c>
      <c r="H158" s="11" t="s">
        <v>84</v>
      </c>
      <c r="I158" s="11" t="s">
        <v>84</v>
      </c>
      <c r="J158" s="11"/>
      <c r="K158" s="24"/>
      <c r="L158" s="11" t="s">
        <v>80</v>
      </c>
      <c r="M158" s="11" t="s">
        <v>80</v>
      </c>
      <c r="N158" s="11" t="s">
        <v>80</v>
      </c>
      <c r="O158" s="11" t="s">
        <v>80</v>
      </c>
      <c r="P158" s="11"/>
    </row>
    <row r="159" spans="1:16" x14ac:dyDescent="0.2">
      <c r="A159" s="11">
        <v>158</v>
      </c>
      <c r="B159" s="11" t="s">
        <v>91</v>
      </c>
      <c r="D159" s="11" t="s">
        <v>80</v>
      </c>
      <c r="E159" s="24"/>
      <c r="F159" s="11" t="s">
        <v>80</v>
      </c>
      <c r="G159" s="11" t="s">
        <v>80</v>
      </c>
      <c r="H159" s="11" t="s">
        <v>80</v>
      </c>
      <c r="I159" s="11" t="s">
        <v>80</v>
      </c>
      <c r="J159" s="11"/>
      <c r="K159" s="24"/>
      <c r="L159" s="11" t="s">
        <v>84</v>
      </c>
      <c r="M159" s="11" t="s">
        <v>82</v>
      </c>
      <c r="N159" s="11" t="s">
        <v>82</v>
      </c>
      <c r="O159" s="11" t="s">
        <v>82</v>
      </c>
      <c r="P159" s="11"/>
    </row>
    <row r="160" spans="1:16" x14ac:dyDescent="0.2">
      <c r="A160" s="11">
        <v>159</v>
      </c>
      <c r="B160" s="11" t="s">
        <v>91</v>
      </c>
      <c r="D160" s="11" t="s">
        <v>80</v>
      </c>
      <c r="E160" s="24"/>
      <c r="F160" s="11" t="s">
        <v>80</v>
      </c>
      <c r="G160" s="11" t="s">
        <v>80</v>
      </c>
      <c r="H160" s="11" t="s">
        <v>80</v>
      </c>
      <c r="I160" s="11" t="s">
        <v>80</v>
      </c>
      <c r="J160" s="11"/>
      <c r="K160" s="24"/>
      <c r="L160" s="11" t="s">
        <v>84</v>
      </c>
      <c r="M160" s="11" t="s">
        <v>84</v>
      </c>
      <c r="N160" s="11" t="s">
        <v>84</v>
      </c>
      <c r="O160" s="11" t="s">
        <v>84</v>
      </c>
      <c r="P160" s="11"/>
    </row>
    <row r="161" spans="1:16" x14ac:dyDescent="0.2">
      <c r="A161" s="11">
        <v>160</v>
      </c>
      <c r="B161" s="11" t="s">
        <v>91</v>
      </c>
      <c r="D161" s="11" t="s">
        <v>80</v>
      </c>
      <c r="E161" s="24"/>
      <c r="F161" s="11" t="s">
        <v>80</v>
      </c>
      <c r="G161" s="11" t="s">
        <v>80</v>
      </c>
      <c r="H161" s="11" t="s">
        <v>80</v>
      </c>
      <c r="I161" s="11" t="s">
        <v>80</v>
      </c>
      <c r="J161" s="11"/>
      <c r="K161" s="24"/>
      <c r="L161" s="11" t="s">
        <v>84</v>
      </c>
      <c r="M161" s="11" t="s">
        <v>84</v>
      </c>
      <c r="N161" s="11" t="s">
        <v>84</v>
      </c>
      <c r="O161" s="11" t="s">
        <v>84</v>
      </c>
      <c r="P161" s="11"/>
    </row>
    <row r="162" spans="1:16" x14ac:dyDescent="0.2">
      <c r="A162" s="11">
        <v>161</v>
      </c>
      <c r="B162" s="11" t="s">
        <v>111</v>
      </c>
      <c r="D162" s="11" t="s">
        <v>80</v>
      </c>
      <c r="E162" s="24"/>
      <c r="F162" s="11" t="s">
        <v>84</v>
      </c>
      <c r="G162" s="11" t="s">
        <v>82</v>
      </c>
      <c r="H162" s="11" t="s">
        <v>82</v>
      </c>
      <c r="I162" s="11" t="s">
        <v>84</v>
      </c>
      <c r="J162" s="11"/>
      <c r="K162" s="24"/>
      <c r="L162" s="11" t="s">
        <v>80</v>
      </c>
      <c r="M162" s="11" t="s">
        <v>80</v>
      </c>
      <c r="N162" s="11" t="s">
        <v>80</v>
      </c>
      <c r="O162" s="11" t="s">
        <v>80</v>
      </c>
      <c r="P162" s="11"/>
    </row>
    <row r="163" spans="1:16" x14ac:dyDescent="0.2">
      <c r="A163" s="11">
        <v>162</v>
      </c>
      <c r="B163" s="11" t="s">
        <v>111</v>
      </c>
      <c r="D163" s="11" t="s">
        <v>80</v>
      </c>
      <c r="E163" s="24"/>
      <c r="F163" s="11" t="s">
        <v>84</v>
      </c>
      <c r="G163" s="11" t="s">
        <v>84</v>
      </c>
      <c r="H163" s="11" t="s">
        <v>84</v>
      </c>
      <c r="I163" s="11" t="s">
        <v>84</v>
      </c>
      <c r="J163" s="11"/>
      <c r="K163" s="24"/>
      <c r="L163" s="11" t="s">
        <v>80</v>
      </c>
      <c r="M163" s="11" t="s">
        <v>80</v>
      </c>
      <c r="N163" s="11" t="s">
        <v>80</v>
      </c>
      <c r="O163" s="11" t="s">
        <v>80</v>
      </c>
      <c r="P163" s="11"/>
    </row>
    <row r="164" spans="1:16" x14ac:dyDescent="0.2">
      <c r="A164" s="11">
        <v>163</v>
      </c>
      <c r="B164" s="11" t="s">
        <v>111</v>
      </c>
      <c r="D164" s="11" t="s">
        <v>80</v>
      </c>
      <c r="E164" s="24"/>
      <c r="F164" s="11" t="s">
        <v>84</v>
      </c>
      <c r="G164" s="11" t="s">
        <v>82</v>
      </c>
      <c r="H164" s="11" t="s">
        <v>84</v>
      </c>
      <c r="I164" s="11" t="s">
        <v>84</v>
      </c>
      <c r="J164" s="11"/>
      <c r="K164" s="24"/>
      <c r="L164" s="11" t="s">
        <v>80</v>
      </c>
      <c r="M164" s="11" t="s">
        <v>80</v>
      </c>
      <c r="N164" s="11" t="s">
        <v>80</v>
      </c>
      <c r="O164" s="11" t="s">
        <v>80</v>
      </c>
      <c r="P164" s="11"/>
    </row>
    <row r="165" spans="1:16" x14ac:dyDescent="0.2">
      <c r="A165" s="11">
        <v>164</v>
      </c>
      <c r="B165" s="11" t="s">
        <v>91</v>
      </c>
      <c r="D165" s="11" t="s">
        <v>80</v>
      </c>
      <c r="E165" s="24"/>
      <c r="F165" s="11" t="s">
        <v>80</v>
      </c>
      <c r="G165" s="11" t="s">
        <v>80</v>
      </c>
      <c r="H165" s="11" t="s">
        <v>80</v>
      </c>
      <c r="I165" s="11" t="s">
        <v>80</v>
      </c>
      <c r="J165" s="11"/>
      <c r="K165" s="24"/>
      <c r="L165" s="11" t="s">
        <v>84</v>
      </c>
      <c r="M165" s="11" t="s">
        <v>84</v>
      </c>
      <c r="N165" s="11" t="s">
        <v>84</v>
      </c>
      <c r="O165" s="11" t="s">
        <v>84</v>
      </c>
      <c r="P165" s="11"/>
    </row>
    <row r="166" spans="1:16" x14ac:dyDescent="0.2">
      <c r="A166" s="11">
        <v>165</v>
      </c>
      <c r="B166" s="11" t="s">
        <v>91</v>
      </c>
      <c r="D166" s="11" t="s">
        <v>80</v>
      </c>
      <c r="E166" s="24"/>
      <c r="F166" s="11" t="s">
        <v>80</v>
      </c>
      <c r="G166" s="11" t="s">
        <v>80</v>
      </c>
      <c r="H166" s="11" t="s">
        <v>80</v>
      </c>
      <c r="I166" s="11" t="s">
        <v>80</v>
      </c>
      <c r="J166" s="11"/>
      <c r="K166" s="24"/>
      <c r="L166" s="11" t="s">
        <v>84</v>
      </c>
      <c r="M166" s="11" t="s">
        <v>84</v>
      </c>
      <c r="N166" s="11" t="s">
        <v>82</v>
      </c>
      <c r="O166" s="11" t="s">
        <v>84</v>
      </c>
      <c r="P166" s="11"/>
    </row>
    <row r="167" spans="1:16" x14ac:dyDescent="0.2">
      <c r="A167" s="11">
        <v>166</v>
      </c>
      <c r="B167" s="11" t="s">
        <v>91</v>
      </c>
      <c r="D167" s="11" t="s">
        <v>80</v>
      </c>
      <c r="E167" s="24"/>
      <c r="F167" s="11" t="s">
        <v>80</v>
      </c>
      <c r="G167" s="11" t="s">
        <v>80</v>
      </c>
      <c r="H167" s="11" t="s">
        <v>80</v>
      </c>
      <c r="I167" s="11" t="s">
        <v>80</v>
      </c>
      <c r="J167" s="11"/>
      <c r="K167" s="24"/>
      <c r="L167" s="11" t="s">
        <v>84</v>
      </c>
      <c r="M167" s="11" t="s">
        <v>82</v>
      </c>
      <c r="N167" s="11" t="s">
        <v>82</v>
      </c>
      <c r="O167" s="11" t="s">
        <v>84</v>
      </c>
      <c r="P167" s="11"/>
    </row>
    <row r="168" spans="1:16" x14ac:dyDescent="0.2">
      <c r="A168" s="11">
        <v>167</v>
      </c>
      <c r="B168" s="11" t="s">
        <v>111</v>
      </c>
      <c r="D168" s="11" t="s">
        <v>80</v>
      </c>
      <c r="E168" s="24"/>
      <c r="F168" s="11" t="s">
        <v>84</v>
      </c>
      <c r="G168" s="11" t="s">
        <v>82</v>
      </c>
      <c r="H168" s="11" t="s">
        <v>82</v>
      </c>
      <c r="I168" s="11" t="s">
        <v>84</v>
      </c>
      <c r="J168" s="11"/>
      <c r="K168" s="24"/>
      <c r="L168" s="11" t="s">
        <v>80</v>
      </c>
      <c r="M168" s="11" t="s">
        <v>80</v>
      </c>
      <c r="N168" s="11" t="s">
        <v>80</v>
      </c>
      <c r="O168" s="11" t="s">
        <v>80</v>
      </c>
      <c r="P168" s="11"/>
    </row>
    <row r="169" spans="1:16" x14ac:dyDescent="0.2">
      <c r="A169" s="11">
        <v>168</v>
      </c>
      <c r="B169" s="11" t="s">
        <v>91</v>
      </c>
      <c r="D169" s="11" t="s">
        <v>80</v>
      </c>
      <c r="E169" s="24"/>
      <c r="F169" s="11" t="s">
        <v>80</v>
      </c>
      <c r="G169" s="11" t="s">
        <v>80</v>
      </c>
      <c r="H169" s="11" t="s">
        <v>80</v>
      </c>
      <c r="I169" s="11" t="s">
        <v>80</v>
      </c>
      <c r="J169" s="11"/>
      <c r="K169" s="24"/>
      <c r="L169" s="11" t="s">
        <v>84</v>
      </c>
      <c r="M169" s="11" t="s">
        <v>82</v>
      </c>
      <c r="N169" s="11" t="s">
        <v>82</v>
      </c>
      <c r="O169" s="11" t="s">
        <v>82</v>
      </c>
      <c r="P169" s="11"/>
    </row>
    <row r="170" spans="1:16" x14ac:dyDescent="0.2">
      <c r="A170" s="11">
        <v>169</v>
      </c>
      <c r="B170" s="11" t="s">
        <v>91</v>
      </c>
      <c r="D170" s="11" t="s">
        <v>80</v>
      </c>
      <c r="E170" s="24"/>
      <c r="F170" s="11" t="s">
        <v>80</v>
      </c>
      <c r="G170" s="11" t="s">
        <v>80</v>
      </c>
      <c r="H170" s="11" t="s">
        <v>80</v>
      </c>
      <c r="I170" s="11" t="s">
        <v>80</v>
      </c>
      <c r="J170" s="11"/>
      <c r="K170" s="24"/>
      <c r="L170" s="11" t="s">
        <v>84</v>
      </c>
      <c r="M170" s="11" t="s">
        <v>82</v>
      </c>
      <c r="N170" s="11" t="s">
        <v>84</v>
      </c>
      <c r="O170" s="11" t="s">
        <v>84</v>
      </c>
      <c r="P170" s="11"/>
    </row>
    <row r="171" spans="1:16" x14ac:dyDescent="0.2">
      <c r="A171" s="11">
        <v>170</v>
      </c>
      <c r="B171" s="11" t="s">
        <v>111</v>
      </c>
      <c r="D171" s="11" t="s">
        <v>80</v>
      </c>
      <c r="E171" s="24"/>
      <c r="F171" s="11" t="s">
        <v>84</v>
      </c>
      <c r="G171" s="11" t="s">
        <v>82</v>
      </c>
      <c r="H171" s="11" t="s">
        <v>82</v>
      </c>
      <c r="I171" s="11" t="s">
        <v>84</v>
      </c>
      <c r="J171" s="11"/>
      <c r="K171" s="24"/>
      <c r="L171" s="11" t="s">
        <v>80</v>
      </c>
      <c r="M171" s="11" t="s">
        <v>80</v>
      </c>
      <c r="N171" s="11" t="s">
        <v>80</v>
      </c>
      <c r="O171" s="11" t="s">
        <v>80</v>
      </c>
      <c r="P171" s="11"/>
    </row>
    <row r="172" spans="1:16" x14ac:dyDescent="0.2">
      <c r="A172" s="11">
        <v>171</v>
      </c>
      <c r="B172" s="11" t="s">
        <v>91</v>
      </c>
      <c r="D172" s="11" t="s">
        <v>80</v>
      </c>
      <c r="E172" s="24"/>
      <c r="F172" s="11" t="s">
        <v>80</v>
      </c>
      <c r="G172" s="11" t="s">
        <v>80</v>
      </c>
      <c r="H172" s="11" t="s">
        <v>80</v>
      </c>
      <c r="I172" s="11" t="s">
        <v>80</v>
      </c>
      <c r="J172" s="11"/>
      <c r="K172" s="24"/>
      <c r="L172" s="11" t="s">
        <v>84</v>
      </c>
      <c r="M172" s="11" t="s">
        <v>84</v>
      </c>
      <c r="N172" s="11" t="s">
        <v>84</v>
      </c>
      <c r="O172" s="11" t="s">
        <v>84</v>
      </c>
      <c r="P172" s="11"/>
    </row>
    <row r="173" spans="1:16" x14ac:dyDescent="0.2">
      <c r="A173" s="11">
        <v>172</v>
      </c>
      <c r="B173" s="11" t="s">
        <v>91</v>
      </c>
      <c r="D173" s="11" t="s">
        <v>80</v>
      </c>
      <c r="E173" s="24"/>
      <c r="F173" s="11" t="s">
        <v>80</v>
      </c>
      <c r="G173" s="11" t="s">
        <v>80</v>
      </c>
      <c r="H173" s="11" t="s">
        <v>80</v>
      </c>
      <c r="I173" s="11" t="s">
        <v>80</v>
      </c>
      <c r="J173" s="11"/>
      <c r="K173" s="24"/>
      <c r="L173" s="11" t="s">
        <v>84</v>
      </c>
      <c r="M173" s="11" t="s">
        <v>82</v>
      </c>
      <c r="N173" s="11" t="s">
        <v>84</v>
      </c>
      <c r="O173" s="11" t="s">
        <v>84</v>
      </c>
      <c r="P173" s="11"/>
    </row>
    <row r="174" spans="1:16" x14ac:dyDescent="0.2">
      <c r="A174" s="11">
        <v>173</v>
      </c>
      <c r="B174" s="11" t="s">
        <v>111</v>
      </c>
      <c r="D174" s="11" t="s">
        <v>80</v>
      </c>
      <c r="E174" s="24"/>
      <c r="F174" s="11" t="s">
        <v>84</v>
      </c>
      <c r="G174" s="11" t="s">
        <v>82</v>
      </c>
      <c r="H174" s="11" t="s">
        <v>84</v>
      </c>
      <c r="I174" s="11" t="s">
        <v>84</v>
      </c>
      <c r="J174" s="11"/>
      <c r="K174" s="24"/>
      <c r="L174" s="11" t="s">
        <v>80</v>
      </c>
      <c r="M174" s="11" t="s">
        <v>80</v>
      </c>
      <c r="N174" s="11" t="s">
        <v>80</v>
      </c>
      <c r="O174" s="11" t="s">
        <v>80</v>
      </c>
      <c r="P174" s="11"/>
    </row>
    <row r="175" spans="1:16" x14ac:dyDescent="0.2">
      <c r="A175" s="11">
        <v>174</v>
      </c>
      <c r="B175" s="11" t="s">
        <v>91</v>
      </c>
      <c r="D175" s="11" t="s">
        <v>80</v>
      </c>
      <c r="E175" s="24"/>
      <c r="F175" s="11" t="s">
        <v>80</v>
      </c>
      <c r="G175" s="11" t="s">
        <v>80</v>
      </c>
      <c r="H175" s="11" t="s">
        <v>80</v>
      </c>
      <c r="I175" s="11" t="s">
        <v>80</v>
      </c>
      <c r="J175" s="11"/>
      <c r="K175" s="24"/>
      <c r="L175" s="11" t="s">
        <v>84</v>
      </c>
      <c r="M175" s="11" t="s">
        <v>82</v>
      </c>
      <c r="N175" s="11" t="s">
        <v>82</v>
      </c>
      <c r="O175" s="11" t="s">
        <v>84</v>
      </c>
      <c r="P175" s="11"/>
    </row>
    <row r="176" spans="1:16" x14ac:dyDescent="0.2">
      <c r="A176" s="11">
        <v>175</v>
      </c>
      <c r="B176" s="11" t="s">
        <v>91</v>
      </c>
      <c r="D176" s="11" t="s">
        <v>80</v>
      </c>
      <c r="E176" s="24"/>
      <c r="F176" s="11" t="s">
        <v>80</v>
      </c>
      <c r="G176" s="11" t="s">
        <v>80</v>
      </c>
      <c r="H176" s="11" t="s">
        <v>80</v>
      </c>
      <c r="I176" s="11" t="s">
        <v>80</v>
      </c>
      <c r="J176" s="11"/>
      <c r="K176" s="24"/>
      <c r="L176" s="11" t="s">
        <v>84</v>
      </c>
      <c r="M176" s="11" t="s">
        <v>84</v>
      </c>
      <c r="N176" s="11" t="s">
        <v>82</v>
      </c>
      <c r="O176" s="11" t="s">
        <v>84</v>
      </c>
      <c r="P176" s="11"/>
    </row>
    <row r="177" spans="1:16" x14ac:dyDescent="0.2">
      <c r="A177" s="11">
        <v>176</v>
      </c>
      <c r="B177" s="11" t="s">
        <v>111</v>
      </c>
      <c r="D177" s="11" t="s">
        <v>80</v>
      </c>
      <c r="E177" s="24"/>
      <c r="F177" s="11" t="s">
        <v>84</v>
      </c>
      <c r="G177" s="11" t="s">
        <v>84</v>
      </c>
      <c r="H177" s="11" t="s">
        <v>84</v>
      </c>
      <c r="I177" s="11" t="s">
        <v>84</v>
      </c>
      <c r="J177" s="11"/>
      <c r="K177" s="24"/>
      <c r="L177" s="11" t="s">
        <v>80</v>
      </c>
      <c r="M177" s="11" t="s">
        <v>80</v>
      </c>
      <c r="N177" s="11" t="s">
        <v>80</v>
      </c>
      <c r="O177" s="11" t="s">
        <v>80</v>
      </c>
      <c r="P177" s="11"/>
    </row>
    <row r="178" spans="1:16" x14ac:dyDescent="0.2">
      <c r="A178" s="11">
        <v>177</v>
      </c>
      <c r="B178" s="11" t="s">
        <v>111</v>
      </c>
      <c r="D178" s="11" t="s">
        <v>80</v>
      </c>
      <c r="E178" s="24"/>
      <c r="F178" s="11" t="s">
        <v>84</v>
      </c>
      <c r="G178" s="11" t="s">
        <v>84</v>
      </c>
      <c r="H178" s="11" t="s">
        <v>82</v>
      </c>
      <c r="I178" s="11" t="s">
        <v>84</v>
      </c>
      <c r="J178" s="11"/>
      <c r="K178" s="24"/>
      <c r="L178" s="11" t="s">
        <v>80</v>
      </c>
      <c r="M178" s="11" t="s">
        <v>80</v>
      </c>
      <c r="N178" s="11" t="s">
        <v>80</v>
      </c>
      <c r="O178" s="11" t="s">
        <v>80</v>
      </c>
      <c r="P178" s="11"/>
    </row>
    <row r="179" spans="1:16" x14ac:dyDescent="0.2">
      <c r="A179" s="11">
        <v>178</v>
      </c>
      <c r="B179" s="11" t="s">
        <v>91</v>
      </c>
      <c r="D179" s="11" t="s">
        <v>80</v>
      </c>
      <c r="E179" s="24"/>
      <c r="F179" s="11" t="s">
        <v>80</v>
      </c>
      <c r="G179" s="11" t="s">
        <v>80</v>
      </c>
      <c r="H179" s="11" t="s">
        <v>80</v>
      </c>
      <c r="I179" s="11" t="s">
        <v>80</v>
      </c>
      <c r="J179" s="11"/>
      <c r="K179" s="24"/>
      <c r="L179" s="11" t="s">
        <v>84</v>
      </c>
      <c r="M179" s="11" t="s">
        <v>84</v>
      </c>
      <c r="N179" s="11" t="s">
        <v>84</v>
      </c>
      <c r="O179" s="11" t="s">
        <v>84</v>
      </c>
      <c r="P179" s="11"/>
    </row>
    <row r="180" spans="1:16" x14ac:dyDescent="0.2">
      <c r="A180" s="11">
        <v>179</v>
      </c>
      <c r="B180" s="11" t="s">
        <v>91</v>
      </c>
      <c r="D180" s="11" t="s">
        <v>80</v>
      </c>
      <c r="E180" s="24"/>
      <c r="F180" s="11" t="s">
        <v>80</v>
      </c>
      <c r="G180" s="11" t="s">
        <v>80</v>
      </c>
      <c r="H180" s="11" t="s">
        <v>80</v>
      </c>
      <c r="I180" s="11" t="s">
        <v>80</v>
      </c>
      <c r="J180" s="11"/>
      <c r="K180" s="24"/>
      <c r="L180" s="11" t="s">
        <v>84</v>
      </c>
      <c r="M180" s="11" t="s">
        <v>84</v>
      </c>
      <c r="N180" s="11" t="s">
        <v>84</v>
      </c>
      <c r="O180" s="11" t="s">
        <v>84</v>
      </c>
      <c r="P180" s="11"/>
    </row>
    <row r="181" spans="1:16" ht="89.25" x14ac:dyDescent="0.2">
      <c r="A181" s="11">
        <v>180</v>
      </c>
      <c r="B181" s="11" t="s">
        <v>91</v>
      </c>
      <c r="D181" s="11" t="s">
        <v>80</v>
      </c>
      <c r="E181" s="24"/>
      <c r="F181" s="11" t="s">
        <v>80</v>
      </c>
      <c r="G181" s="11" t="s">
        <v>80</v>
      </c>
      <c r="H181" s="11" t="s">
        <v>80</v>
      </c>
      <c r="I181" s="11" t="s">
        <v>80</v>
      </c>
      <c r="J181" s="11"/>
      <c r="K181" s="24"/>
      <c r="L181" s="11" t="s">
        <v>84</v>
      </c>
      <c r="M181" s="11" t="s">
        <v>82</v>
      </c>
      <c r="N181" s="11" t="s">
        <v>82</v>
      </c>
      <c r="O181" s="11" t="s">
        <v>82</v>
      </c>
      <c r="P181" s="11" t="s">
        <v>2153</v>
      </c>
    </row>
    <row r="182" spans="1:16" x14ac:dyDescent="0.2">
      <c r="A182" s="11">
        <v>181</v>
      </c>
      <c r="B182" s="11" t="s">
        <v>91</v>
      </c>
      <c r="D182" s="11" t="s">
        <v>80</v>
      </c>
      <c r="E182" s="24"/>
      <c r="F182" s="11" t="s">
        <v>80</v>
      </c>
      <c r="G182" s="11" t="s">
        <v>80</v>
      </c>
      <c r="H182" s="11" t="s">
        <v>80</v>
      </c>
      <c r="I182" s="11" t="s">
        <v>80</v>
      </c>
      <c r="J182" s="11"/>
      <c r="K182" s="24"/>
      <c r="L182" s="11" t="s">
        <v>84</v>
      </c>
      <c r="M182" s="11" t="s">
        <v>82</v>
      </c>
      <c r="N182" s="11" t="s">
        <v>84</v>
      </c>
      <c r="O182" s="11" t="s">
        <v>84</v>
      </c>
      <c r="P182" s="11"/>
    </row>
    <row r="183" spans="1:16" x14ac:dyDescent="0.2">
      <c r="A183" s="11">
        <v>182</v>
      </c>
      <c r="B183" s="11" t="s">
        <v>111</v>
      </c>
      <c r="D183" s="11" t="s">
        <v>80</v>
      </c>
      <c r="E183" s="24"/>
      <c r="F183" s="11" t="s">
        <v>84</v>
      </c>
      <c r="G183" s="11" t="s">
        <v>84</v>
      </c>
      <c r="H183" s="11" t="s">
        <v>82</v>
      </c>
      <c r="I183" s="11" t="s">
        <v>84</v>
      </c>
      <c r="J183" s="11"/>
      <c r="K183" s="24"/>
      <c r="L183" s="11" t="s">
        <v>80</v>
      </c>
      <c r="M183" s="11" t="s">
        <v>80</v>
      </c>
      <c r="N183" s="11" t="s">
        <v>80</v>
      </c>
      <c r="O183" s="11" t="s">
        <v>80</v>
      </c>
      <c r="P183" s="11"/>
    </row>
    <row r="184" spans="1:16" x14ac:dyDescent="0.2">
      <c r="A184" s="11">
        <v>183</v>
      </c>
      <c r="B184" s="11" t="s">
        <v>91</v>
      </c>
      <c r="D184" s="11" t="s">
        <v>80</v>
      </c>
      <c r="E184" s="24"/>
      <c r="F184" s="11" t="s">
        <v>80</v>
      </c>
      <c r="G184" s="11" t="s">
        <v>80</v>
      </c>
      <c r="H184" s="11" t="s">
        <v>80</v>
      </c>
      <c r="I184" s="11" t="s">
        <v>80</v>
      </c>
      <c r="J184" s="11"/>
      <c r="K184" s="24"/>
      <c r="L184" s="11" t="s">
        <v>84</v>
      </c>
      <c r="M184" s="11" t="s">
        <v>82</v>
      </c>
      <c r="N184" s="11" t="s">
        <v>82</v>
      </c>
      <c r="O184" s="11" t="s">
        <v>82</v>
      </c>
      <c r="P184" s="11"/>
    </row>
    <row r="185" spans="1:16" x14ac:dyDescent="0.2">
      <c r="A185" s="11">
        <v>184</v>
      </c>
      <c r="B185" s="11" t="s">
        <v>91</v>
      </c>
      <c r="D185" s="11" t="s">
        <v>80</v>
      </c>
      <c r="E185" s="24"/>
      <c r="F185" s="11" t="s">
        <v>80</v>
      </c>
      <c r="G185" s="11" t="s">
        <v>80</v>
      </c>
      <c r="H185" s="11" t="s">
        <v>80</v>
      </c>
      <c r="I185" s="11" t="s">
        <v>80</v>
      </c>
      <c r="J185" s="11"/>
      <c r="K185" s="24"/>
      <c r="L185" s="11" t="s">
        <v>84</v>
      </c>
      <c r="M185" s="11" t="s">
        <v>82</v>
      </c>
      <c r="N185" s="11" t="s">
        <v>82</v>
      </c>
      <c r="O185" s="11" t="s">
        <v>84</v>
      </c>
      <c r="P185" s="11"/>
    </row>
    <row r="186" spans="1:16" x14ac:dyDescent="0.2">
      <c r="A186" s="11">
        <v>185</v>
      </c>
      <c r="B186" s="11" t="s">
        <v>91</v>
      </c>
      <c r="D186" s="11" t="s">
        <v>80</v>
      </c>
      <c r="E186" s="24"/>
      <c r="F186" s="11" t="s">
        <v>80</v>
      </c>
      <c r="G186" s="11" t="s">
        <v>80</v>
      </c>
      <c r="H186" s="11" t="s">
        <v>80</v>
      </c>
      <c r="I186" s="11" t="s">
        <v>80</v>
      </c>
      <c r="J186" s="11"/>
      <c r="K186" s="24"/>
      <c r="L186" s="11" t="s">
        <v>84</v>
      </c>
      <c r="M186" s="11" t="s">
        <v>84</v>
      </c>
      <c r="N186" s="11" t="s">
        <v>84</v>
      </c>
      <c r="O186" s="11" t="s">
        <v>84</v>
      </c>
      <c r="P186" s="11"/>
    </row>
    <row r="187" spans="1:16" x14ac:dyDescent="0.2">
      <c r="A187" s="11">
        <v>186</v>
      </c>
      <c r="B187" s="11" t="s">
        <v>111</v>
      </c>
      <c r="D187" s="11" t="s">
        <v>80</v>
      </c>
      <c r="E187" s="24"/>
      <c r="F187" s="11" t="s">
        <v>84</v>
      </c>
      <c r="G187" s="11" t="s">
        <v>84</v>
      </c>
      <c r="H187" s="11" t="s">
        <v>82</v>
      </c>
      <c r="I187" s="11" t="s">
        <v>84</v>
      </c>
      <c r="J187" s="11"/>
      <c r="K187" s="24"/>
      <c r="L187" s="11" t="s">
        <v>80</v>
      </c>
      <c r="M187" s="11" t="s">
        <v>80</v>
      </c>
      <c r="N187" s="11" t="s">
        <v>80</v>
      </c>
      <c r="O187" s="11" t="s">
        <v>80</v>
      </c>
      <c r="P187" s="11"/>
    </row>
    <row r="188" spans="1:16" x14ac:dyDescent="0.2">
      <c r="A188" s="11">
        <v>187</v>
      </c>
      <c r="B188" s="11" t="s">
        <v>91</v>
      </c>
      <c r="D188" s="11" t="s">
        <v>80</v>
      </c>
      <c r="E188" s="24"/>
      <c r="F188" s="11" t="s">
        <v>80</v>
      </c>
      <c r="G188" s="11" t="s">
        <v>80</v>
      </c>
      <c r="H188" s="11" t="s">
        <v>80</v>
      </c>
      <c r="I188" s="11" t="s">
        <v>80</v>
      </c>
      <c r="J188" s="11"/>
      <c r="K188" s="24"/>
      <c r="L188" s="11" t="s">
        <v>84</v>
      </c>
      <c r="M188" s="11" t="s">
        <v>84</v>
      </c>
      <c r="N188" s="11" t="s">
        <v>84</v>
      </c>
      <c r="O188" s="11" t="s">
        <v>84</v>
      </c>
      <c r="P188" s="11"/>
    </row>
    <row r="189" spans="1:16" x14ac:dyDescent="0.2">
      <c r="A189" s="11">
        <v>188</v>
      </c>
      <c r="B189" s="11" t="s">
        <v>111</v>
      </c>
      <c r="D189" s="11" t="s">
        <v>80</v>
      </c>
      <c r="E189" s="24"/>
      <c r="F189" s="11" t="s">
        <v>84</v>
      </c>
      <c r="G189" s="11" t="s">
        <v>82</v>
      </c>
      <c r="H189" s="11" t="s">
        <v>84</v>
      </c>
      <c r="I189" s="11" t="s">
        <v>82</v>
      </c>
      <c r="J189" s="11"/>
      <c r="K189" s="24"/>
      <c r="L189" s="11" t="s">
        <v>80</v>
      </c>
      <c r="M189" s="11" t="s">
        <v>80</v>
      </c>
      <c r="N189" s="11" t="s">
        <v>80</v>
      </c>
      <c r="O189" s="11" t="s">
        <v>80</v>
      </c>
      <c r="P189" s="11"/>
    </row>
    <row r="190" spans="1:16" ht="102" x14ac:dyDescent="0.2">
      <c r="A190" s="11">
        <v>189</v>
      </c>
      <c r="B190" s="11" t="s">
        <v>82</v>
      </c>
      <c r="C190" s="11" t="s">
        <v>2118</v>
      </c>
      <c r="D190" s="11" t="s">
        <v>82</v>
      </c>
      <c r="E190" s="24"/>
      <c r="F190" s="11" t="s">
        <v>80</v>
      </c>
      <c r="G190" s="11" t="s">
        <v>80</v>
      </c>
      <c r="H190" s="11" t="s">
        <v>80</v>
      </c>
      <c r="I190" s="11" t="s">
        <v>80</v>
      </c>
      <c r="J190" s="11"/>
      <c r="K190" s="24"/>
      <c r="L190" s="11" t="s">
        <v>80</v>
      </c>
      <c r="M190" s="11" t="s">
        <v>80</v>
      </c>
      <c r="N190" s="11" t="s">
        <v>80</v>
      </c>
      <c r="O190" s="11" t="s">
        <v>80</v>
      </c>
      <c r="P190" s="11"/>
    </row>
    <row r="191" spans="1:16" x14ac:dyDescent="0.2">
      <c r="A191" s="11">
        <v>190</v>
      </c>
      <c r="B191" s="11" t="s">
        <v>111</v>
      </c>
      <c r="D191" s="11" t="s">
        <v>80</v>
      </c>
      <c r="E191" s="24"/>
      <c r="F191" s="11" t="s">
        <v>84</v>
      </c>
      <c r="G191" s="11" t="s">
        <v>82</v>
      </c>
      <c r="H191" s="11" t="s">
        <v>82</v>
      </c>
      <c r="I191" s="11" t="s">
        <v>82</v>
      </c>
      <c r="J191" s="11"/>
      <c r="K191" s="24"/>
      <c r="L191" s="11" t="s">
        <v>80</v>
      </c>
      <c r="M191" s="11" t="s">
        <v>80</v>
      </c>
      <c r="N191" s="11" t="s">
        <v>80</v>
      </c>
      <c r="O191" s="11" t="s">
        <v>80</v>
      </c>
      <c r="P191" s="11"/>
    </row>
    <row r="192" spans="1:16" x14ac:dyDescent="0.2">
      <c r="A192" s="11">
        <v>191</v>
      </c>
      <c r="B192" s="11" t="s">
        <v>91</v>
      </c>
      <c r="D192" s="11" t="s">
        <v>80</v>
      </c>
      <c r="E192" s="24"/>
      <c r="F192" s="11" t="s">
        <v>80</v>
      </c>
      <c r="G192" s="11" t="s">
        <v>80</v>
      </c>
      <c r="H192" s="11" t="s">
        <v>80</v>
      </c>
      <c r="I192" s="11" t="s">
        <v>80</v>
      </c>
      <c r="J192" s="11"/>
      <c r="K192" s="24"/>
      <c r="L192" s="11" t="s">
        <v>84</v>
      </c>
      <c r="M192" s="11" t="s">
        <v>82</v>
      </c>
      <c r="N192" s="11" t="s">
        <v>84</v>
      </c>
      <c r="O192" s="11" t="s">
        <v>84</v>
      </c>
      <c r="P192" s="11"/>
    </row>
    <row r="193" spans="1:16" x14ac:dyDescent="0.2">
      <c r="A193" s="11">
        <v>192</v>
      </c>
      <c r="B193" s="11" t="s">
        <v>91</v>
      </c>
      <c r="D193" s="11" t="s">
        <v>80</v>
      </c>
      <c r="E193" s="24"/>
      <c r="F193" s="11" t="s">
        <v>80</v>
      </c>
      <c r="G193" s="11" t="s">
        <v>80</v>
      </c>
      <c r="H193" s="11" t="s">
        <v>80</v>
      </c>
      <c r="I193" s="11" t="s">
        <v>80</v>
      </c>
      <c r="J193" s="11"/>
      <c r="K193" s="24"/>
      <c r="L193" s="11" t="s">
        <v>84</v>
      </c>
      <c r="M193" s="11" t="s">
        <v>82</v>
      </c>
      <c r="N193" s="11" t="s">
        <v>82</v>
      </c>
      <c r="O193" s="11" t="s">
        <v>82</v>
      </c>
      <c r="P193" s="11"/>
    </row>
    <row r="194" spans="1:16" x14ac:dyDescent="0.2">
      <c r="A194" s="11">
        <v>193</v>
      </c>
      <c r="B194" s="11" t="s">
        <v>91</v>
      </c>
      <c r="D194" s="11" t="s">
        <v>80</v>
      </c>
      <c r="E194" s="24"/>
      <c r="F194" s="11" t="s">
        <v>80</v>
      </c>
      <c r="G194" s="11" t="s">
        <v>80</v>
      </c>
      <c r="H194" s="11" t="s">
        <v>80</v>
      </c>
      <c r="I194" s="11" t="s">
        <v>80</v>
      </c>
      <c r="J194" s="11"/>
      <c r="K194" s="24"/>
      <c r="L194" s="11" t="s">
        <v>84</v>
      </c>
      <c r="M194" s="11" t="s">
        <v>82</v>
      </c>
      <c r="N194" s="11" t="s">
        <v>82</v>
      </c>
      <c r="O194" s="11" t="s">
        <v>82</v>
      </c>
      <c r="P194" s="11"/>
    </row>
    <row r="195" spans="1:16" x14ac:dyDescent="0.2">
      <c r="A195" s="11">
        <v>194</v>
      </c>
      <c r="B195" s="11" t="s">
        <v>111</v>
      </c>
      <c r="D195" s="11" t="s">
        <v>80</v>
      </c>
      <c r="E195" s="24"/>
      <c r="F195" s="11" t="s">
        <v>84</v>
      </c>
      <c r="G195" s="11" t="s">
        <v>82</v>
      </c>
      <c r="H195" s="11" t="s">
        <v>82</v>
      </c>
      <c r="I195" s="11" t="s">
        <v>82</v>
      </c>
      <c r="J195" s="11"/>
      <c r="K195" s="24"/>
      <c r="L195" s="11" t="s">
        <v>80</v>
      </c>
      <c r="M195" s="11" t="s">
        <v>80</v>
      </c>
      <c r="N195" s="11" t="s">
        <v>80</v>
      </c>
      <c r="O195" s="11" t="s">
        <v>80</v>
      </c>
      <c r="P195" s="11"/>
    </row>
    <row r="196" spans="1:16" x14ac:dyDescent="0.2">
      <c r="A196" s="11">
        <v>195</v>
      </c>
      <c r="B196" s="9" t="s">
        <v>111</v>
      </c>
      <c r="C196" s="9"/>
      <c r="D196" s="9" t="s">
        <v>80</v>
      </c>
      <c r="E196" s="58"/>
      <c r="F196" s="9" t="s">
        <v>84</v>
      </c>
      <c r="G196" s="9" t="s">
        <v>82</v>
      </c>
      <c r="H196" s="9" t="s">
        <v>82</v>
      </c>
      <c r="I196" s="9" t="s">
        <v>84</v>
      </c>
      <c r="J196" s="9"/>
      <c r="K196" s="58"/>
      <c r="L196" s="9" t="s">
        <v>80</v>
      </c>
      <c r="M196" s="9" t="s">
        <v>80</v>
      </c>
      <c r="N196" s="9" t="s">
        <v>80</v>
      </c>
      <c r="O196" s="9" t="s">
        <v>80</v>
      </c>
      <c r="P196" s="9"/>
    </row>
    <row r="197" spans="1:16" x14ac:dyDescent="0.2">
      <c r="A197" s="11">
        <v>196</v>
      </c>
      <c r="B197" s="9" t="s">
        <v>111</v>
      </c>
      <c r="C197" s="9"/>
      <c r="D197" s="9" t="s">
        <v>80</v>
      </c>
      <c r="E197" s="58"/>
      <c r="F197" s="9" t="s">
        <v>84</v>
      </c>
      <c r="G197" s="9" t="s">
        <v>82</v>
      </c>
      <c r="H197" s="9" t="s">
        <v>82</v>
      </c>
      <c r="I197" s="9" t="s">
        <v>84</v>
      </c>
      <c r="J197" s="9"/>
      <c r="K197" s="58"/>
      <c r="L197" s="9" t="s">
        <v>80</v>
      </c>
      <c r="M197" s="9" t="s">
        <v>80</v>
      </c>
      <c r="N197" s="9" t="s">
        <v>80</v>
      </c>
      <c r="O197" s="9" t="s">
        <v>80</v>
      </c>
      <c r="P197" s="9"/>
    </row>
    <row r="198" spans="1:16" x14ac:dyDescent="0.2">
      <c r="A198" s="11">
        <v>197</v>
      </c>
      <c r="B198" s="32" t="s">
        <v>91</v>
      </c>
      <c r="C198" s="32"/>
      <c r="D198" s="32" t="s">
        <v>80</v>
      </c>
      <c r="E198" s="32"/>
      <c r="F198" s="32" t="s">
        <v>80</v>
      </c>
      <c r="G198" s="32" t="s">
        <v>80</v>
      </c>
      <c r="H198" s="32" t="s">
        <v>80</v>
      </c>
      <c r="I198" s="32" t="s">
        <v>80</v>
      </c>
      <c r="J198" s="32"/>
      <c r="K198" s="32"/>
      <c r="L198" s="32" t="s">
        <v>84</v>
      </c>
      <c r="M198" s="32" t="s">
        <v>84</v>
      </c>
      <c r="N198" s="32" t="s">
        <v>84</v>
      </c>
      <c r="O198" s="32" t="s">
        <v>84</v>
      </c>
      <c r="P198" s="32"/>
    </row>
    <row r="199" spans="1:16" x14ac:dyDescent="0.2">
      <c r="A199" s="11">
        <v>198</v>
      </c>
      <c r="B199" s="32" t="s">
        <v>91</v>
      </c>
      <c r="C199" s="32"/>
      <c r="D199" s="32" t="s">
        <v>80</v>
      </c>
      <c r="E199" s="32"/>
      <c r="F199" s="32" t="s">
        <v>80</v>
      </c>
      <c r="G199" s="32" t="s">
        <v>80</v>
      </c>
      <c r="H199" s="32" t="s">
        <v>80</v>
      </c>
      <c r="I199" s="32" t="s">
        <v>80</v>
      </c>
      <c r="J199" s="32"/>
      <c r="K199" s="32"/>
      <c r="L199" s="32" t="s">
        <v>84</v>
      </c>
      <c r="M199" s="32" t="s">
        <v>82</v>
      </c>
      <c r="N199" s="32" t="s">
        <v>84</v>
      </c>
      <c r="O199" s="32" t="s">
        <v>84</v>
      </c>
      <c r="P199" s="32"/>
    </row>
    <row r="200" spans="1:16" x14ac:dyDescent="0.2">
      <c r="A200" s="11">
        <v>199</v>
      </c>
      <c r="B200" s="9" t="s">
        <v>91</v>
      </c>
      <c r="C200" s="9"/>
      <c r="D200" s="9" t="s">
        <v>80</v>
      </c>
      <c r="E200" s="58"/>
      <c r="F200" s="9" t="s">
        <v>80</v>
      </c>
      <c r="G200" s="9" t="s">
        <v>80</v>
      </c>
      <c r="H200" s="9" t="s">
        <v>80</v>
      </c>
      <c r="I200" s="9" t="s">
        <v>80</v>
      </c>
      <c r="J200" s="9"/>
      <c r="K200" s="58"/>
      <c r="L200" s="9" t="s">
        <v>84</v>
      </c>
      <c r="M200" s="9" t="s">
        <v>82</v>
      </c>
      <c r="N200" s="9" t="s">
        <v>82</v>
      </c>
      <c r="O200" s="9" t="s">
        <v>84</v>
      </c>
      <c r="P200" s="9"/>
    </row>
    <row r="201" spans="1:16" x14ac:dyDescent="0.2">
      <c r="A201" s="11">
        <v>200</v>
      </c>
      <c r="B201" s="9" t="s">
        <v>111</v>
      </c>
      <c r="C201" s="9"/>
      <c r="D201" s="9" t="s">
        <v>80</v>
      </c>
      <c r="E201" s="58"/>
      <c r="F201" s="9" t="s">
        <v>84</v>
      </c>
      <c r="G201" s="9" t="s">
        <v>84</v>
      </c>
      <c r="H201" s="9" t="s">
        <v>84</v>
      </c>
      <c r="I201" s="9" t="s">
        <v>84</v>
      </c>
      <c r="J201" s="9"/>
      <c r="K201" s="58"/>
      <c r="L201" s="9" t="s">
        <v>80</v>
      </c>
      <c r="M201" s="9" t="s">
        <v>80</v>
      </c>
      <c r="N201" s="9" t="s">
        <v>80</v>
      </c>
      <c r="O201" s="9" t="s">
        <v>80</v>
      </c>
      <c r="P201" s="9"/>
    </row>
    <row r="202" spans="1:16" x14ac:dyDescent="0.2">
      <c r="A202" s="11">
        <v>201</v>
      </c>
      <c r="B202" s="9" t="s">
        <v>91</v>
      </c>
      <c r="C202" s="9"/>
      <c r="D202" s="9" t="s">
        <v>80</v>
      </c>
      <c r="E202" s="58"/>
      <c r="F202" s="9" t="s">
        <v>80</v>
      </c>
      <c r="G202" s="9" t="s">
        <v>80</v>
      </c>
      <c r="H202" s="9" t="s">
        <v>80</v>
      </c>
      <c r="I202" s="9" t="s">
        <v>80</v>
      </c>
      <c r="J202" s="9"/>
      <c r="K202" s="58"/>
      <c r="L202" s="9" t="s">
        <v>84</v>
      </c>
      <c r="M202" s="9" t="s">
        <v>84</v>
      </c>
      <c r="N202" s="9" t="s">
        <v>84</v>
      </c>
      <c r="O202" s="9" t="s">
        <v>84</v>
      </c>
      <c r="P202" s="9"/>
    </row>
    <row r="203" spans="1:16" x14ac:dyDescent="0.2">
      <c r="A203" s="11">
        <v>202</v>
      </c>
      <c r="B203" s="9" t="s">
        <v>91</v>
      </c>
      <c r="C203" s="9"/>
      <c r="D203" s="9" t="s">
        <v>80</v>
      </c>
      <c r="E203" s="58"/>
      <c r="F203" s="9" t="s">
        <v>80</v>
      </c>
      <c r="G203" s="9" t="s">
        <v>80</v>
      </c>
      <c r="H203" s="9" t="s">
        <v>80</v>
      </c>
      <c r="I203" s="9" t="s">
        <v>80</v>
      </c>
      <c r="J203" s="9"/>
      <c r="K203" s="58"/>
      <c r="L203" s="9" t="s">
        <v>84</v>
      </c>
      <c r="M203" s="9" t="s">
        <v>84</v>
      </c>
      <c r="N203" s="9" t="s">
        <v>84</v>
      </c>
      <c r="O203" s="9" t="s">
        <v>84</v>
      </c>
      <c r="P203" s="9"/>
    </row>
    <row r="204" spans="1:16" x14ac:dyDescent="0.2">
      <c r="A204" s="11">
        <v>203</v>
      </c>
      <c r="B204" s="9" t="s">
        <v>111</v>
      </c>
      <c r="C204" s="9"/>
      <c r="D204" s="9" t="s">
        <v>80</v>
      </c>
      <c r="E204" s="58"/>
      <c r="F204" s="9" t="s">
        <v>84</v>
      </c>
      <c r="G204" s="9" t="s">
        <v>82</v>
      </c>
      <c r="H204" s="9" t="s">
        <v>82</v>
      </c>
      <c r="I204" s="9" t="s">
        <v>84</v>
      </c>
      <c r="J204" s="9"/>
      <c r="K204" s="58"/>
      <c r="L204" s="9" t="s">
        <v>80</v>
      </c>
      <c r="M204" s="9" t="s">
        <v>80</v>
      </c>
      <c r="N204" s="9" t="s">
        <v>80</v>
      </c>
      <c r="O204" s="9" t="s">
        <v>80</v>
      </c>
      <c r="P204" s="9"/>
    </row>
    <row r="205" spans="1:16" x14ac:dyDescent="0.2">
      <c r="A205" s="11">
        <v>204</v>
      </c>
      <c r="B205" s="9" t="s">
        <v>111</v>
      </c>
      <c r="C205" s="9"/>
      <c r="D205" s="9" t="s">
        <v>80</v>
      </c>
      <c r="E205" s="58"/>
      <c r="F205" s="9" t="s">
        <v>84</v>
      </c>
      <c r="G205" s="9" t="s">
        <v>82</v>
      </c>
      <c r="H205" s="9" t="s">
        <v>84</v>
      </c>
      <c r="I205" s="9" t="s">
        <v>84</v>
      </c>
      <c r="J205" s="9"/>
      <c r="K205" s="58"/>
      <c r="L205" s="9" t="s">
        <v>80</v>
      </c>
      <c r="M205" s="9" t="s">
        <v>80</v>
      </c>
      <c r="N205" s="9" t="s">
        <v>80</v>
      </c>
      <c r="O205" s="9" t="s">
        <v>80</v>
      </c>
      <c r="P205" s="9"/>
    </row>
    <row r="206" spans="1:16" x14ac:dyDescent="0.2">
      <c r="A206" s="11">
        <v>205</v>
      </c>
      <c r="B206" s="9" t="s">
        <v>91</v>
      </c>
      <c r="C206" s="9"/>
      <c r="D206" s="9" t="s">
        <v>80</v>
      </c>
      <c r="E206" s="58"/>
      <c r="F206" s="9" t="s">
        <v>80</v>
      </c>
      <c r="G206" s="9" t="s">
        <v>80</v>
      </c>
      <c r="H206" s="9" t="s">
        <v>80</v>
      </c>
      <c r="I206" s="9" t="s">
        <v>80</v>
      </c>
      <c r="J206" s="9"/>
      <c r="K206" s="58"/>
      <c r="L206" s="9" t="s">
        <v>84</v>
      </c>
      <c r="M206" s="9" t="s">
        <v>82</v>
      </c>
      <c r="N206" s="9" t="s">
        <v>84</v>
      </c>
      <c r="O206" s="9" t="s">
        <v>82</v>
      </c>
      <c r="P206" s="9"/>
    </row>
    <row r="207" spans="1:16" x14ac:dyDescent="0.2">
      <c r="A207" s="11">
        <v>206</v>
      </c>
      <c r="B207" s="32" t="s">
        <v>91</v>
      </c>
      <c r="C207" s="32"/>
      <c r="D207" s="32" t="s">
        <v>80</v>
      </c>
      <c r="E207" s="32"/>
      <c r="F207" s="32" t="s">
        <v>80</v>
      </c>
      <c r="G207" s="32" t="s">
        <v>80</v>
      </c>
      <c r="H207" s="32" t="s">
        <v>80</v>
      </c>
      <c r="I207" s="32" t="s">
        <v>80</v>
      </c>
      <c r="J207" s="32"/>
      <c r="K207" s="32"/>
      <c r="L207" s="32" t="s">
        <v>84</v>
      </c>
      <c r="M207" s="32" t="s">
        <v>82</v>
      </c>
      <c r="N207" s="32" t="s">
        <v>82</v>
      </c>
      <c r="O207" s="32" t="s">
        <v>84</v>
      </c>
      <c r="P207" s="32"/>
    </row>
    <row r="208" spans="1:16" x14ac:dyDescent="0.2">
      <c r="A208" s="11">
        <v>207</v>
      </c>
      <c r="B208" s="9" t="s">
        <v>91</v>
      </c>
      <c r="C208" s="9"/>
      <c r="D208" s="9" t="s">
        <v>80</v>
      </c>
      <c r="E208" s="58"/>
      <c r="F208" s="9" t="s">
        <v>80</v>
      </c>
      <c r="G208" s="9" t="s">
        <v>80</v>
      </c>
      <c r="H208" s="9" t="s">
        <v>80</v>
      </c>
      <c r="I208" s="9" t="s">
        <v>80</v>
      </c>
      <c r="J208" s="9"/>
      <c r="K208" s="58"/>
      <c r="L208" s="9" t="s">
        <v>84</v>
      </c>
      <c r="M208" s="9" t="s">
        <v>82</v>
      </c>
      <c r="N208" s="9" t="s">
        <v>84</v>
      </c>
      <c r="O208" s="9" t="s">
        <v>84</v>
      </c>
      <c r="P208" s="9"/>
    </row>
    <row r="209" spans="1:16" x14ac:dyDescent="0.2">
      <c r="A209" s="11">
        <v>208</v>
      </c>
      <c r="B209" s="9" t="s">
        <v>91</v>
      </c>
      <c r="C209" s="9"/>
      <c r="D209" s="9" t="s">
        <v>80</v>
      </c>
      <c r="E209" s="58"/>
      <c r="F209" s="9" t="s">
        <v>80</v>
      </c>
      <c r="G209" s="9" t="s">
        <v>80</v>
      </c>
      <c r="H209" s="9" t="s">
        <v>80</v>
      </c>
      <c r="I209" s="9" t="s">
        <v>80</v>
      </c>
      <c r="J209" s="9"/>
      <c r="K209" s="58"/>
      <c r="L209" s="9" t="s">
        <v>84</v>
      </c>
      <c r="M209" s="9" t="s">
        <v>82</v>
      </c>
      <c r="N209" s="9" t="s">
        <v>84</v>
      </c>
      <c r="O209" s="9" t="s">
        <v>84</v>
      </c>
      <c r="P209" s="9"/>
    </row>
    <row r="210" spans="1:16" x14ac:dyDescent="0.2">
      <c r="A210" s="11">
        <v>209</v>
      </c>
      <c r="B210" s="9" t="s">
        <v>91</v>
      </c>
      <c r="C210" s="9"/>
      <c r="D210" s="9" t="s">
        <v>80</v>
      </c>
      <c r="E210" s="58"/>
      <c r="F210" s="9" t="s">
        <v>80</v>
      </c>
      <c r="G210" s="9" t="s">
        <v>80</v>
      </c>
      <c r="H210" s="9" t="s">
        <v>80</v>
      </c>
      <c r="I210" s="9" t="s">
        <v>80</v>
      </c>
      <c r="J210" s="9"/>
      <c r="K210" s="58"/>
      <c r="L210" s="9" t="s">
        <v>84</v>
      </c>
      <c r="M210" s="9" t="s">
        <v>84</v>
      </c>
      <c r="N210" s="9" t="s">
        <v>84</v>
      </c>
      <c r="O210" s="9" t="s">
        <v>84</v>
      </c>
      <c r="P210" s="9"/>
    </row>
    <row r="211" spans="1:16" x14ac:dyDescent="0.2">
      <c r="A211" s="11">
        <v>210</v>
      </c>
      <c r="B211" s="9" t="s">
        <v>91</v>
      </c>
      <c r="C211" s="9"/>
      <c r="D211" s="9" t="s">
        <v>80</v>
      </c>
      <c r="E211" s="58"/>
      <c r="F211" s="9" t="s">
        <v>80</v>
      </c>
      <c r="G211" s="9" t="s">
        <v>80</v>
      </c>
      <c r="H211" s="9" t="s">
        <v>80</v>
      </c>
      <c r="I211" s="9" t="s">
        <v>80</v>
      </c>
      <c r="J211" s="9"/>
      <c r="K211" s="58"/>
      <c r="L211" s="9" t="s">
        <v>84</v>
      </c>
      <c r="M211" s="9" t="s">
        <v>82</v>
      </c>
      <c r="N211" s="9" t="s">
        <v>84</v>
      </c>
      <c r="O211" s="9" t="s">
        <v>84</v>
      </c>
      <c r="P211" s="9"/>
    </row>
    <row r="212" spans="1:16" x14ac:dyDescent="0.2">
      <c r="A212" s="11">
        <v>211</v>
      </c>
      <c r="B212" s="9" t="s">
        <v>91</v>
      </c>
      <c r="C212" s="9"/>
      <c r="D212" s="9" t="s">
        <v>80</v>
      </c>
      <c r="E212" s="58"/>
      <c r="F212" s="9" t="s">
        <v>80</v>
      </c>
      <c r="G212" s="9" t="s">
        <v>80</v>
      </c>
      <c r="H212" s="9" t="s">
        <v>80</v>
      </c>
      <c r="I212" s="9" t="s">
        <v>80</v>
      </c>
      <c r="J212" s="9"/>
      <c r="K212" s="58"/>
      <c r="L212" s="9" t="s">
        <v>84</v>
      </c>
      <c r="M212" s="9" t="s">
        <v>84</v>
      </c>
      <c r="N212" s="9" t="s">
        <v>82</v>
      </c>
      <c r="O212" s="9" t="s">
        <v>84</v>
      </c>
      <c r="P212" s="9"/>
    </row>
    <row r="213" spans="1:16" x14ac:dyDescent="0.2">
      <c r="A213" s="11">
        <v>212</v>
      </c>
      <c r="B213" s="9" t="s">
        <v>111</v>
      </c>
      <c r="C213" s="9"/>
      <c r="D213" s="9" t="s">
        <v>80</v>
      </c>
      <c r="E213" s="58"/>
      <c r="F213" s="9" t="s">
        <v>84</v>
      </c>
      <c r="G213" s="9" t="s">
        <v>82</v>
      </c>
      <c r="H213" s="9" t="s">
        <v>84</v>
      </c>
      <c r="I213" s="9" t="s">
        <v>84</v>
      </c>
      <c r="J213" s="9"/>
      <c r="K213" s="58"/>
      <c r="L213" s="9" t="s">
        <v>80</v>
      </c>
      <c r="M213" s="9" t="s">
        <v>80</v>
      </c>
      <c r="N213" s="9" t="s">
        <v>80</v>
      </c>
      <c r="O213" s="9" t="s">
        <v>80</v>
      </c>
      <c r="P213" s="9"/>
    </row>
    <row r="214" spans="1:16" x14ac:dyDescent="0.2">
      <c r="A214" s="11">
        <v>213</v>
      </c>
      <c r="B214" s="9" t="s">
        <v>91</v>
      </c>
      <c r="C214" s="9"/>
      <c r="D214" s="9" t="s">
        <v>80</v>
      </c>
      <c r="E214" s="58"/>
      <c r="F214" s="9" t="s">
        <v>80</v>
      </c>
      <c r="G214" s="9" t="s">
        <v>80</v>
      </c>
      <c r="H214" s="9" t="s">
        <v>80</v>
      </c>
      <c r="I214" s="9" t="s">
        <v>80</v>
      </c>
      <c r="J214" s="9"/>
      <c r="K214" s="58"/>
      <c r="L214" s="9" t="s">
        <v>84</v>
      </c>
      <c r="M214" s="9" t="s">
        <v>82</v>
      </c>
      <c r="N214" s="9" t="s">
        <v>84</v>
      </c>
      <c r="O214" s="9" t="s">
        <v>84</v>
      </c>
      <c r="P214" s="9"/>
    </row>
    <row r="215" spans="1:16" x14ac:dyDescent="0.2">
      <c r="A215" s="11">
        <v>214</v>
      </c>
      <c r="B215" s="9" t="s">
        <v>111</v>
      </c>
      <c r="C215" s="9"/>
      <c r="D215" s="9" t="s">
        <v>80</v>
      </c>
      <c r="E215" s="58"/>
      <c r="F215" s="9" t="s">
        <v>84</v>
      </c>
      <c r="G215" s="9" t="s">
        <v>82</v>
      </c>
      <c r="H215" s="9" t="s">
        <v>84</v>
      </c>
      <c r="I215" s="9" t="s">
        <v>84</v>
      </c>
      <c r="J215" s="9"/>
      <c r="K215" s="58"/>
      <c r="L215" s="9" t="s">
        <v>80</v>
      </c>
      <c r="M215" s="9" t="s">
        <v>80</v>
      </c>
      <c r="N215" s="9" t="s">
        <v>80</v>
      </c>
      <c r="O215" s="9" t="s">
        <v>80</v>
      </c>
      <c r="P215" s="9"/>
    </row>
    <row r="216" spans="1:16" x14ac:dyDescent="0.2">
      <c r="A216" s="11">
        <v>215</v>
      </c>
      <c r="B216" s="32" t="s">
        <v>91</v>
      </c>
      <c r="C216" s="32"/>
      <c r="D216" s="32" t="s">
        <v>80</v>
      </c>
      <c r="E216" s="32"/>
      <c r="F216" s="32" t="s">
        <v>80</v>
      </c>
      <c r="G216" s="32" t="s">
        <v>80</v>
      </c>
      <c r="H216" s="32" t="s">
        <v>80</v>
      </c>
      <c r="I216" s="32" t="s">
        <v>80</v>
      </c>
      <c r="J216" s="32"/>
      <c r="K216" s="32"/>
      <c r="L216" s="32" t="s">
        <v>84</v>
      </c>
      <c r="M216" s="32" t="s">
        <v>84</v>
      </c>
      <c r="N216" s="32" t="s">
        <v>84</v>
      </c>
      <c r="O216" s="32" t="s">
        <v>84</v>
      </c>
      <c r="P216" s="32"/>
    </row>
    <row r="217" spans="1:16" x14ac:dyDescent="0.2">
      <c r="A217" s="11">
        <v>216</v>
      </c>
      <c r="B217" s="9" t="s">
        <v>91</v>
      </c>
      <c r="C217" s="9"/>
      <c r="D217" s="9" t="s">
        <v>80</v>
      </c>
      <c r="E217" s="58"/>
      <c r="F217" s="9" t="s">
        <v>80</v>
      </c>
      <c r="G217" s="9" t="s">
        <v>80</v>
      </c>
      <c r="H217" s="9" t="s">
        <v>80</v>
      </c>
      <c r="I217" s="9" t="s">
        <v>80</v>
      </c>
      <c r="J217" s="9"/>
      <c r="K217" s="58"/>
      <c r="L217" s="9" t="s">
        <v>84</v>
      </c>
      <c r="M217" s="9" t="s">
        <v>82</v>
      </c>
      <c r="N217" s="9" t="s">
        <v>82</v>
      </c>
      <c r="O217" s="9" t="s">
        <v>82</v>
      </c>
      <c r="P217" s="9"/>
    </row>
    <row r="218" spans="1:16" x14ac:dyDescent="0.2">
      <c r="A218" s="11">
        <v>217</v>
      </c>
      <c r="B218" s="9" t="s">
        <v>111</v>
      </c>
      <c r="C218" s="9"/>
      <c r="D218" s="9" t="s">
        <v>80</v>
      </c>
      <c r="E218" s="58"/>
      <c r="F218" s="9" t="s">
        <v>84</v>
      </c>
      <c r="G218" s="9" t="s">
        <v>82</v>
      </c>
      <c r="H218" s="9" t="s">
        <v>82</v>
      </c>
      <c r="I218" s="9" t="s">
        <v>84</v>
      </c>
      <c r="J218" s="9"/>
      <c r="K218" s="58"/>
      <c r="L218" s="9" t="s">
        <v>80</v>
      </c>
      <c r="M218" s="9" t="s">
        <v>80</v>
      </c>
      <c r="N218" s="9" t="s">
        <v>80</v>
      </c>
      <c r="O218" s="9" t="s">
        <v>80</v>
      </c>
      <c r="P218" s="9"/>
    </row>
    <row r="219" spans="1:16" x14ac:dyDescent="0.2">
      <c r="A219" s="11">
        <v>218</v>
      </c>
      <c r="B219" s="9" t="s">
        <v>111</v>
      </c>
      <c r="C219" s="9"/>
      <c r="D219" s="9" t="s">
        <v>80</v>
      </c>
      <c r="E219" s="58"/>
      <c r="F219" s="9" t="s">
        <v>84</v>
      </c>
      <c r="G219" s="9" t="s">
        <v>84</v>
      </c>
      <c r="H219" s="9" t="s">
        <v>84</v>
      </c>
      <c r="I219" s="9" t="s">
        <v>84</v>
      </c>
      <c r="J219" s="9"/>
      <c r="K219" s="58"/>
      <c r="L219" s="9" t="s">
        <v>80</v>
      </c>
      <c r="M219" s="9" t="s">
        <v>80</v>
      </c>
      <c r="N219" s="9" t="s">
        <v>80</v>
      </c>
      <c r="O219" s="9" t="s">
        <v>80</v>
      </c>
      <c r="P219" s="9"/>
    </row>
    <row r="220" spans="1:16" x14ac:dyDescent="0.2">
      <c r="A220" s="11">
        <v>219</v>
      </c>
      <c r="B220" s="9" t="s">
        <v>91</v>
      </c>
      <c r="C220" s="9"/>
      <c r="D220" s="9" t="s">
        <v>80</v>
      </c>
      <c r="E220" s="58"/>
      <c r="F220" s="9" t="s">
        <v>80</v>
      </c>
      <c r="G220" s="9" t="s">
        <v>80</v>
      </c>
      <c r="H220" s="9" t="s">
        <v>80</v>
      </c>
      <c r="I220" s="9" t="s">
        <v>80</v>
      </c>
      <c r="J220" s="9"/>
      <c r="K220" s="58"/>
      <c r="L220" s="9" t="s">
        <v>84</v>
      </c>
      <c r="M220" s="9" t="s">
        <v>84</v>
      </c>
      <c r="N220" s="9" t="s">
        <v>84</v>
      </c>
      <c r="O220" s="9" t="s">
        <v>84</v>
      </c>
      <c r="P220" s="9"/>
    </row>
    <row r="221" spans="1:16" x14ac:dyDescent="0.2">
      <c r="A221" s="11">
        <v>220</v>
      </c>
      <c r="B221" s="9" t="s">
        <v>91</v>
      </c>
      <c r="C221" s="9"/>
      <c r="D221" s="9" t="s">
        <v>80</v>
      </c>
      <c r="E221" s="58"/>
      <c r="F221" s="9" t="s">
        <v>80</v>
      </c>
      <c r="G221" s="9" t="s">
        <v>80</v>
      </c>
      <c r="H221" s="9" t="s">
        <v>80</v>
      </c>
      <c r="I221" s="9" t="s">
        <v>80</v>
      </c>
      <c r="J221" s="9"/>
      <c r="K221" s="58"/>
      <c r="L221" s="9" t="s">
        <v>84</v>
      </c>
      <c r="M221" s="9" t="s">
        <v>82</v>
      </c>
      <c r="N221" s="9" t="s">
        <v>82</v>
      </c>
      <c r="O221" s="9" t="s">
        <v>82</v>
      </c>
      <c r="P221" s="9"/>
    </row>
    <row r="222" spans="1:16" x14ac:dyDescent="0.2">
      <c r="A222" s="11">
        <v>221</v>
      </c>
      <c r="B222" s="9" t="s">
        <v>111</v>
      </c>
      <c r="C222" s="9"/>
      <c r="D222" s="9" t="s">
        <v>80</v>
      </c>
      <c r="E222" s="58"/>
      <c r="F222" s="9" t="s">
        <v>84</v>
      </c>
      <c r="G222" s="9" t="s">
        <v>82</v>
      </c>
      <c r="H222" s="9" t="s">
        <v>82</v>
      </c>
      <c r="I222" s="9" t="s">
        <v>82</v>
      </c>
      <c r="J222" s="9"/>
      <c r="K222" s="58"/>
      <c r="L222" s="9" t="s">
        <v>80</v>
      </c>
      <c r="M222" s="9" t="s">
        <v>80</v>
      </c>
      <c r="N222" s="9" t="s">
        <v>80</v>
      </c>
      <c r="O222" s="9" t="s">
        <v>80</v>
      </c>
      <c r="P222" s="9"/>
    </row>
    <row r="223" spans="1:16" x14ac:dyDescent="0.2">
      <c r="A223" s="11">
        <v>222</v>
      </c>
      <c r="B223" s="9" t="s">
        <v>91</v>
      </c>
      <c r="C223" s="9"/>
      <c r="D223" s="9" t="s">
        <v>80</v>
      </c>
      <c r="E223" s="58"/>
      <c r="F223" s="9" t="s">
        <v>80</v>
      </c>
      <c r="G223" s="9" t="s">
        <v>80</v>
      </c>
      <c r="H223" s="9" t="s">
        <v>80</v>
      </c>
      <c r="I223" s="9" t="s">
        <v>80</v>
      </c>
      <c r="J223" s="9"/>
      <c r="K223" s="58"/>
      <c r="L223" s="9" t="s">
        <v>84</v>
      </c>
      <c r="M223" s="9" t="s">
        <v>82</v>
      </c>
      <c r="N223" s="9" t="s">
        <v>82</v>
      </c>
      <c r="O223" s="9" t="s">
        <v>84</v>
      </c>
      <c r="P223" s="9"/>
    </row>
    <row r="224" spans="1:16" x14ac:dyDescent="0.2">
      <c r="A224" s="11">
        <v>223</v>
      </c>
      <c r="B224" s="32" t="s">
        <v>91</v>
      </c>
      <c r="C224" s="32"/>
      <c r="D224" s="32" t="s">
        <v>80</v>
      </c>
      <c r="E224" s="32"/>
      <c r="F224" s="32" t="s">
        <v>80</v>
      </c>
      <c r="G224" s="32" t="s">
        <v>80</v>
      </c>
      <c r="H224" s="32" t="s">
        <v>80</v>
      </c>
      <c r="I224" s="32" t="s">
        <v>80</v>
      </c>
      <c r="J224" s="32"/>
      <c r="K224" s="32"/>
      <c r="L224" s="32" t="s">
        <v>84</v>
      </c>
      <c r="M224" s="32" t="s">
        <v>84</v>
      </c>
      <c r="N224" s="32" t="s">
        <v>84</v>
      </c>
      <c r="O224" s="32" t="s">
        <v>84</v>
      </c>
      <c r="P224" s="32"/>
    </row>
    <row r="225" spans="1:16" x14ac:dyDescent="0.2">
      <c r="A225" s="11">
        <v>224</v>
      </c>
      <c r="B225" s="9" t="s">
        <v>91</v>
      </c>
      <c r="C225" s="9"/>
      <c r="D225" s="9" t="s">
        <v>80</v>
      </c>
      <c r="E225" s="58"/>
      <c r="F225" s="9" t="s">
        <v>80</v>
      </c>
      <c r="G225" s="9" t="s">
        <v>80</v>
      </c>
      <c r="H225" s="9" t="s">
        <v>80</v>
      </c>
      <c r="I225" s="9" t="s">
        <v>80</v>
      </c>
      <c r="J225" s="9"/>
      <c r="K225" s="58"/>
      <c r="L225" s="9" t="s">
        <v>84</v>
      </c>
      <c r="M225" s="9" t="s">
        <v>84</v>
      </c>
      <c r="N225" s="9" t="s">
        <v>82</v>
      </c>
      <c r="O225" s="9" t="s">
        <v>84</v>
      </c>
      <c r="P225" s="9"/>
    </row>
    <row r="226" spans="1:16" x14ac:dyDescent="0.2">
      <c r="A226" s="11">
        <v>225</v>
      </c>
      <c r="B226" s="9" t="s">
        <v>91</v>
      </c>
      <c r="C226" s="9"/>
      <c r="D226" s="9" t="s">
        <v>80</v>
      </c>
      <c r="E226" s="58"/>
      <c r="F226" s="9" t="s">
        <v>80</v>
      </c>
      <c r="G226" s="9" t="s">
        <v>80</v>
      </c>
      <c r="H226" s="9" t="s">
        <v>80</v>
      </c>
      <c r="I226" s="9" t="s">
        <v>80</v>
      </c>
      <c r="J226" s="9"/>
      <c r="K226" s="58"/>
      <c r="L226" s="9" t="s">
        <v>84</v>
      </c>
      <c r="M226" s="9" t="s">
        <v>84</v>
      </c>
      <c r="N226" s="9" t="s">
        <v>84</v>
      </c>
      <c r="O226" s="9" t="s">
        <v>84</v>
      </c>
      <c r="P226" s="9"/>
    </row>
    <row r="227" spans="1:16" x14ac:dyDescent="0.2">
      <c r="A227" s="11">
        <v>226</v>
      </c>
      <c r="B227" s="9" t="s">
        <v>91</v>
      </c>
      <c r="C227" s="9"/>
      <c r="D227" s="9" t="s">
        <v>80</v>
      </c>
      <c r="E227" s="58"/>
      <c r="F227" s="9" t="s">
        <v>80</v>
      </c>
      <c r="G227" s="9" t="s">
        <v>80</v>
      </c>
      <c r="H227" s="9" t="s">
        <v>80</v>
      </c>
      <c r="I227" s="9" t="s">
        <v>80</v>
      </c>
      <c r="J227" s="9"/>
      <c r="K227" s="58"/>
      <c r="L227" s="9" t="s">
        <v>84</v>
      </c>
      <c r="M227" s="9" t="s">
        <v>84</v>
      </c>
      <c r="N227" s="9" t="s">
        <v>84</v>
      </c>
      <c r="O227" s="9" t="s">
        <v>84</v>
      </c>
      <c r="P227" s="9"/>
    </row>
    <row r="228" spans="1:16" x14ac:dyDescent="0.2">
      <c r="A228" s="11">
        <v>227</v>
      </c>
      <c r="B228" s="9" t="s">
        <v>91</v>
      </c>
      <c r="C228" s="9"/>
      <c r="D228" s="9" t="s">
        <v>80</v>
      </c>
      <c r="E228" s="58"/>
      <c r="F228" s="9" t="s">
        <v>80</v>
      </c>
      <c r="G228" s="9" t="s">
        <v>80</v>
      </c>
      <c r="H228" s="9" t="s">
        <v>80</v>
      </c>
      <c r="I228" s="9" t="s">
        <v>80</v>
      </c>
      <c r="J228" s="9"/>
      <c r="K228" s="58"/>
      <c r="L228" s="9" t="s">
        <v>84</v>
      </c>
      <c r="M228" s="9" t="s">
        <v>84</v>
      </c>
      <c r="N228" s="9" t="s">
        <v>84</v>
      </c>
      <c r="O228" s="9" t="s">
        <v>84</v>
      </c>
      <c r="P228" s="9"/>
    </row>
    <row r="229" spans="1:16" x14ac:dyDescent="0.2">
      <c r="A229" s="11">
        <v>228</v>
      </c>
      <c r="B229" s="9" t="s">
        <v>111</v>
      </c>
      <c r="C229" s="9"/>
      <c r="D229" s="9" t="s">
        <v>80</v>
      </c>
      <c r="E229" s="58"/>
      <c r="F229" s="9" t="s">
        <v>84</v>
      </c>
      <c r="G229" s="9" t="s">
        <v>84</v>
      </c>
      <c r="H229" s="9" t="s">
        <v>82</v>
      </c>
      <c r="I229" s="9" t="s">
        <v>84</v>
      </c>
      <c r="J229" s="9"/>
      <c r="K229" s="58"/>
      <c r="L229" s="9" t="s">
        <v>80</v>
      </c>
      <c r="M229" s="9" t="s">
        <v>80</v>
      </c>
      <c r="N229" s="9" t="s">
        <v>80</v>
      </c>
      <c r="O229" s="9" t="s">
        <v>80</v>
      </c>
      <c r="P229" s="9"/>
    </row>
    <row r="230" spans="1:16" x14ac:dyDescent="0.2">
      <c r="A230" s="11">
        <v>229</v>
      </c>
      <c r="B230" s="9" t="s">
        <v>91</v>
      </c>
      <c r="C230" s="9"/>
      <c r="D230" s="9" t="s">
        <v>80</v>
      </c>
      <c r="E230" s="58"/>
      <c r="F230" s="9" t="s">
        <v>80</v>
      </c>
      <c r="G230" s="9" t="s">
        <v>80</v>
      </c>
      <c r="H230" s="9" t="s">
        <v>80</v>
      </c>
      <c r="I230" s="9" t="s">
        <v>80</v>
      </c>
      <c r="J230" s="9"/>
      <c r="K230" s="58"/>
      <c r="L230" s="9" t="s">
        <v>84</v>
      </c>
      <c r="M230" s="9" t="s">
        <v>82</v>
      </c>
      <c r="N230" s="9" t="s">
        <v>82</v>
      </c>
      <c r="O230" s="9" t="s">
        <v>84</v>
      </c>
      <c r="P230" s="9"/>
    </row>
    <row r="231" spans="1:16" x14ac:dyDescent="0.2">
      <c r="A231" s="11">
        <v>230</v>
      </c>
      <c r="B231" s="9" t="s">
        <v>91</v>
      </c>
      <c r="C231" s="9"/>
      <c r="D231" s="9" t="s">
        <v>80</v>
      </c>
      <c r="E231" s="58"/>
      <c r="F231" s="9" t="s">
        <v>80</v>
      </c>
      <c r="G231" s="9" t="s">
        <v>80</v>
      </c>
      <c r="H231" s="9" t="s">
        <v>80</v>
      </c>
      <c r="I231" s="9" t="s">
        <v>80</v>
      </c>
      <c r="J231" s="9"/>
      <c r="K231" s="58"/>
      <c r="L231" s="9" t="s">
        <v>84</v>
      </c>
      <c r="M231" s="9" t="s">
        <v>82</v>
      </c>
      <c r="N231" s="9" t="s">
        <v>82</v>
      </c>
      <c r="O231" s="9" t="s">
        <v>84</v>
      </c>
      <c r="P231" s="9"/>
    </row>
    <row r="232" spans="1:16" x14ac:dyDescent="0.2">
      <c r="A232" s="11">
        <v>231</v>
      </c>
      <c r="B232" s="9" t="s">
        <v>91</v>
      </c>
      <c r="C232" s="9"/>
      <c r="D232" s="9" t="s">
        <v>80</v>
      </c>
      <c r="E232" s="58"/>
      <c r="F232" s="9" t="s">
        <v>80</v>
      </c>
      <c r="G232" s="9" t="s">
        <v>80</v>
      </c>
      <c r="H232" s="9" t="s">
        <v>80</v>
      </c>
      <c r="I232" s="9" t="s">
        <v>80</v>
      </c>
      <c r="J232" s="9"/>
      <c r="K232" s="58"/>
      <c r="L232" s="9" t="s">
        <v>84</v>
      </c>
      <c r="M232" s="9" t="s">
        <v>82</v>
      </c>
      <c r="N232" s="9" t="s">
        <v>82</v>
      </c>
      <c r="O232" s="9" t="s">
        <v>84</v>
      </c>
      <c r="P232" s="9"/>
    </row>
    <row r="233" spans="1:16" x14ac:dyDescent="0.2">
      <c r="A233" s="11">
        <v>232</v>
      </c>
      <c r="B233" s="9" t="s">
        <v>111</v>
      </c>
      <c r="C233" s="9"/>
      <c r="D233" s="9" t="s">
        <v>80</v>
      </c>
      <c r="E233" s="58"/>
      <c r="F233" s="9" t="s">
        <v>84</v>
      </c>
      <c r="G233" s="9" t="s">
        <v>82</v>
      </c>
      <c r="H233" s="9" t="s">
        <v>84</v>
      </c>
      <c r="I233" s="9" t="s">
        <v>84</v>
      </c>
      <c r="J233" s="9"/>
      <c r="K233" s="58"/>
      <c r="L233" s="9" t="s">
        <v>80</v>
      </c>
      <c r="M233" s="9" t="s">
        <v>80</v>
      </c>
      <c r="N233" s="9" t="s">
        <v>80</v>
      </c>
      <c r="O233" s="9" t="s">
        <v>80</v>
      </c>
      <c r="P233" s="9"/>
    </row>
    <row r="234" spans="1:16" x14ac:dyDescent="0.2">
      <c r="A234" s="11">
        <v>233</v>
      </c>
      <c r="B234" s="9" t="s">
        <v>111</v>
      </c>
      <c r="C234" s="9"/>
      <c r="D234" s="9" t="s">
        <v>80</v>
      </c>
      <c r="E234" s="58"/>
      <c r="F234" s="9" t="s">
        <v>84</v>
      </c>
      <c r="G234" s="9" t="s">
        <v>82</v>
      </c>
      <c r="H234" s="9" t="s">
        <v>82</v>
      </c>
      <c r="I234" s="9" t="s">
        <v>84</v>
      </c>
      <c r="J234" s="9"/>
      <c r="K234" s="58"/>
      <c r="L234" s="9" t="s">
        <v>80</v>
      </c>
      <c r="M234" s="9" t="s">
        <v>80</v>
      </c>
      <c r="N234" s="9" t="s">
        <v>80</v>
      </c>
      <c r="O234" s="9" t="s">
        <v>80</v>
      </c>
      <c r="P234" s="9"/>
    </row>
    <row r="235" spans="1:16" x14ac:dyDescent="0.2">
      <c r="A235" s="11">
        <v>234</v>
      </c>
      <c r="B235" s="9" t="s">
        <v>91</v>
      </c>
      <c r="C235" s="9"/>
      <c r="D235" s="9" t="s">
        <v>80</v>
      </c>
      <c r="E235" s="58"/>
      <c r="F235" s="9" t="s">
        <v>80</v>
      </c>
      <c r="G235" s="9" t="s">
        <v>80</v>
      </c>
      <c r="H235" s="9" t="s">
        <v>80</v>
      </c>
      <c r="I235" s="9" t="s">
        <v>80</v>
      </c>
      <c r="J235" s="9"/>
      <c r="K235" s="58"/>
      <c r="L235" s="9" t="s">
        <v>84</v>
      </c>
      <c r="M235" s="9" t="s">
        <v>82</v>
      </c>
      <c r="N235" s="9" t="s">
        <v>84</v>
      </c>
      <c r="O235" s="9" t="s">
        <v>82</v>
      </c>
      <c r="P235" s="9"/>
    </row>
    <row r="236" spans="1:16" x14ac:dyDescent="0.2">
      <c r="A236" s="11">
        <v>235</v>
      </c>
      <c r="B236" s="9" t="s">
        <v>91</v>
      </c>
      <c r="C236" s="9"/>
      <c r="D236" s="9" t="s">
        <v>80</v>
      </c>
      <c r="E236" s="58"/>
      <c r="F236" s="9" t="s">
        <v>80</v>
      </c>
      <c r="G236" s="9" t="s">
        <v>80</v>
      </c>
      <c r="H236" s="9" t="s">
        <v>80</v>
      </c>
      <c r="I236" s="9" t="s">
        <v>80</v>
      </c>
      <c r="J236" s="9"/>
      <c r="K236" s="58"/>
      <c r="L236" s="9" t="s">
        <v>84</v>
      </c>
      <c r="M236" s="9" t="s">
        <v>82</v>
      </c>
      <c r="N236" s="9" t="s">
        <v>84</v>
      </c>
      <c r="O236" s="9" t="s">
        <v>84</v>
      </c>
      <c r="P236" s="9"/>
    </row>
    <row r="237" spans="1:16" x14ac:dyDescent="0.2">
      <c r="A237" s="11">
        <v>236</v>
      </c>
      <c r="B237" s="9" t="s">
        <v>91</v>
      </c>
      <c r="C237" s="9"/>
      <c r="D237" s="9" t="s">
        <v>80</v>
      </c>
      <c r="E237" s="58"/>
      <c r="F237" s="9" t="s">
        <v>80</v>
      </c>
      <c r="G237" s="9" t="s">
        <v>80</v>
      </c>
      <c r="H237" s="9" t="s">
        <v>80</v>
      </c>
      <c r="I237" s="9" t="s">
        <v>80</v>
      </c>
      <c r="J237" s="9"/>
      <c r="K237" s="58"/>
      <c r="L237" s="9" t="s">
        <v>84</v>
      </c>
      <c r="M237" s="9" t="s">
        <v>84</v>
      </c>
      <c r="N237" s="9" t="s">
        <v>82</v>
      </c>
      <c r="O237" s="9" t="s">
        <v>84</v>
      </c>
      <c r="P237" s="9"/>
    </row>
    <row r="238" spans="1:16" x14ac:dyDescent="0.2">
      <c r="A238" s="11">
        <v>237</v>
      </c>
      <c r="B238" s="9" t="s">
        <v>111</v>
      </c>
      <c r="C238" s="9"/>
      <c r="D238" s="9" t="s">
        <v>80</v>
      </c>
      <c r="E238" s="58"/>
      <c r="F238" s="9" t="s">
        <v>82</v>
      </c>
      <c r="G238" s="9" t="s">
        <v>82</v>
      </c>
      <c r="H238" s="9" t="s">
        <v>84</v>
      </c>
      <c r="I238" s="9" t="s">
        <v>84</v>
      </c>
      <c r="J238" s="9"/>
      <c r="K238" s="58"/>
      <c r="L238" s="9" t="s">
        <v>80</v>
      </c>
      <c r="M238" s="9" t="s">
        <v>80</v>
      </c>
      <c r="N238" s="9" t="s">
        <v>80</v>
      </c>
      <c r="O238" s="9" t="s">
        <v>80</v>
      </c>
      <c r="P238" s="9"/>
    </row>
    <row r="239" spans="1:16" x14ac:dyDescent="0.2">
      <c r="A239" s="11">
        <v>238</v>
      </c>
      <c r="B239" s="9" t="s">
        <v>91</v>
      </c>
      <c r="C239" s="9"/>
      <c r="D239" s="9" t="s">
        <v>80</v>
      </c>
      <c r="E239" s="58"/>
      <c r="F239" s="9" t="s">
        <v>80</v>
      </c>
      <c r="G239" s="9" t="s">
        <v>80</v>
      </c>
      <c r="H239" s="9" t="s">
        <v>80</v>
      </c>
      <c r="I239" s="9" t="s">
        <v>80</v>
      </c>
      <c r="J239" s="9"/>
      <c r="K239" s="58"/>
      <c r="L239" s="9" t="s">
        <v>84</v>
      </c>
      <c r="M239" s="9" t="s">
        <v>84</v>
      </c>
      <c r="N239" s="9" t="s">
        <v>84</v>
      </c>
      <c r="O239" s="9" t="s">
        <v>84</v>
      </c>
      <c r="P239" s="9"/>
    </row>
    <row r="240" spans="1:16" x14ac:dyDescent="0.2">
      <c r="A240" s="11">
        <v>239</v>
      </c>
      <c r="B240" s="9" t="s">
        <v>91</v>
      </c>
      <c r="C240" s="9"/>
      <c r="D240" s="9" t="s">
        <v>80</v>
      </c>
      <c r="E240" s="58"/>
      <c r="F240" s="9" t="s">
        <v>80</v>
      </c>
      <c r="G240" s="9" t="s">
        <v>80</v>
      </c>
      <c r="H240" s="9" t="s">
        <v>80</v>
      </c>
      <c r="I240" s="9" t="s">
        <v>80</v>
      </c>
      <c r="J240" s="9"/>
      <c r="K240" s="58"/>
      <c r="L240" s="9" t="s">
        <v>84</v>
      </c>
      <c r="M240" s="9" t="s">
        <v>84</v>
      </c>
      <c r="N240" s="9" t="s">
        <v>84</v>
      </c>
      <c r="O240" s="9" t="s">
        <v>84</v>
      </c>
      <c r="P240" s="9"/>
    </row>
    <row r="241" spans="1:16" x14ac:dyDescent="0.2">
      <c r="A241" s="11">
        <v>240</v>
      </c>
      <c r="B241" s="32" t="s">
        <v>91</v>
      </c>
      <c r="C241" s="32"/>
      <c r="D241" s="32" t="s">
        <v>80</v>
      </c>
      <c r="E241" s="58"/>
      <c r="F241" s="32" t="s">
        <v>80</v>
      </c>
      <c r="G241" s="32" t="s">
        <v>80</v>
      </c>
      <c r="H241" s="32" t="s">
        <v>80</v>
      </c>
      <c r="I241" s="32" t="s">
        <v>80</v>
      </c>
      <c r="J241" s="32"/>
      <c r="K241" s="58"/>
      <c r="L241" s="32" t="s">
        <v>84</v>
      </c>
      <c r="M241" s="32" t="s">
        <v>82</v>
      </c>
      <c r="N241" s="32" t="s">
        <v>84</v>
      </c>
      <c r="O241" s="32" t="s">
        <v>84</v>
      </c>
      <c r="P241" s="32"/>
    </row>
    <row r="242" spans="1:16" x14ac:dyDescent="0.2">
      <c r="A242" s="11">
        <v>241</v>
      </c>
      <c r="B242" s="9" t="s">
        <v>91</v>
      </c>
      <c r="C242" s="9"/>
      <c r="D242" s="9" t="s">
        <v>80</v>
      </c>
      <c r="E242" s="58"/>
      <c r="F242" s="9" t="s">
        <v>80</v>
      </c>
      <c r="G242" s="9" t="s">
        <v>80</v>
      </c>
      <c r="H242" s="9" t="s">
        <v>80</v>
      </c>
      <c r="I242" s="9" t="s">
        <v>80</v>
      </c>
      <c r="J242" s="9"/>
      <c r="K242" s="58"/>
      <c r="L242" s="9" t="s">
        <v>84</v>
      </c>
      <c r="M242" s="9" t="s">
        <v>84</v>
      </c>
      <c r="N242" s="9" t="s">
        <v>84</v>
      </c>
      <c r="O242" s="9" t="s">
        <v>84</v>
      </c>
      <c r="P242" s="9"/>
    </row>
    <row r="243" spans="1:16" x14ac:dyDescent="0.2">
      <c r="A243" s="11">
        <v>242</v>
      </c>
      <c r="B243" s="9" t="s">
        <v>91</v>
      </c>
      <c r="C243" s="9"/>
      <c r="D243" s="9" t="s">
        <v>80</v>
      </c>
      <c r="E243" s="58"/>
      <c r="F243" s="9" t="s">
        <v>80</v>
      </c>
      <c r="G243" s="9" t="s">
        <v>80</v>
      </c>
      <c r="H243" s="9" t="s">
        <v>80</v>
      </c>
      <c r="I243" s="9" t="s">
        <v>80</v>
      </c>
      <c r="J243" s="9"/>
      <c r="K243" s="58"/>
      <c r="L243" s="9" t="s">
        <v>84</v>
      </c>
      <c r="M243" s="9" t="s">
        <v>82</v>
      </c>
      <c r="N243" s="9" t="s">
        <v>84</v>
      </c>
      <c r="O243" s="9" t="s">
        <v>84</v>
      </c>
      <c r="P243" s="9"/>
    </row>
    <row r="244" spans="1:16" x14ac:dyDescent="0.2">
      <c r="A244" s="11">
        <v>243</v>
      </c>
      <c r="B244" s="9" t="s">
        <v>111</v>
      </c>
      <c r="C244" s="9"/>
      <c r="D244" s="9" t="s">
        <v>80</v>
      </c>
      <c r="E244" s="58"/>
      <c r="F244" s="9" t="s">
        <v>84</v>
      </c>
      <c r="G244" s="9" t="s">
        <v>84</v>
      </c>
      <c r="H244" s="9" t="s">
        <v>84</v>
      </c>
      <c r="I244" s="9" t="s">
        <v>82</v>
      </c>
      <c r="J244" s="9"/>
      <c r="K244" s="58"/>
      <c r="L244" s="9" t="s">
        <v>80</v>
      </c>
      <c r="M244" s="9" t="s">
        <v>80</v>
      </c>
      <c r="N244" s="9" t="s">
        <v>80</v>
      </c>
      <c r="O244" s="9" t="s">
        <v>80</v>
      </c>
      <c r="P244" s="9"/>
    </row>
    <row r="245" spans="1:16" x14ac:dyDescent="0.2">
      <c r="A245" s="11">
        <v>244</v>
      </c>
      <c r="B245" s="9" t="s">
        <v>91</v>
      </c>
      <c r="C245" s="9"/>
      <c r="D245" s="9" t="s">
        <v>80</v>
      </c>
      <c r="E245" s="58"/>
      <c r="F245" s="9" t="s">
        <v>80</v>
      </c>
      <c r="G245" s="9" t="s">
        <v>80</v>
      </c>
      <c r="H245" s="9" t="s">
        <v>80</v>
      </c>
      <c r="I245" s="9" t="s">
        <v>80</v>
      </c>
      <c r="J245" s="9"/>
      <c r="K245" s="58"/>
      <c r="L245" s="9" t="s">
        <v>84</v>
      </c>
      <c r="M245" s="9" t="s">
        <v>84</v>
      </c>
      <c r="N245" s="9" t="s">
        <v>82</v>
      </c>
      <c r="O245" s="9" t="s">
        <v>84</v>
      </c>
      <c r="P245" s="9"/>
    </row>
    <row r="246" spans="1:16" x14ac:dyDescent="0.2">
      <c r="A246" s="11">
        <v>245</v>
      </c>
      <c r="B246" s="9" t="s">
        <v>91</v>
      </c>
      <c r="C246" s="9"/>
      <c r="D246" s="9" t="s">
        <v>80</v>
      </c>
      <c r="E246" s="58"/>
      <c r="F246" s="9" t="s">
        <v>80</v>
      </c>
      <c r="G246" s="9" t="s">
        <v>80</v>
      </c>
      <c r="H246" s="9" t="s">
        <v>80</v>
      </c>
      <c r="I246" s="9" t="s">
        <v>80</v>
      </c>
      <c r="J246" s="9"/>
      <c r="K246" s="58"/>
      <c r="L246" s="9" t="s">
        <v>84</v>
      </c>
      <c r="M246" s="9" t="s">
        <v>84</v>
      </c>
      <c r="N246" s="9" t="s">
        <v>84</v>
      </c>
      <c r="O246" s="9" t="s">
        <v>84</v>
      </c>
      <c r="P246" s="9"/>
    </row>
    <row r="247" spans="1:16" x14ac:dyDescent="0.2">
      <c r="A247" s="11">
        <v>246</v>
      </c>
      <c r="B247" s="9" t="s">
        <v>111</v>
      </c>
      <c r="C247" s="9"/>
      <c r="D247" s="9" t="s">
        <v>80</v>
      </c>
      <c r="E247" s="58"/>
      <c r="F247" s="9" t="s">
        <v>84</v>
      </c>
      <c r="G247" s="9" t="s">
        <v>82</v>
      </c>
      <c r="H247" s="9" t="s">
        <v>82</v>
      </c>
      <c r="I247" s="9" t="s">
        <v>84</v>
      </c>
      <c r="J247" s="9"/>
      <c r="K247" s="58"/>
      <c r="L247" s="9" t="s">
        <v>80</v>
      </c>
      <c r="M247" s="9" t="s">
        <v>80</v>
      </c>
      <c r="N247" s="9" t="s">
        <v>80</v>
      </c>
      <c r="O247" s="9" t="s">
        <v>80</v>
      </c>
      <c r="P247" s="9"/>
    </row>
    <row r="248" spans="1:16" x14ac:dyDescent="0.2">
      <c r="A248" s="11">
        <v>247</v>
      </c>
      <c r="B248" s="9" t="s">
        <v>91</v>
      </c>
      <c r="C248" s="9"/>
      <c r="D248" s="9" t="s">
        <v>80</v>
      </c>
      <c r="E248" s="58"/>
      <c r="F248" s="9" t="s">
        <v>80</v>
      </c>
      <c r="G248" s="9" t="s">
        <v>80</v>
      </c>
      <c r="H248" s="9" t="s">
        <v>80</v>
      </c>
      <c r="I248" s="9" t="s">
        <v>80</v>
      </c>
      <c r="J248" s="9"/>
      <c r="K248" s="58"/>
      <c r="L248" s="9" t="s">
        <v>84</v>
      </c>
      <c r="M248" s="9" t="s">
        <v>82</v>
      </c>
      <c r="N248" s="9" t="s">
        <v>82</v>
      </c>
      <c r="O248" s="9" t="s">
        <v>84</v>
      </c>
      <c r="P248" s="9"/>
    </row>
    <row r="249" spans="1:16" x14ac:dyDescent="0.2">
      <c r="A249" s="11">
        <v>248</v>
      </c>
      <c r="B249" s="9" t="s">
        <v>111</v>
      </c>
      <c r="C249" s="9"/>
      <c r="D249" s="9" t="s">
        <v>80</v>
      </c>
      <c r="E249" s="58"/>
      <c r="F249" s="9" t="s">
        <v>84</v>
      </c>
      <c r="G249" s="9" t="s">
        <v>82</v>
      </c>
      <c r="H249" s="9" t="s">
        <v>84</v>
      </c>
      <c r="I249" s="9" t="s">
        <v>84</v>
      </c>
      <c r="J249" s="9" t="s">
        <v>2935</v>
      </c>
      <c r="K249" s="58"/>
      <c r="L249" s="9" t="s">
        <v>80</v>
      </c>
      <c r="M249" s="9" t="s">
        <v>80</v>
      </c>
      <c r="N249" s="9" t="s">
        <v>80</v>
      </c>
      <c r="O249" s="9" t="s">
        <v>80</v>
      </c>
      <c r="P249" s="9"/>
    </row>
    <row r="250" spans="1:16" x14ac:dyDescent="0.2">
      <c r="A250" s="11">
        <v>249</v>
      </c>
      <c r="B250" s="9" t="s">
        <v>91</v>
      </c>
      <c r="C250" s="9"/>
      <c r="D250" s="9" t="s">
        <v>80</v>
      </c>
      <c r="E250" s="58"/>
      <c r="F250" s="9" t="s">
        <v>80</v>
      </c>
      <c r="G250" s="9" t="s">
        <v>80</v>
      </c>
      <c r="H250" s="9" t="s">
        <v>80</v>
      </c>
      <c r="I250" s="9" t="s">
        <v>80</v>
      </c>
      <c r="J250" s="9"/>
      <c r="K250" s="58"/>
      <c r="L250" s="9" t="s">
        <v>84</v>
      </c>
      <c r="M250" s="9" t="s">
        <v>84</v>
      </c>
      <c r="N250" s="9" t="s">
        <v>82</v>
      </c>
      <c r="O250" s="9" t="s">
        <v>82</v>
      </c>
      <c r="P250" s="9"/>
    </row>
    <row r="251" spans="1:16" x14ac:dyDescent="0.2">
      <c r="A251" s="11">
        <v>250</v>
      </c>
      <c r="B251" s="9" t="s">
        <v>111</v>
      </c>
      <c r="C251" s="9"/>
      <c r="D251" s="9" t="s">
        <v>80</v>
      </c>
      <c r="E251" s="58"/>
      <c r="F251" s="9" t="s">
        <v>84</v>
      </c>
      <c r="G251" s="9" t="s">
        <v>82</v>
      </c>
      <c r="H251" s="9" t="s">
        <v>82</v>
      </c>
      <c r="I251" s="9" t="s">
        <v>84</v>
      </c>
      <c r="J251" s="9"/>
      <c r="K251" s="58"/>
      <c r="L251" s="9" t="s">
        <v>80</v>
      </c>
      <c r="M251" s="9" t="s">
        <v>80</v>
      </c>
      <c r="N251" s="9" t="s">
        <v>80</v>
      </c>
      <c r="O251" s="9" t="s">
        <v>80</v>
      </c>
      <c r="P251" s="9"/>
    </row>
    <row r="252" spans="1:16" x14ac:dyDescent="0.2">
      <c r="A252" s="11">
        <v>251</v>
      </c>
      <c r="B252" s="9" t="s">
        <v>111</v>
      </c>
      <c r="C252" s="9"/>
      <c r="D252" s="9" t="s">
        <v>80</v>
      </c>
      <c r="E252" s="58"/>
      <c r="F252" s="9" t="s">
        <v>84</v>
      </c>
      <c r="G252" s="9" t="s">
        <v>82</v>
      </c>
      <c r="H252" s="9" t="s">
        <v>82</v>
      </c>
      <c r="I252" s="9" t="s">
        <v>82</v>
      </c>
      <c r="J252" s="9"/>
      <c r="K252" s="58"/>
      <c r="L252" s="9" t="s">
        <v>80</v>
      </c>
      <c r="M252" s="9" t="s">
        <v>80</v>
      </c>
      <c r="N252" s="9" t="s">
        <v>80</v>
      </c>
      <c r="O252" s="9" t="s">
        <v>80</v>
      </c>
      <c r="P252" s="9"/>
    </row>
    <row r="253" spans="1:16" x14ac:dyDescent="0.2">
      <c r="A253" s="11">
        <v>252</v>
      </c>
      <c r="B253" s="9" t="s">
        <v>111</v>
      </c>
      <c r="C253" s="9"/>
      <c r="D253" s="9" t="s">
        <v>80</v>
      </c>
      <c r="E253" s="58"/>
      <c r="F253" s="9" t="s">
        <v>82</v>
      </c>
      <c r="G253" s="9" t="s">
        <v>82</v>
      </c>
      <c r="H253" s="9" t="s">
        <v>82</v>
      </c>
      <c r="I253" s="9" t="s">
        <v>82</v>
      </c>
      <c r="J253" s="9" t="s">
        <v>2948</v>
      </c>
      <c r="K253" s="58"/>
      <c r="L253" s="9" t="s">
        <v>80</v>
      </c>
      <c r="M253" s="9" t="s">
        <v>80</v>
      </c>
      <c r="N253" s="9" t="s">
        <v>80</v>
      </c>
      <c r="O253" s="9" t="s">
        <v>80</v>
      </c>
      <c r="P253" s="9"/>
    </row>
    <row r="254" spans="1:16" x14ac:dyDescent="0.2">
      <c r="A254" s="11">
        <v>253</v>
      </c>
      <c r="B254" s="9" t="s">
        <v>111</v>
      </c>
      <c r="C254" s="9"/>
      <c r="D254" s="9" t="s">
        <v>80</v>
      </c>
      <c r="E254" s="58"/>
      <c r="F254" s="9" t="s">
        <v>84</v>
      </c>
      <c r="G254" s="9" t="s">
        <v>84</v>
      </c>
      <c r="H254" s="9" t="s">
        <v>84</v>
      </c>
      <c r="I254" s="9" t="s">
        <v>84</v>
      </c>
      <c r="J254" s="9"/>
      <c r="K254" s="58"/>
      <c r="L254" s="9" t="s">
        <v>80</v>
      </c>
      <c r="M254" s="9" t="s">
        <v>80</v>
      </c>
      <c r="N254" s="9" t="s">
        <v>80</v>
      </c>
      <c r="O254" s="9" t="s">
        <v>80</v>
      </c>
      <c r="P254" s="9"/>
    </row>
    <row r="255" spans="1:16" x14ac:dyDescent="0.2">
      <c r="A255" s="11">
        <v>254</v>
      </c>
      <c r="B255" s="9" t="s">
        <v>111</v>
      </c>
      <c r="C255" s="9"/>
      <c r="D255" s="9" t="s">
        <v>80</v>
      </c>
      <c r="E255" s="58"/>
      <c r="F255" s="9" t="s">
        <v>84</v>
      </c>
      <c r="G255" s="9" t="s">
        <v>82</v>
      </c>
      <c r="H255" s="9" t="s">
        <v>82</v>
      </c>
      <c r="I255" s="9" t="s">
        <v>84</v>
      </c>
      <c r="J255" s="9"/>
      <c r="K255" s="58"/>
      <c r="L255" s="9" t="s">
        <v>80</v>
      </c>
      <c r="M255" s="9" t="s">
        <v>80</v>
      </c>
      <c r="N255" s="9" t="s">
        <v>80</v>
      </c>
      <c r="O255" s="9" t="s">
        <v>80</v>
      </c>
      <c r="P255" s="9"/>
    </row>
    <row r="256" spans="1:16" x14ac:dyDescent="0.2">
      <c r="A256" s="11">
        <v>255</v>
      </c>
      <c r="B256" s="32" t="s">
        <v>91</v>
      </c>
      <c r="C256" s="32"/>
      <c r="D256" s="32" t="s">
        <v>80</v>
      </c>
      <c r="E256" s="58"/>
      <c r="F256" s="32" t="s">
        <v>80</v>
      </c>
      <c r="G256" s="32" t="s">
        <v>80</v>
      </c>
      <c r="H256" s="32" t="s">
        <v>80</v>
      </c>
      <c r="I256" s="32" t="s">
        <v>80</v>
      </c>
      <c r="J256" s="32"/>
      <c r="K256" s="58"/>
      <c r="L256" s="32" t="s">
        <v>84</v>
      </c>
      <c r="M256" s="32" t="s">
        <v>84</v>
      </c>
      <c r="N256" s="32" t="s">
        <v>84</v>
      </c>
      <c r="O256" s="32" t="s">
        <v>84</v>
      </c>
      <c r="P256" s="32"/>
    </row>
    <row r="257" spans="1:16" x14ac:dyDescent="0.2">
      <c r="A257" s="11">
        <v>256</v>
      </c>
      <c r="B257" s="32" t="s">
        <v>91</v>
      </c>
      <c r="C257" s="32"/>
      <c r="D257" s="32" t="s">
        <v>80</v>
      </c>
      <c r="E257" s="58"/>
      <c r="F257" s="32" t="s">
        <v>80</v>
      </c>
      <c r="G257" s="32" t="s">
        <v>80</v>
      </c>
      <c r="H257" s="32" t="s">
        <v>80</v>
      </c>
      <c r="I257" s="32" t="s">
        <v>80</v>
      </c>
      <c r="J257" s="32"/>
      <c r="K257" s="58"/>
      <c r="L257" s="32" t="s">
        <v>84</v>
      </c>
      <c r="M257" s="32" t="s">
        <v>84</v>
      </c>
      <c r="N257" s="32" t="s">
        <v>84</v>
      </c>
      <c r="O257" s="32" t="s">
        <v>84</v>
      </c>
      <c r="P257" s="32"/>
    </row>
    <row r="258" spans="1:16" x14ac:dyDescent="0.2">
      <c r="A258" s="11">
        <v>257</v>
      </c>
      <c r="B258" s="9" t="s">
        <v>91</v>
      </c>
      <c r="C258" s="9"/>
      <c r="D258" s="9" t="s">
        <v>80</v>
      </c>
      <c r="E258" s="58"/>
      <c r="F258" s="9" t="s">
        <v>80</v>
      </c>
      <c r="G258" s="9" t="s">
        <v>80</v>
      </c>
      <c r="H258" s="9" t="s">
        <v>80</v>
      </c>
      <c r="I258" s="9" t="s">
        <v>80</v>
      </c>
      <c r="J258" s="9"/>
      <c r="K258" s="58"/>
      <c r="L258" s="9" t="s">
        <v>84</v>
      </c>
      <c r="M258" s="9" t="s">
        <v>84</v>
      </c>
      <c r="N258" s="9" t="s">
        <v>84</v>
      </c>
      <c r="O258" s="9" t="s">
        <v>84</v>
      </c>
      <c r="P258" s="9"/>
    </row>
    <row r="259" spans="1:16" x14ac:dyDescent="0.2">
      <c r="A259" s="11">
        <v>258</v>
      </c>
      <c r="B259" s="9" t="s">
        <v>111</v>
      </c>
      <c r="C259" s="9"/>
      <c r="D259" s="9" t="s">
        <v>80</v>
      </c>
      <c r="E259" s="58"/>
      <c r="F259" s="9" t="s">
        <v>84</v>
      </c>
      <c r="G259" s="9" t="s">
        <v>82</v>
      </c>
      <c r="H259" s="9" t="s">
        <v>82</v>
      </c>
      <c r="I259" s="9" t="s">
        <v>84</v>
      </c>
      <c r="J259" s="9"/>
      <c r="K259" s="58"/>
      <c r="L259" s="9" t="s">
        <v>80</v>
      </c>
      <c r="M259" s="9" t="s">
        <v>80</v>
      </c>
      <c r="N259" s="9" t="s">
        <v>80</v>
      </c>
      <c r="O259" s="9" t="s">
        <v>80</v>
      </c>
      <c r="P259" s="9"/>
    </row>
    <row r="260" spans="1:16" x14ac:dyDescent="0.2">
      <c r="A260" s="11">
        <v>259</v>
      </c>
      <c r="B260" s="9" t="s">
        <v>91</v>
      </c>
      <c r="C260" s="9"/>
      <c r="D260" s="9" t="s">
        <v>80</v>
      </c>
      <c r="E260" s="58"/>
      <c r="F260" s="9" t="s">
        <v>80</v>
      </c>
      <c r="G260" s="9" t="s">
        <v>80</v>
      </c>
      <c r="H260" s="9" t="s">
        <v>80</v>
      </c>
      <c r="I260" s="9" t="s">
        <v>80</v>
      </c>
      <c r="J260" s="9"/>
      <c r="K260" s="58"/>
      <c r="L260" s="9" t="s">
        <v>84</v>
      </c>
      <c r="M260" s="9" t="s">
        <v>84</v>
      </c>
      <c r="N260" s="9" t="s">
        <v>84</v>
      </c>
      <c r="O260" s="9" t="s">
        <v>84</v>
      </c>
      <c r="P260" s="9"/>
    </row>
    <row r="261" spans="1:16" x14ac:dyDescent="0.2">
      <c r="A261" s="11">
        <v>260</v>
      </c>
      <c r="B261" s="9" t="s">
        <v>111</v>
      </c>
      <c r="C261" s="9"/>
      <c r="D261" s="9" t="s">
        <v>80</v>
      </c>
      <c r="E261" s="58"/>
      <c r="F261" s="9" t="s">
        <v>84</v>
      </c>
      <c r="G261" s="9" t="s">
        <v>84</v>
      </c>
      <c r="H261" s="9" t="s">
        <v>84</v>
      </c>
      <c r="I261" s="9" t="s">
        <v>84</v>
      </c>
      <c r="J261" s="9"/>
      <c r="K261" s="58"/>
      <c r="L261" s="9" t="s">
        <v>80</v>
      </c>
      <c r="M261" s="9" t="s">
        <v>80</v>
      </c>
      <c r="N261" s="9" t="s">
        <v>80</v>
      </c>
      <c r="O261" s="9" t="s">
        <v>80</v>
      </c>
      <c r="P261" s="9"/>
    </row>
    <row r="262" spans="1:16" x14ac:dyDescent="0.2">
      <c r="A262" s="11">
        <v>261</v>
      </c>
      <c r="B262" s="9" t="s">
        <v>91</v>
      </c>
      <c r="C262" s="9"/>
      <c r="D262" s="9" t="s">
        <v>80</v>
      </c>
      <c r="E262" s="58"/>
      <c r="F262" s="9" t="s">
        <v>80</v>
      </c>
      <c r="G262" s="9" t="s">
        <v>80</v>
      </c>
      <c r="H262" s="9" t="s">
        <v>80</v>
      </c>
      <c r="I262" s="9" t="s">
        <v>80</v>
      </c>
      <c r="J262" s="9"/>
      <c r="K262" s="58"/>
      <c r="L262" s="9" t="s">
        <v>84</v>
      </c>
      <c r="M262" s="9" t="s">
        <v>84</v>
      </c>
      <c r="N262" s="9" t="s">
        <v>84</v>
      </c>
      <c r="O262" s="9" t="s">
        <v>84</v>
      </c>
      <c r="P262" s="9"/>
    </row>
    <row r="263" spans="1:16" x14ac:dyDescent="0.2">
      <c r="A263" s="11">
        <v>262</v>
      </c>
      <c r="B263" s="9" t="s">
        <v>91</v>
      </c>
      <c r="C263" s="9"/>
      <c r="D263" s="9" t="s">
        <v>80</v>
      </c>
      <c r="E263" s="58"/>
      <c r="F263" s="9" t="s">
        <v>80</v>
      </c>
      <c r="G263" s="9" t="s">
        <v>80</v>
      </c>
      <c r="H263" s="9" t="s">
        <v>80</v>
      </c>
      <c r="I263" s="9" t="s">
        <v>80</v>
      </c>
      <c r="J263" s="9"/>
      <c r="K263" s="58"/>
      <c r="L263" s="9" t="s">
        <v>84</v>
      </c>
      <c r="M263" s="9" t="s">
        <v>82</v>
      </c>
      <c r="N263" s="9" t="s">
        <v>82</v>
      </c>
      <c r="O263" s="9" t="s">
        <v>82</v>
      </c>
      <c r="P263" s="9"/>
    </row>
    <row r="264" spans="1:16" x14ac:dyDescent="0.2">
      <c r="A264" s="11">
        <v>263</v>
      </c>
      <c r="B264" s="9" t="s">
        <v>111</v>
      </c>
      <c r="C264" s="9"/>
      <c r="D264" s="9" t="s">
        <v>80</v>
      </c>
      <c r="E264" s="58"/>
      <c r="F264" s="9" t="s">
        <v>84</v>
      </c>
      <c r="G264" s="9" t="s">
        <v>82</v>
      </c>
      <c r="H264" s="9" t="s">
        <v>84</v>
      </c>
      <c r="I264" s="9" t="s">
        <v>82</v>
      </c>
      <c r="J264" s="9"/>
      <c r="K264" s="58"/>
      <c r="L264" s="9" t="s">
        <v>80</v>
      </c>
      <c r="M264" s="9" t="s">
        <v>80</v>
      </c>
      <c r="N264" s="9" t="s">
        <v>80</v>
      </c>
      <c r="O264" s="9" t="s">
        <v>80</v>
      </c>
      <c r="P264" s="9"/>
    </row>
    <row r="265" spans="1:16" x14ac:dyDescent="0.2">
      <c r="A265" s="11">
        <v>264</v>
      </c>
      <c r="B265" s="9" t="s">
        <v>91</v>
      </c>
      <c r="C265" s="9"/>
      <c r="D265" s="9" t="s">
        <v>80</v>
      </c>
      <c r="E265" s="58"/>
      <c r="F265" s="9" t="s">
        <v>80</v>
      </c>
      <c r="G265" s="9" t="s">
        <v>80</v>
      </c>
      <c r="H265" s="9" t="s">
        <v>80</v>
      </c>
      <c r="I265" s="9" t="s">
        <v>80</v>
      </c>
      <c r="J265" s="9"/>
      <c r="K265" s="58"/>
      <c r="L265" s="9" t="s">
        <v>84</v>
      </c>
      <c r="M265" s="9" t="s">
        <v>84</v>
      </c>
      <c r="N265" s="9" t="s">
        <v>84</v>
      </c>
      <c r="O265" s="9" t="s">
        <v>84</v>
      </c>
      <c r="P265" s="9"/>
    </row>
    <row r="266" spans="1:16" x14ac:dyDescent="0.2">
      <c r="A266" s="11">
        <v>265</v>
      </c>
      <c r="B266" s="9" t="s">
        <v>91</v>
      </c>
      <c r="C266" s="9"/>
      <c r="D266" s="9" t="s">
        <v>80</v>
      </c>
      <c r="E266" s="58"/>
      <c r="F266" s="9" t="s">
        <v>80</v>
      </c>
      <c r="G266" s="9" t="s">
        <v>80</v>
      </c>
      <c r="H266" s="9" t="s">
        <v>80</v>
      </c>
      <c r="I266" s="9" t="s">
        <v>80</v>
      </c>
      <c r="J266" s="9"/>
      <c r="K266" s="58"/>
      <c r="L266" s="9" t="s">
        <v>84</v>
      </c>
      <c r="M266" s="9" t="s">
        <v>84</v>
      </c>
      <c r="N266" s="9" t="s">
        <v>84</v>
      </c>
      <c r="O266" s="9" t="s">
        <v>84</v>
      </c>
      <c r="P266" s="9"/>
    </row>
    <row r="267" spans="1:16" x14ac:dyDescent="0.2">
      <c r="A267" s="11">
        <v>266</v>
      </c>
      <c r="B267" s="9" t="s">
        <v>111</v>
      </c>
      <c r="C267" s="9"/>
      <c r="D267" s="9" t="s">
        <v>80</v>
      </c>
      <c r="E267" s="58"/>
      <c r="F267" s="9" t="s">
        <v>84</v>
      </c>
      <c r="G267" s="9" t="s">
        <v>84</v>
      </c>
      <c r="H267" s="9" t="s">
        <v>84</v>
      </c>
      <c r="I267" s="9" t="s">
        <v>84</v>
      </c>
      <c r="J267" s="9"/>
      <c r="K267" s="58"/>
      <c r="L267" s="9" t="s">
        <v>80</v>
      </c>
      <c r="M267" s="9" t="s">
        <v>80</v>
      </c>
      <c r="N267" s="9" t="s">
        <v>80</v>
      </c>
      <c r="O267" s="9" t="s">
        <v>80</v>
      </c>
      <c r="P267" s="9"/>
    </row>
    <row r="268" spans="1:16" x14ac:dyDescent="0.2">
      <c r="A268" s="11">
        <v>267</v>
      </c>
      <c r="B268" s="9" t="s">
        <v>91</v>
      </c>
      <c r="C268" s="9"/>
      <c r="D268" s="9" t="s">
        <v>80</v>
      </c>
      <c r="E268" s="58"/>
      <c r="F268" s="9" t="s">
        <v>80</v>
      </c>
      <c r="G268" s="9" t="s">
        <v>80</v>
      </c>
      <c r="H268" s="9" t="s">
        <v>80</v>
      </c>
      <c r="I268" s="9" t="s">
        <v>80</v>
      </c>
      <c r="J268" s="9"/>
      <c r="K268" s="58"/>
      <c r="L268" s="9" t="s">
        <v>84</v>
      </c>
      <c r="M268" s="9" t="s">
        <v>82</v>
      </c>
      <c r="N268" s="9" t="s">
        <v>82</v>
      </c>
      <c r="O268" s="9" t="s">
        <v>84</v>
      </c>
      <c r="P268" s="9"/>
    </row>
    <row r="269" spans="1:16" x14ac:dyDescent="0.2">
      <c r="A269" s="11">
        <v>268</v>
      </c>
      <c r="B269" s="9" t="s">
        <v>91</v>
      </c>
      <c r="C269" s="9"/>
      <c r="D269" s="9" t="s">
        <v>80</v>
      </c>
      <c r="E269" s="58"/>
      <c r="F269" s="9" t="s">
        <v>80</v>
      </c>
      <c r="G269" s="9" t="s">
        <v>80</v>
      </c>
      <c r="H269" s="9" t="s">
        <v>80</v>
      </c>
      <c r="I269" s="9" t="s">
        <v>80</v>
      </c>
      <c r="J269" s="9"/>
      <c r="K269" s="58"/>
      <c r="L269" s="9" t="s">
        <v>84</v>
      </c>
      <c r="M269" s="9" t="s">
        <v>82</v>
      </c>
      <c r="N269" s="9" t="s">
        <v>82</v>
      </c>
      <c r="O269" s="9" t="s">
        <v>82</v>
      </c>
      <c r="P269" s="9"/>
    </row>
    <row r="270" spans="1:16" x14ac:dyDescent="0.2">
      <c r="A270" s="11">
        <v>269</v>
      </c>
      <c r="B270" s="9" t="s">
        <v>111</v>
      </c>
      <c r="C270" s="9"/>
      <c r="D270" s="9" t="s">
        <v>80</v>
      </c>
      <c r="E270" s="58"/>
      <c r="F270" s="9" t="s">
        <v>84</v>
      </c>
      <c r="G270" s="9" t="s">
        <v>82</v>
      </c>
      <c r="H270" s="9" t="s">
        <v>84</v>
      </c>
      <c r="I270" s="9" t="s">
        <v>84</v>
      </c>
      <c r="J270" s="9"/>
      <c r="K270" s="58"/>
      <c r="L270" s="9" t="s">
        <v>80</v>
      </c>
      <c r="M270" s="9" t="s">
        <v>80</v>
      </c>
      <c r="N270" s="9" t="s">
        <v>80</v>
      </c>
      <c r="O270" s="9" t="s">
        <v>80</v>
      </c>
      <c r="P270" s="9"/>
    </row>
    <row r="271" spans="1:16" x14ac:dyDescent="0.2">
      <c r="A271" s="11">
        <v>270</v>
      </c>
      <c r="B271" s="9" t="s">
        <v>91</v>
      </c>
      <c r="C271" s="9"/>
      <c r="D271" s="9" t="s">
        <v>80</v>
      </c>
      <c r="E271" s="58"/>
      <c r="F271" s="9" t="s">
        <v>80</v>
      </c>
      <c r="G271" s="9" t="s">
        <v>80</v>
      </c>
      <c r="H271" s="9" t="s">
        <v>80</v>
      </c>
      <c r="I271" s="9" t="s">
        <v>80</v>
      </c>
      <c r="J271" s="9"/>
      <c r="K271" s="58"/>
      <c r="L271" s="9" t="s">
        <v>84</v>
      </c>
      <c r="M271" s="9" t="s">
        <v>84</v>
      </c>
      <c r="N271" s="9" t="s">
        <v>84</v>
      </c>
      <c r="O271" s="9" t="s">
        <v>84</v>
      </c>
      <c r="P271" s="9"/>
    </row>
    <row r="272" spans="1:16" x14ac:dyDescent="0.2">
      <c r="A272" s="11">
        <v>271</v>
      </c>
      <c r="B272" s="9" t="s">
        <v>91</v>
      </c>
      <c r="C272" s="9"/>
      <c r="D272" s="9" t="s">
        <v>80</v>
      </c>
      <c r="E272" s="58"/>
      <c r="F272" s="9" t="s">
        <v>80</v>
      </c>
      <c r="G272" s="9" t="s">
        <v>80</v>
      </c>
      <c r="H272" s="9" t="s">
        <v>80</v>
      </c>
      <c r="I272" s="9" t="s">
        <v>80</v>
      </c>
      <c r="J272" s="9"/>
      <c r="K272" s="58"/>
      <c r="L272" s="9" t="s">
        <v>84</v>
      </c>
      <c r="M272" s="9" t="s">
        <v>82</v>
      </c>
      <c r="N272" s="9" t="s">
        <v>82</v>
      </c>
      <c r="O272" s="9" t="s">
        <v>82</v>
      </c>
      <c r="P272" s="9"/>
    </row>
    <row r="273" spans="1:16" x14ac:dyDescent="0.2">
      <c r="A273" s="11">
        <v>272</v>
      </c>
      <c r="B273" s="9" t="s">
        <v>111</v>
      </c>
      <c r="C273" s="9"/>
      <c r="D273" s="9" t="s">
        <v>80</v>
      </c>
      <c r="E273" s="58"/>
      <c r="F273" s="9" t="s">
        <v>84</v>
      </c>
      <c r="G273" s="9" t="s">
        <v>84</v>
      </c>
      <c r="H273" s="9" t="s">
        <v>84</v>
      </c>
      <c r="I273" s="9" t="s">
        <v>84</v>
      </c>
      <c r="J273" s="9"/>
      <c r="K273" s="58"/>
      <c r="L273" s="9" t="s">
        <v>80</v>
      </c>
      <c r="M273" s="9" t="s">
        <v>80</v>
      </c>
      <c r="N273" s="9" t="s">
        <v>80</v>
      </c>
      <c r="O273" s="9" t="s">
        <v>80</v>
      </c>
      <c r="P273" s="9"/>
    </row>
    <row r="274" spans="1:16" x14ac:dyDescent="0.2">
      <c r="A274" s="11">
        <v>273</v>
      </c>
      <c r="B274" s="9" t="s">
        <v>111</v>
      </c>
      <c r="C274" s="9"/>
      <c r="D274" s="9" t="s">
        <v>80</v>
      </c>
      <c r="E274" s="24"/>
      <c r="F274" s="9" t="s">
        <v>84</v>
      </c>
      <c r="G274" s="9" t="s">
        <v>84</v>
      </c>
      <c r="H274" s="9" t="s">
        <v>84</v>
      </c>
      <c r="I274" s="9" t="s">
        <v>84</v>
      </c>
      <c r="J274" s="9"/>
      <c r="K274" s="24"/>
      <c r="L274" s="9" t="s">
        <v>80</v>
      </c>
      <c r="M274" s="9" t="s">
        <v>80</v>
      </c>
      <c r="N274" s="9" t="s">
        <v>80</v>
      </c>
      <c r="O274" s="9" t="s">
        <v>80</v>
      </c>
      <c r="P274" s="9"/>
    </row>
    <row r="275" spans="1:16" x14ac:dyDescent="0.2">
      <c r="A275" s="11">
        <v>274</v>
      </c>
      <c r="B275" s="9" t="s">
        <v>91</v>
      </c>
      <c r="C275" s="9"/>
      <c r="D275" s="9" t="s">
        <v>80</v>
      </c>
      <c r="E275" s="24"/>
      <c r="F275" s="9" t="s">
        <v>80</v>
      </c>
      <c r="G275" s="9" t="s">
        <v>80</v>
      </c>
      <c r="H275" s="9" t="s">
        <v>80</v>
      </c>
      <c r="I275" s="9" t="s">
        <v>80</v>
      </c>
      <c r="J275" s="9"/>
      <c r="K275" s="24"/>
      <c r="L275" s="9" t="s">
        <v>84</v>
      </c>
      <c r="M275" s="9" t="s">
        <v>84</v>
      </c>
      <c r="N275" s="9" t="s">
        <v>84</v>
      </c>
      <c r="O275" s="9" t="s">
        <v>84</v>
      </c>
      <c r="P275" s="9"/>
    </row>
    <row r="276" spans="1:16" x14ac:dyDescent="0.2">
      <c r="A276" s="11">
        <v>275</v>
      </c>
      <c r="B276" s="9" t="s">
        <v>91</v>
      </c>
      <c r="C276" s="9"/>
      <c r="D276" s="9" t="s">
        <v>80</v>
      </c>
      <c r="E276" s="24"/>
      <c r="F276" s="9" t="s">
        <v>80</v>
      </c>
      <c r="G276" s="9" t="s">
        <v>80</v>
      </c>
      <c r="H276" s="9" t="s">
        <v>80</v>
      </c>
      <c r="I276" s="9" t="s">
        <v>80</v>
      </c>
      <c r="J276" s="9"/>
      <c r="K276" s="24"/>
      <c r="L276" s="9" t="s">
        <v>84</v>
      </c>
      <c r="M276" s="9" t="s">
        <v>82</v>
      </c>
      <c r="N276" s="9" t="s">
        <v>84</v>
      </c>
      <c r="O276" s="9" t="s">
        <v>84</v>
      </c>
      <c r="P276" s="9"/>
    </row>
    <row r="277" spans="1:16" x14ac:dyDescent="0.2">
      <c r="A277" s="11">
        <v>276</v>
      </c>
      <c r="B277" s="9" t="s">
        <v>91</v>
      </c>
      <c r="C277" s="9"/>
      <c r="D277" s="9" t="s">
        <v>80</v>
      </c>
      <c r="E277" s="24"/>
      <c r="F277" s="9" t="s">
        <v>80</v>
      </c>
      <c r="G277" s="9" t="s">
        <v>80</v>
      </c>
      <c r="H277" s="9" t="s">
        <v>80</v>
      </c>
      <c r="I277" s="9" t="s">
        <v>80</v>
      </c>
      <c r="J277" s="9"/>
      <c r="K277" s="24"/>
      <c r="L277" s="9" t="s">
        <v>84</v>
      </c>
      <c r="M277" s="9" t="s">
        <v>84</v>
      </c>
      <c r="N277" s="9" t="s">
        <v>84</v>
      </c>
      <c r="O277" s="9" t="s">
        <v>84</v>
      </c>
      <c r="P277" s="9"/>
    </row>
  </sheetData>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i = " h t t p : / / w w w . w 3 . o r g / 2 0 0 1 / X M L S c h e m a - i n s t a n c e "   x m l n s : x s d = " h t t p : / / w w w . w 3 . o r g / 2 0 0 1 / X M L S c h e m a "   N a m e = " T o u r   1 "   D e s c r i p t i o n = " S o m e   d e s c r i p t i o n   f o r   t h e   t o u r   g o e s   h e r e "   x m l n s = " h t t p : / / m i c r o s o f t . d a t a . v i s u a l i z a t i o n . e n g i n e . t o u r s / 1 . 0 " > < S c e n e s > < S c e n e   C u s t o m M a p G u i d = " 0 0 0 0 0 0 0 0 - 0 0 0 0 - 0 0 0 0 - 0 0 0 0 - 0 0 0 0 0 0 0 0 0 0 0 0 "   C u s t o m M a p I d = " 0 0 0 0 0 0 0 0 - 0 0 0 0 - 0 0 0 0 - 0 0 0 0 - 0 0 0 0 0 0 0 0 0 0 0 0 "   S c e n e I d = " 0 f c 6 a 9 0 8 - b 3 4 5 - 4 e 6 b - b 3 0 b - b a 1 f 6 4 7 4 8 b b f " > < 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 - 0 . 0 0 8 3 6 4 3 3 9 3 0 6 3 4 5 8 < / P i v o t A n g l e > < D i s t a n c e > 1 . 8 < / D i s t a n c e > < / C a m e r a > < I m a g e > i V B O R w 0 K G g o A A A A N S U h E U g A A A N Q A A A B 1 C A Y A A A A 2 n s 9 T A A A A A X N S R 0 I A r s 4 c 6 Q A A A A R n Q U 1 B A A C x j w v 8 Y Q U A A A A J c E h Z c w A A A y c A A A M n A R m n N Y s A A D r O S U R B V H h e 7 X 1 n e 5 R X m u Z T u Z R z Q C A k B B J I J J E M B o w N t r u n e 2 L P T t y Z y 7 2 7 0 3 v t X r t / Y n / K f p 2 9 5 s v s u t 3 d t r E J J m c E E i A k l B P K s b L 2 u Z 9 z T t W r U p V U J W R 3 l c Q N R y e 8 b 6 X 3 n P s 8 4 S T b l z / c W 6 b 3 W B M O p 5 f c J Y f I 7 w 9 T J B K R s L y 8 v C I Y W N M G N h v R p 4 0 + n V O w 3 t f T 0 0 P e 3 A J 6 P l 1 D V Q V h O r Q j J O X 3 O k Z o x l 4 n 6 f r S M P n H 2 q i 5 e T / Z 7 X a 6 e e M W n T 3 3 o V x 7 + / Y t O Z 1 O K i 4 u 5 s + y y f c D c F 9 b z x y N B S o k X + B Z p t P 1 A e o Y c d L g j E O + 1 w c 1 k + R 1 u 8 j t 8 f D v 8 5 P D 4 a D Z m V m q r K q U 1 8 / N z f H 7 h a l 9 c J o W f H 5 5 n / d I D t u X N + 6 / J 9 Q a y K s 8 w Q 1 t m U K h 0 A o y A e s R C V j m + z 8 / E F h x v X / K Q S / H n G T n B u 1 2 E P k U f 8 h h J w o z F / I 9 R G f q Y 4 3 3 2 5 d c o B E M + i l v 5 h 4 d O 9 p M H e 0 d 1 H q s l c K h M I 2 O j l B 9 f b 2 + S y H E 7 3 X 5 h Y N J 4 h S i x Q P f 6 c K + A E 2 P D 1 F V 9 Q 6 + x 0 6 z s z N U V F R M S 0 t L n J 6 l m p o a I R Y I O z Q 0 R E + Z W O + R H L b f v i d U Q u R X t J A v 6 O U G n J x I V p I 0 V Q S p M j 9 C X l e s z F w P h 8 M S 4 7 3 C y z a 6 1 V c g + X h U F 0 Z o Z J Z Z p Z H r X q Z 9 F S F 5 X 6 B t y E W j c + o 6 3 v v T J h 8 T a Z S q q q p o e H i Y i R + g H K + X 8 v J z O T 8 q n / s m 2 E Q e b 6 6 8 x k C o F U e w H Q V B K l 3 u o / L K S n K 7 P d y B B L n U R t e 6 8 z i y 0 8 E d Y a r K Z z L n 5 d P s U o B u t n W q F 7 7 H C r w n 1 C r Y y F N 2 n A K B s D R I Q y Q T D K z p p t x u s l O E e 3 I H 7 d h R r U t X 4 t t X X p 1 K D F H 1 q o N 0 u T P x f a d 2 B y i P C X a t y 0 P N l U F 6 P u q i 1 p o l e t P + g E 5 9 c J L G F h x M A q I O L s c 3 i y w M U k N t F f V M O q k 0 J 0 K H a 4 I 0 v W S j s r x l l o z q u 8 8 H b H S v 1 0 M R S w s o z Y 3 Q T v c A O E R 5 u X k U X P b S w + E C c r E k P b I z T A X O R S a s 6 h C u P O m k I E v H 9 4 g h 1 h 2 + B x X t P E G O o m P k 8 w V F x T O E i i e V l U x Q 2 3 b v q q G J 8 c m E Z M K d h k y Q X r u K t X 4 X B 1 y 7 1 + f W u d X A N a i D T v u y k A l 4 P J R D n l p l R 1 X m h W m I 7 S L z z e x 5 O 1 n i h e k z l m L H a w N M i G W q Y E l n y A T k M 0 E v s m 0 H S X d h r 5 / f m 5 h 0 d u o b 8 / F 9 D p F G o 4 P d c j 0 Q W q Z H A w 5 y i f Q K U T u r m w c a W u j z U 0 f 1 u 7 0 H Y P v t z Q e W / m n 7 w s t S C U 4 H Y y s Z 0 s T H V q A M D b a 9 o 4 N a m p t 1 6 U q M z j m o b V g R I F 2 g I c / 7 b d L Q H / S 7 2 d Z a b Q c B D a U h a i g P U f + M k 5 Z Y 6 v S x j Q b s L g m x K p q Y w G v B 2 F v z 8 / P i p O j q 6 m Z y 5 d E b P 9 t o j h x + z z D t 5 s / E t W e 9 i 3 R y f y n 9 7 u 5 z e c 1 2 x 7 Y n V E 5 h B Y X s t c q + i V P x g E R E A l C O B h 8 M B F m i L V F h Y a G + o g A 1 6 m q X V 6 R K P E A Q l N e w B H E 7 + c a w j 2 Y n B u l Y S x 1 1 j T v p D a t p V h R 5 I 7 Q Y t F N w D e 3 q 3 B 4 / L Q V t 9 H B g p Z R z s 2 T 6 s N 4 v K l s 6 M K T y + f z 0 4 s U L c X g U F x d R / 5 S T X r 1 1 0 r 7 S R c q J j I v 9 x i y j 3 F w P t f e N U v / Y p L x u u 8 L 2 1 T Y m l L d 4 D w U i x U y m Y E J b K R G Z r G W Q T h 2 9 0 9 R c V y x 5 X J p Y d N B r J g U k C 5 D r j n C D D i h H Q B I M D 4 9 I w 7 S z / t g z i d c n l m h o 4 w m + U s p o Z G l V w v b U X V Y f 4 c Y 3 f g m 8 J 9 7 W x n / j v Y E + J m l g a U a 8 f E + e P O P v W U G 9 4 R a 5 / 2 J j g B y s g u L 5 D Q 8 N U 9 P + J o r Y n f T d / e 0 r r b Y t o X I r j 9 H i Y k S k E k I 6 R I r H 4 R 3 B V W p d Y 0 W Q 6 k p S M 9 g f P H h E x 4 + 3 S m N + M e a i g e k 0 x U k c I I 1 K c 8 P k Y H t p a H a l t E s G 3 / w E H a 2 Y p O r q a p Z K P p q b n a M l j u E 9 r K y s l L K j R 4 / I v b 1 9 w 9 S 5 V C / f t 7 I g Q k d 3 h i S N 5 5 i T k 0 N 2 J t / X 2 1 Q F Z E I 9 3 H a E 8 p b D 8 b D S X t o o m e B 5 g 0 p l g P f r 7 n 5 D + / b t 1 S V r 4 8 q V 6 1 S w 7 1 M 6 s S s g + W u s J v p D E W 6 g P 7 6 / q C Q 3 Q g v z c x S w F 0 n + f N 0 s e T 0 r V c a H D 0 H 2 Y 5 K G J K 2 p 2 S H p M D + S q 5 0 e y D S 2 3 8 J U X x I g l 8 s l x I J t F W K d 9 u r T L r l 3 O 8 E u u s g 2 C p 6 y Y 7 S 0 F E q J T N Z r i b C r O L y C T A A a F E K q O H L k I O 1 y D e g c 0 Y W 9 P s p 5 e 4 X 2 V 0 L C h S j f A 8 + c v p g E D r 6 e 5 1 o m Z 5 q C b W r R H i U T M D + / K L M 2 r K i s V L M s A H g x M e A r M y r 4 M y 8 1 + e m j v X 4 a m L L T 0 2 c v K B A I 0 M L C o k i q x Y V 5 O l R T x M + C X 7 i N g u 1 3 t 7 a P h H K V K J c 4 i J T I Z r J i L S J h w P V s H J E M 8 L 7 X r v 5 A n 1 y 8 o E v W B 6 b 3 z M 3 N i 9 H / + N E T O n H y O H k 8 s d k R w I 0 3 H n E 6 x K M q P y x j T A b 4 2 m P z d h q b c 9 D Q d I Q c z t Q 8 j J h e F H r z J f 3 J z z + X m R H j 4 + P U 1 9 t P B w + 1 r P o u A / 3 9 V L t 7 t 8 7 F Y D o T / B 5 M g 4 K X c H J y m n p m A l F 3 / l b H t i E U y O T 3 K 8 l k J V K 6 Z P p k H 8 Z r V l / H t B x 0 U e X l Z e R 2 J x 9 P S o b b t + / K 5 3 7 4 4 W l d k h h z f r t M X R q a V e I I 0 5 U u 7 l s 5 T x A I M 7 G 7 X n d R U 1 M j z f r s 9 I p t s 2 l f j J B Q V U F Q 6 6 C u e + R b O n z k E P W 8 6 a H 9 + 5 v o 5 c t X 1 N p 6 d J X E n Z m Z o Y K C A l H t 4 m G V 0 I F A U B w t c G j c a O / d F q R i Q j 3 a 8 r / T V d K a E p m Q z 0 F D C 6 y W B M C J 2 i C V 5 K x 2 N M B w r 6 i o k I a z U f z + d 3 + g j y 6 c l / G e V A E P n H W q k x W Y h j Q w 0 E 9 7 9 6 5 v y w U j N h o c m a K d l f k 0 M z 1 D u b k 5 1 N 8 / S L t 3 7 x L S v G Z i g m B W A k G i L i 9 H Z L g g n n C G V A i L r C J i O l R f X z / 1 z W 9 9 S m 1 5 G 8 p T 1 i p q n v H k x d t N B i a f j E x o M / F k W l x c o g f 3 H 1 J V V f U 7 k Q m o Z v s k H T I B y c g E e D x u m c + X C l w s c e t r i u n x w 8 e s 6 r 1 l Q u X S r l 0 1 T M h B k b Y t L W r Q u r 3 j h c R A Q U G + k A l S L N G z R M C z H h o c E m I 1 N D T Q 0 d q S V f W z 1 c K P 7 0 r 6 I 8 L L Z I I D A m Q y d h O Q j E x r o b p A k Q n u 4 x f c s N q f t 8 v 7 w d 6 B W v O u g M 0 B Y 3 8 z g a U e + L 7 r 4 d m I s r N O n j p B o 1 M B J t W E z D R v b N w n 5 Q C k U 0 v z A Z Z c A + J 8 M I B K C X U 3 2 T N t a N h D C w s L / K z C V F J S Q i f q K 6 V 8 q 0 K a w l Y M h T s g m d Q 4 E y r X V H C y i l 8 L c E A c r A 7 S k y d P R R I d 4 I b V c r C F 8 v P T k y h r I R g M S E + + m Y A b O x W S Y l L u z R 6 P f P 6 x Y 6 1 i B + 7 Y o d z j 8 a i t 3 S X P 4 N W r V 5 L H o O 7 I y B h N z I f Z b k v 8 b L 2 s 8 p k 6 y M v L p T O N N Q n r b C s E l l C J i r M 7 F F T t 4 x 4 2 s s o 1 b i r Y I D 5 v Y G 3 X m F 4 E r 9 7 Y 2 B g d O X L 4 n V W 7 Z J i Z m d 3 0 9 0 Z D h i 2 V C t B p f N f p l V k U E w t r K y 7 w A j Y 1 N d H 0 9 L S M T T k 4 / 2 g w h 7 5 7 5 a H 5 O P 7 i G Y O o e H 5 G Q 4 D 3 b 0 c e f u v q u s v 2 s O V s K I z S z y / m S c 9 p l U 5 r k Q n z 3 b A W C b O x A T s t 0 6 G i P j p b O 0 W R c I S C T M z 7 9 x 5 I Q / g x A A N f Z h h w w 9 x M w P 7 p j R t X W g u X 9 K r i R 4 P u 6 L q r t Q A 1 t a 5 u N x 1 t P U L 1 9 n Y K h 4 J 0 6 4 0 7 4 b M u L y + n t r Z n k o b t t b u m k l y Y 1 J i g D r M 5 b G 4 N Z g D s + Q e Z T O t 7 8 6 w I h G 2 y s O / t v H o c F x v 9 V F 1 V S b n c y C G t s O r 2 w 7 N n Z O A T R j i I u p m A g Q 8 1 a 3 F x U Z d s H u b n F 3 Q q N Z z d o 0 R M 2 7 C b x u Z T H y n e x / b W z w + q D g k r j B M 9 c 3 g K M T A M S R z g D u / Y F r S n t p Q N l V N + V N z j x g k R X 6 l A o j I D d J i Y 8 A o 8 f P i Y b Y M R W R E L a Q e D e s e O K t q 1 a y d d u X J N 1 J 3 N R E F B I d 2 7 d 1 + W S s B 7 u F m A C z w d 5 L q W Z T k I 8 H T I x c 9 L k i n j s / 2 K k C D V 1 C J q J Q Y Q C T Y d 9 s D o 7 e n l S r P R g Y r c h H W Z t e E P d 5 6 k + c g y E 5 6 C S l o K V 0 r j B 5 m M v m 4 l 0 F p k A g y Z M H C Z a H w F v S v U M x j W U P 8 G B 4 f o 8 O F D Y v x v F m D 3 3 b x 5 m + 2 1 Q + J G N + + N 3 z U 6 O i a S D L Z R q u j o e E H N z Q d 0 L n V 8 z / Y U 5 u s l G z h e C 1 i a 8 n 2 n m l 1 R U x S h p s o Q 2 2 U O W f C I Z w p J n J + f L 7 8 V 2 s S r v h G a j 6 Q 5 b y p D s W V s q A B V r + v R W w s 7 2 I Y y e P n i 1 S o y A X A X F x Y V S k P H c o u D B 1 v o 7 p 1 7 b H C / 1 X e 8 G z D d B z M m T p 0 6 I b 0 5 8 o 8 f P 6 U 7 / B l w V 1 d U l M u 0 n n t p 2 H O w c 1 J x n c c D K 3 k B k A M r j t N Z 6 Q 4 S Y j U w J P 7 Q j J 2 u v v b Q / T d + f g + b 1 A n G u T B Y j G e M I Y d c W z B h n W Z j U E Z D l s N b d k R 6 O q u q F 0 + m t c i 1 u z h M B 6 u V N w y N r 2 H v H k n H A z 2 r y + K J w x y 3 c + f P s h R x s h p 4 d c M 2 E D x 8 V 6 9 e Z 8 m T Q + f 5 / e C g Q A 8 O 1 3 U r G / x H j x 6 W + / B 5 m J E B w k F i 4 T P X U z 2 9 X o 9 8 L 0 h X d A h G c q 8 H P K / A 0 p z O E V 3 p S l 0 q A m f 2 B M i z p F z r e K 9 8 7 o S + e u I T g i K P T g h O G J A K 0 6 R a q v L l 3 m y H 7 Q 9 3 s 1 v l c 3 k L y G + r 2 7 C q Z 1 V p J i Y m Z Y Y B G n M i P H 3 6 l F U x t S Y o H l B f O j u 7 x M G w c 2 d N Q g k X D z T y x 0 + e 0 P 6 m J r H R k r 0 G v + n 6 9 R t 0 4 c L 5 V f d g A P b Z s + c y E w E z w + M 9 h R h U l d n h D k e 0 w 8 G z M r P C k Y f j Y p 4 l H + 5 x u d 1 y 3 c N q Z e O + B u p 6 a 6 e p Z b V H H / a l + H h v e o P P 3 9 z t p w N N 9 e Q P 2 u h t 5 w 1 a L P 9 Y y i u 8 c 3 S 0 T n k E 8 X n w p L 4 Z n 6 d 5 t o G z G b a v 7 z 7 N a k L Z C w + z V F E u c j Q O V F C q Z A K s K 1 e x 0 O / E C b X 2 J x F g 2 5 w 9 e 0 b n E m N q a o o m x i d o 7 7 6 9 S Q m C 7 9 T V 1 S X b d c H J k Y q 7 H O o f 1 E C o c I k A 4 j x / 3 i H r l b D M w s y 7 g 1 S C T Q j J l i 7 Q S e C 5 X u / i 9 3 K q T s b Y m e k A U h T f u 6 3 t O e 1 o O E J P B p V d i O d j t 7 F 0 q v T R w k Q v l b N K 2 z H y 4 w x N / F T I a h v K W 9 r A D U Y R y Z A p H Y B M 2 H 8 O g 4 4 D A w M s m V b u X x e P V G Y Y F R U V U X 5 B A X W + 6 k x o 5 y w t + U S 9 g z q 3 e 3 d t S m Q C c n P z x A m S D L D r P v j g J J W W l s i M D v w e E A I 2 F w i + E Y D A U D M / a 4 m p u b 2 T 6 T s P Q K b J y U k h N 8 b 6 j C c Q C E d s 9 H T Y w 8 + j h g I s S S t z u A 7 j 6 j m b g u 3 r e 9 k r o W z 5 k E 4 B 6 U W N Z L K S a i 2 C + d g + a M 7 v k w F H 2 C x m t W k y 4 L 0 e Q o K d P K 5 L 1 g b U G D Q i q F C F T D A 0 b E w 2 h e Q 4 c E B t p 5 w O I G X C b I C A M K k A j R e G / 0 6 W g P j 8 t X 5 b K r D u K 3 h s V 4 D K c l O z x e K B 1 c x 7 9 z Z I G q 5 1 f K 1 I Z F k G h X M n r 9 O h Q w e p c z J 9 K Z g p S K 9 W M w h 5 l Y e 5 0 S Q f w L W m E 2 F 5 2 U Z 1 e / a K R M G M g v U a H N 6 v t K x U 5 9 Y H C I r e f e L t O H 3 z z W X J o 7 F g 5 n a 6 Z A J A U D g / U g V + U y n b Z X b + X e 9 K J s C L 3 Z k 0 H g 2 4 W Q 1 c u e g w V U D q m b q B F 9 B U E 7 5 j p O I 0 d z h 2 q s 1 d u + 4 y G f y T 8 L C z L 7 D J E F X 1 N o K c 3 H y p 0 F S B z 0 l n / A e A q t P Y 1 E j L 3 A P D 0 f G u D T v d 1 3 t z v B t + P v H A N m V W + M M 2 G t W L H N N B m a V T s v 4 a / L b F o I M G Z p y i + p l 6 z r a A D o x / T H a F n N J G 7 r G T T 3 y 1 p p O B 3 y Y t 4 D 3 R u 6 Y L v C 4 3 b 2 3 b L B V A 3 U v l d 1 k B S Q g 7 a j O A 5 w 6 H x P x o b E / z N r 3 s Y y 1 A 9 Y T D Z H J i k h 4 + f E h P 2 5 5 F 6 y 2 o u W 4 6 C s Q 9 E y 5 a s p f S r g J 1 O k i 2 h a x U + Z b 8 n m i l b B T u N L k B l W s j 6 5 7 g 1 j 5 4 M P G u s q k C 7 n W 4 x j E g m g 5 g r / m W N s c e A S l k B 6 S 6 l c / 8 e r d S / f B 8 4 u v j 0 a P H s u k L 3 P Y u t 4 u a D z T T h 2 d O R 1 X e H O s C S b R G 7 u a W O c Z Q R n A p v T m I m Y K s I 1 R O S T 3 3 u i t d 5 N a K T J V k Z i A 3 V a C n x + e m C w x g p r s S 1 w p 8 7 r V r P 8 i A r 3 G F p w L z H H y i P r 0 7 M B y A y a 2 7 d + + m / Z U x q e c P 2 e j B g I t + + O E m v X z Z K R 5 M T H e a m p r k 7 + u U Z R 6 l p a W y B 8 X Q 8 L B + l c K i p Q q w b R o k F A I O P B i Z c 1 C x P b 0 6 y g Q w o V T P k C 3 B F 8 x / Z + m E 1 y 9 M 9 N H d u 3 f F F R 3 / X v A 6 Y c Y E J I O J 0 b B T m W g K t z g 8 e v D w Y S U r P i t d y W K A 7 / X k S Z t s 3 B K / 8 9 B 6 u H P 7 r n j U S k o S j 1 u l C 5 D Z p i V L b d y B B 9 i O D F J n / / 5 G + v j j j 7 Q X 0 y F 7 U l g B 7 5 6 Z p m U 9 8 y r 6 / F H F / A e k G l o o o n w P V M r V b S C T g + 3 b + 8 8 2 3 j J / Y q A X C 3 o O i F 6 O h o o A m A q R v y k Q L T L T T Z e O V U o j g T s a r 4 f r H G n M G s A M c 4 w R 4 a 3 Q U N w e t x i b Z W V l + h 0 U 8 D q M Y b 3 o e K l U Q u 0 S B / H g 1 Y P N l Y o H M R l A d s z c g G s / H U D N 7 O 5 6 Q 6 3 H N u 9 k j H t 3 7 8 s S e f x m P B O s l 8 I S D w P r A P l a u P 8 m Q N O B 2 P l Y e I m p v U g Y u / i y J h A M U D g U o N O 7 F 2 h o U T a I l j u y A b Z v H 2 Q P o Z x F B 7 n B b 3 x W h I F 1 t B + v g U o F d 2 1 9 f Z 0 M u K a i W m H Q 9 t H D x 3 T s e K t 4 8 L B y F U v i o d p Y g f e H d M O m + 2 g 0 U P + M D b E e / v D t V a K a T + n n L a k 7 F v B 5 g 4 O D 0 k H E d w D v A k z O x c T g W z d v i + T B y Y Z B Z z E 9 H f I K I W B e m g W K a w G r e u N W y k u H g z V n q F M Q C m Q C q Z y 2 A L W U z 9 A k b d 5 W A z 8 2 H F / 8 t / / x v 3 Q 6 4 x G 0 V U r j R K M x w c C a B u A S j 6 8 4 4 P w e / 4 o d V l G Z 2 G A S + 3 c j p N L Y + / r 6 p P K b W 5 q j q p i T 3 x Q b X K q B 4 p h 7 H Q s S p 6 e n O G V j y e p n Q / 0 J V V d X R d V I k B e T V 2 H 0 Q 7 0 0 o Y O l 3 k y w g G 2 R C Y q 4 y q g k 3 5 6 S m x + / B 2 u 5 Y O + k S t x U A I f M 2 7 f j 1 N B Q T z t 3 7 p T v P j M + T J X e G R o P l g q p 6 k u x x 7 m 6 P x 6 v x p z 0 i G 2 t B F U S f Q 3 X K P 9 R x I p w H A w t U 3 X u I v l s G x v z + m O A C f U / m V D 4 R Z k d H J 5 i C k T y R D r F k y c R E p E J 6 B r x k c c 3 Q F 9 / c 5 k b d q X Y N 1 A h l Y 2 0 t q 0 D q X T / / k P x W j U 2 N k r j N T A q n v l + y O O + z s 5 O O n H i u E g u B I z D Y A Y D G v v s 7 B y 9 f M H E m Z m V c r w f A q 7 h 0 O i W x h p 6 8 v g Z B e Z H a V d N N X l c 6 x M E Z M T 7 Q 4 J A 3 d w s Y C 0 W 5 g h i n R i + H z o S 2 G d I O x f e 0 K K 9 Q o 7 c M d s I G I B I z 4 d d N M l 2 1 t p Q S z u w 1 x / I J B p I J E z F O S G R f m E b e s G V b S I T A 6 t 8 z 9 d v n R k A R 2 E L 9 + L q Z E H 1 4 N e W U M l Q 6 + 6 n o e 5 2 O t p 6 W C o N j R y N / 9 a t W 3 T u 3 D k p g 1 M B M y j i A d c 1 j m x x 8 / 2 J g O 8 A G + z a t e u i Q s L L 9 c k n F + T 9 N w p I h W t X r 9 G n n 1 1 K O j E 2 H p B 2 2 F h y I w s L A T x j d D K m g w G Z M G 3 K n B A S D 9 h s k L j 3 R y v o T 4 8 o 4 l i d D m s B 7 2 Z q D l u N w Y 7 C / M o w 7 K g w 1 z f H L S W j 5 M v D O V S Z j 6 w Z 2 O X 6 l c Y O b J R M g M f m I w f r T o 8 e P q F n b c 9 l y T l U O F q 2 y 0 K + p 0 / b x E N m B d 7 / 9 e v X 0 u M n I x O A J Q g 4 R d 3 j 9 t B H H 5 0 X 5 8 a 7 k A m / F + Q o K y / j B p 1 8 Y m w 8 Y D / 1 9 v Q J K d I F P h N L / L G h C h w t 8 H h i P C k Z m Q B I r c m p K a p 3 v p Y 5 f + u d J 2 x F o p q T T 7 F 8 F m a o W N t C J g f H r 0 X l y 2 y 4 c 4 r I F 0 p d 3 V s L 0 4 E c O n u s j k q K C 2 V v g 1 O n T k r P j 0 m n W E p R X l 5 B k x N T L K E K o / Y R G t b Q 0 E h 0 g B a q G u w e E 0 B K h I H B Q d p T X y 8 b R O K 1 2 D E J Z E h n / M g K O A K w 3 B 6 O E t h l q Y x n 4 b u i g 4 B 6 C u m b 7 t 6 B I A 2 8 n f j 9 a h s A k v c y x 9 g k A u p l f H y S Z j w t t B S I i L d z P R R 5 l 2 U M y w p M 0 Z L O k k k N Y k v M 6 h / K g s s 2 7 s w 2 z y b 8 s c D f E D 8 q s 0 P E v f O d i W Q Q c e T S o 2 6 c Z e S k j 1 k d M 4 C n D h I I b u o 8 b o S o U N h A / f 3 9 M q h Z V 1 e r 7 y T u v d u k 4 Y E o k E B Y U I g G V 1 5 W L m o S y v F 9 R 8 f G x M b Y C C B d M E C K 7 w Q V D I O m G N t a D 3 D j F x e X 0 M V L n w j J Q T C g p 6 e X v v r t 7 0 U l N T D P F B 0 E S A R A I k L l x c F r T 5 + 0 0 d 2 7 9 8 U J s R b w e / v 7 + 8 g 5 c Y f y X a s 9 f a h F D C k d q A p R g U d p G T O W g w u S Q t 8 y O O 2 g n A B W J s f a R K a G r J B Q I T Z 4 r X P 3 r N g I 0 R Y C N m r e 6 e H G r v J G 0 p j J r / D 6 w V O G M o z y 4 y P a n j 6 j n N w c s W n Q S O F i h 2 q F 1 6 D R 4 x x a j D 9 B i o B k G M D E H h C J b L F U A L s E G 7 J 0 M y m w 8 A 6 e Q V E 5 O S Q D F v L h c 7 F X H o D f A X c + X o N O 4 d i x o 2 w r 3 p H n C K m C F c r / 9 / 9 9 R X 7 f k n x P q L p D Q 8 N 0 5 s x p + R 2 Q U h g L S 2 X q l B m 0 P d l c T Q t B B + 0 q C d O R G n 5 O Z R H a V x G S 0 x w L W S p F I j a a S O K g Y N k k 9 R m V U O K c w B B J m H Y V L F L Y n f n L 5 L P C h g q H 9 Y P W 5 N k I i a x w s Y 3 z f Z d X P I H Y l 2 F q a p q e P 2 / X V 5 V R X l V V K T s a Y S w H S 8 v P f H h a x p K w 8 h X b f B l 7 A k f C o I f G N s R Y x g 6 P H X Z G g g 2 S b D v j 9 Q D J C E L j s 7 H y d 3 B w W E i a S O W D 5 L l x 4 5 Z M / U G D x s C y A Z 4 T f o s 5 e R D k / + i j c 5 K G S u r z + + j v / + 4 / 0 A c f n J J N Z y C x T 5 / 5 I N q x 4 P M W F l O b U 4 f n g S N D 8 R y P M p G w T w f m 5 M U f / Z O s 5 h L X K Z 6 x e s 4 j s 9 k x W X Z j + s h P C K c 7 V / d W 7 0 a i R P j q a h u d P v 2 B q G w Y g 0 J D B t D Y p p l k V q C R o e e H T Y K A H h 4 b Q W J s B V j m P A i F g U k / N 1 S s n k 1 m x K 8 F / F b s z 3 f y 5 H E h E S R k X f 1 u I Q 0 + 0 w D P A y 7 y 5 + 0 v 5 M j O c + c + l I 3 7 r T P i 8 T s g N V + x u m j I C G k F t R T 2 U V N j o + S N r Y j X G s 8 e P g u e u 6 T j D w k A z y a e U X t 7 B z + D x A 6 R s j i 3 e g x r f Y 6 N R h a 8 r A Y n e 2 3 m g A m F S s / c s O y t k 0 b 2 Y + D A o V Z R 2 w C Q 5 P b t O 6 J q w a a I J C E w G j L s D H R H l f l h 2 l M a p u s 4 X Z A b N 6 Q B S I S D x j b q i E A j B j G t q m I B 2 3 f N L H l g 5 9 x n s r 3 u 6 q J v v 7 k s D f f c 2 T P i s E h E X h B l 1 6 5 d L H V O 0 e V v v + f v n f q u T F B 3 I d k g m d M B v j c G l S c m x s X + A u m t e K I 7 o F X A 4 + Y g a p 8 q w c P W C X X Z N 4 m l / K v b S C a F j J d Q s K n R i E 2 w I j 6 f L k b m V G 8 O I v T 2 9 o u 0 g j P g + v U f k m 7 W A j J h P z 6 n I Q w / R 5 x v G 9 Y z 4 E E k N K J 0 n B F o 6 C A y p M L r 1 9 1 s n 9 X r K w r 4 n c M j o 6 J y Y n Z G F U v T S 5 9 e F M k E O 2 k 9 Q H U 8 8 + E H 9 P L l S y F K K o C k c r t d T K r U z p i y A s 8 A A 8 u w 2 W C D f f n l V + L o A H B I X E J w s V B p j S o t 8 c a O P s 1 U Z P w m L R B O V u K 8 K 4 m s Q O X i x I n r 1 2 + K i g X 1 p 7 e 3 j 8 p Y z U p m / G P z E 2 y Y A u C b w M E x 5 7 e J Z x C E w P e D m z l V Q i m p c 0 8 c C t g q D K + D q 9 y K i Y k J t n E q x P a B 6 g Z 3 e L o S E K / B U o p 7 d x + k R C q 8 f 2 1 t L e W x y g h H x U a e O 1 R W O C v O s 9 2 G z 4 f 2 m N q 7 r J B T D H S m 8 P Z x M k E b y a Q g S + Y y O W B g E Z W 5 m U S y A p U c q L 4 k Y y d o z K 2 t r e J 0 M G 7 k e M D h g H l 7 A L 7 f v n I 1 f w 3 r h J 4 P q n O W u g N 7 6 d q b f B n g v M y E T Y b x t + P U 1 z f A D e 6 8 v B 4 O g 0 O H W v R V B Z D z 1 a v X o r q 9 K 6 D W t h w 8 I I 4 D S O V U U F d f J 3 b Y R v d y x 3 q s I r b X g O d D 6 6 z q l C p W 5 E F a I q l 7 l B O N z r N q y 3 E m h 4 y 2 o R y e w h / N f r I C U 4 Q u c + M H u W B Y X 7 z 0 M T 1 9 + k x f X Q l 4 w z A D w g p s M f w 6 0 E R z V E 2 F p T s o v 7 C U b H Z F O j Q G 4 7 i I B w a W s Y b I S B v E 8 b Y Q l q z A R k o m 8 d D g o K a a 8 a Z E C L H k B I G g V k L y Y l N M 7 O C U K m C L w b a z O k V S B Z a + m 9 8 0 v r i W V M U y D U M e o Z J 6 e B b g e n A p s / e b y G g b y u Z Q J 9 / 9 V L j y 2 i s H O K N h y 3 g C Y 3 T O Q S / f u u j B g J u u d X m o f c x N z 0 Y 8 t M j q 4 g / d H p F C I C I a T b I Z A h P c k L A I z 4 q F J R + 9 H Z 9 Y 4 Z V L B A x A j 4 2 N C 2 k S A e N i G F u C 2 x z L N t D w 8 c x A M E w Z w r m 4 l 7 / 5 T t Y z m Z N E F h b m 5 T B p q J I A 7 M J k E g s d m n K 2 2 O X + d D q 4 u b g Z F t i G O T k M g R D r J K A T 0 g 7 4 / / z c 5 p 1 M 8 m P A 9 v 2 T F + a r Z x w c B f u 5 V 0 0 8 I d b E P w Y 8 j i A N d z 2 h 0 v q T u m R z g I P d I s s 2 O d U C v y n H H q A L + 9 f v 0 7 B r L A g b v 7 4 J Y 1 6 w + a A m Q o J h 8 B b T l f r 7 + u W 8 J g w s O 5 i w i f b l A z E w E w K T X m 2 s + M M 2 w 1 b P V k m I Z 4 x p T H j S O C t r m L X g n v Y 7 M v C L c T o D k B Q d A z 4 D U g y z M T A o j N e b z 5 U F i U P J 5 z X i + 0 S w F o p f j 0 m x 2 K d P L T Z U E 2 T V G i k / O S l E R 4 7 W 6 F d l H m x X M p h Q k Z z 9 b M / 8 9 I Q C A v 4 l c n v S O 1 t p o 1 h v t S u k D t Z a n T 3 3 I T c 8 1 W D h N Z t l Q h W X F M v 4 k x V o n P A 0 Y k g g n k h W 4 B k a i Q O b E f M V M b N c H T C N 3 V 6 n Z M Y 6 p C S m I k E i n 2 / w y w w L L B G B u g o b F 5 u 3 Y A x v g W 3 P P / + z X 4 q K G o / L r 3 A I m 8 7 E Q e q V v w c I h M 8 G m V D n I B j I F G I y Y f Y 5 z i G m s J 9 O n o h N A 8 s 0 M K F e Z i y h w t 4 m J l T i n W F N v B V w Z E e Q K v U p 8 8 k A R 8 n j x 0 9 E G s A d D Y k A o q H R W 0 9 r f x d A w s E J g s F k q L 2 w t y C x v v 7 6 W / r 8 8 0 9 p 1 u + g Q k 9 E y A / C I q A e M E g M + w w 1 g s 0 1 4 / F s 2 C U n R C a D m m K k C Q U J x W R S U g o b 4 0 A y I a 0 k V C T k p w 9 O 1 u l X Z h 4 y 2 o b S n a f A S q a t B M y j 8 8 2 O y M T X Z A E N H Z 5 F S A T Y U m j A I N T D h 0 9 k 7 4 v N g p F m Z o 6 i U f + w d A O u 9 i J v h J 7 r v f h w H b P 0 M Q g N 8 t 2 8 e S c h m W B f r k 0 m 1 K s k Y o G p q e o a e b l L 8 t n Q B j J 6 H A r P L t M f 4 L v C 7 f F S n l c d N Q N 7 C I T B b w a R j I M B M R Y 3 4 q A 1 n A 0 F Q D o 0 N z d F p w 1 t B k C S H + 5 2 i B Q E z P I K 2 F f Y w Q k 4 y N I 0 E S B N 4 o E x O u w h s T Z Q y W p q m Q R N H v 6 z M i / 3 S X H C t p I p I a M l l D w 8 i X V i C y I Y U F u V A T h b C t I H z g f 0 / B 3 t L 8 V W K W J J c O x Y K 3 3 2 2 a X o l C Q 0 + h w 9 7 2 4 z g P e 7 f u M 2 H T 9 z Q U i K J e u 3 e 9 X g N s a g z H E 4 a D e p Y M F v k x P h 1 w O q V k K U M I Z I K m 1 u k A j / k M h g 2 G 3 8 i D L 1 3 3 a A 0 + U V I m F W A V Q o M y Y F U n 3 2 + S U Z 8 P W x h I I 6 Z j x p A J a z O J K M T W 0 E m A F y 6 k Q r 7 d + p H A q l u R H Z z x x k H x n B G q t 1 l t 9 b q g v u 8 V u 9 K U h O I Y f Q R J G G + I X C H B B H p a M E s 0 g x a x v J t H 8 Z L a H w s L c 6 Y K f Y P c X S Y L F j k l W F g 6 q H B Y 6 Q V v G A X S X e g U 0 C 1 E 3 r h N x A 2 E Y v x l z 0 9 b M Q 7 U 1 y R K o V Z t w O + P 5 1 8 t k h V k R r d w V x V I g v U / k f Z 9 X B Z i L j b a i t j k / 2 + S h f r 2 K N B 6 Q V p j r B g 2 Y F 7 K 2 h w e H o l J 5 3 B d 4 P 7 m 8 j / d B o b 3 S 7 a H j G J q p g 9 / T 6 y + j N a + F a j w J l S Y J U L S c F O h 8 N X L 4 i r w P A t F K v y 9 C Q 0 R K q p T r z Z x e / C 0 C k t f b a g 9 s a 6 6 q M k w B A Y 3 / x 4 i U d O X q I 2 y F q 8 d 2 B M S T M a M A c P y x s / P 6 H + z T 2 4 j s a e v o 7 W n z b S Y W h P h k X W g u 1 r J q + G V 8 m X 9 w + E c l g J I 8 K F q c E A p M 7 4 T W U w 2 2 Y w c h o G 6 o 6 f 2 s T a t 5 v T z g d B y 5 q M y M c D d k 6 e w H z / z D o u p E z c x M B D f X 5 s w 6 2 2 U p l d s O + f Q 1 U u / 8 D K m m 8 S D V H f k G / u H R G r m E m f L I J w 8 C + f X v p Y W d 6 E 2 h j p F G B / + i 0 I Z E 1 N h u 2 R C w t J P P + Z b S E Q k P a W 5 7 6 N s T Z i B s 9 M R U J j Q f H v 2 B h X k d 7 B 9 2 5 c 5 f a 2 1 + Q 1 6 t m b G D Q F f v t Y d b C Z g H E 5 S Y r a h / m B W I i b e + 0 R 9 T N P I + N F o J 2 s a 0 w L W l 8 f E K k Y 7 y 0 g r 1 1 c 6 C E i s r S X P I f J V C M T B L j n y U v Z Z Z 0 J i O j b S g Q q q E s z H Z G + v v L Z Q s C r C J Z 7 Q 4 s 1 W h t P U L H j h / T R 4 g e i K 6 P w m w C b A 5 j l V j v C j h B M M a E f f + w J 4 W H 1 c x T t Q G Z D n V i V 4 D q S h R 5 Q D C s b Y J q e P X q t R W r f z F p O H 2 A N u C H I Y + S P h J E 5 U M a c x + 1 Z O L f b q 4 n a i u Z E j J a Q q E B 4 U G 6 H D C Y d e E W B O y O l 2 N O U a m w 3 T F q B q T B g K r V w 4 d B 3 8 0 k E w B X / L I z X x Z Y Y j 8 I n J R Y l K P 0 U I / l X F 0 D j J N h L 0 P s m 5 E u Y u R J Q C L k m U j Y e k D y h k D a b k J a 2 g P H m Q y u n T i K Z V R g I n E D w s M + v j O w a U Z 4 J q J / 2 k l f X e + Q R o 1 x K T N p F S o Z 1 D H M n H j 8 u E 1 W v m 4 2 A o 5 i G h k Z Y b I U S F g P 2 M M Q c w i x O 2 3 n 2 z S P g t R k M n F 8 Y P b E l W l i W c o S t 5 X M C B m 9 Y h c 6 A U i E x p X v 9 N G Z + s 0 5 j S 9 T U b n / I g 0 u F s n W Y L / / / d d y c g f 2 y s M 6 p O 7 u H v r 4 4 / M y A L z Z c O e V y X P G P h C p A F I S T o g C J l 9 H f 3 p H d z I l Y m Q y q p 1 I I U U c t U J b k 8 h I K b 4 3 K p 0 4 J G o r m R I y W u X D u i F U N K b w Y 8 1 O v h u 9 k 8 J W l V a v h p Y o Y v f Q 6 d P Y K 6 + S P r p w X t Q y z D D / M c g E 2 N 0 F 5 F t O f 6 n K Z K S S d p S l I z F V / U U J g 2 D U u R V l s X K k s a R D l U V Y D U 5 t 0 P i P h Y x 2 S r w e n S K f b 4 m 8 O b n c q F y i + u g h w S 0 L j y e P h g Y H V U c S C s n i Q j g A e n t 7 R W J 1 d r 5 O u n p 3 o 9 h V 5 K f J p f S P v u m b c t C M P 7 U + W a l r J o b E U X G U R K Z M J J F 2 R g i Z D K k U s c p A 4 A R t J V N C R t t Q G K P B S R b A 4 s K C c u W 6 M 9 s o f V c 4 W Q o 5 d p w R Q k E y 5 X B n g q 3 C s J d F b e 0 u 8 c K Z M S o D 0 0 g R N o I 8 j 5 2 f 7 7 z O p Y 6 G s v W H N F Z + L / M 9 D Y k U e a w q n 8 p z L P n V 9 1 d V l f L 7 J G 4 v m R A y W u W b W f R T A O o e N 6 4 8 N o T n Z m f I i f 1 9 t z h 8 Y T d N L 1 f I / D 4 M t s I R A Y 8 f 9 s r D z H O s m L U C C w / / / d + / p P / z r / 8 m z g W M V 6 W D A w 1 V N D g V p M H R 9 A Z m c 1 x p E N i Q Q y S N S a u 8 l T A I U f V P q 3 p K S q l 0 Y V F 6 p 4 n 8 1 M h o p 4 Q K N g q y i g P 1 B 7 2 3 k 7 a 2 Y 8 J g x p e 4 4 w D B 4 K T A f h K Y C Y 4 J t B i Q / e U v f 0 5 / / h d / K m u a c M p i u v i L 0 x V 0 + 0 E 7 h V g B u N + f m v q H f d 1 T Q 4 x M U e L o t B l n s q p 2 J j Z q X q w 8 L J N w V 7 e R z A k Z v 9 E l d h J a t r v E I I f K 5 4 t k t l G 6 W R i f t 8 s C v U T A g O / o y K j M R M c m K 9 j l F v P + I M F A K G x O m S q m p t V B C T e u X y c H B Z i o c 3 S 0 J k A 3 U 1 j L Z H U S J Y a 6 z l x S h F o V Q C q O t c S K j k E h g E A 6 b c i E d K I 2 k k k h o 2 0 o B J n L R m F R + / D Q s X 2 X w V b 1 9 B k E k 2 w z A e I 0 7 W + U c 3 6 x n 4 R 1 N y Q Q 6 u 1 b t T 1 Y K v j t t V f U 0 L B H t n b + 7 M J J G h 7 s p 4 5 n b X S 4 f P 0 t w 8 r z 1 9 4 H g 6 s L f 6 P E k C D k U G l F l J X l S i r F B 7 X N t V L 3 V 7 a P T A s Z b 5 C 0 D c 9 F i e N y u f n h S 3 L L A 7 p 4 c U 7 6 P x a d D g C P 6 H q Y n Z u n P b u r 1 O 5 I n M e A L b Y k 2 9 e 4 V w 5 r + + 7 y F f r f / / p b d X M C T C y s 1 X z U 9 z B 2 U p Q c m l h I x 5 f H q 3 d C J P 4 d i l B h u v T Z K X n P T E Y W 2 F B o H K i E Z f F 6 b R d w O 5 R x u H S B z u c 4 q 4 C p b J 2 M I Y j a U j z h l Y A E b G l p p t K y E q o 4 8 L M o S e N R k h O i y l A 7 B f 3 x m 0 9 C K i l y K 8 m E 2 B J A m G g 5 y G O C H s D l I M R D L C R T w e 1 y r m o b m R Y y 3 o Z C U P u 1 x d Q P q 6 q 3 l d U + 7 G S 7 E W A P c 3 j S 4 O 3 D Y d L W 9 V R W w C Z F S A R u 6 4 L K k r x V z x j r p z D v E I d b 7 6 u v J l f 8 / o U W M k U d D h b i x M g S n 1 f E U Z K J 8 0 Y 6 c Y z y R G 0 j 0 4 L t R s e b D f S D P y 3 2 l H g p x + 2 Q I 2 S w 9 b H p 6 Q y s 6 a 2 G z 5 r S n 4 S K e X Z Y I g 9 H B b Z f B m l m p m f p 2 P G j 4 o L H 1 s t 5 e f n 0 + P F j a j n Y Q t 4 E O y e p r c u c 9 H V b g L x T 9 y g 3 x y u n 3 O O 9 c H B B W X k p l b P t 1 j 7 q o q G Z l a S M J w m I 4 7 a H a T G g S A J y y C p h 7 i g l j n D M 7 6 3 2 4 1 u 9 F 1 8 w 4 K e i f D d 9 8 u k H + h M y F 1 l B K K A u F 2 M Q R X L 8 D N S h 9 4 R K D f f u 3 a P D h w / L O i e c Z D j L k q W g M J / 2 7 t 0 r Z F O b W T q i 5 / I a Y D I u l n b 8 2 z f P 6 Y u / P J V U E 7 j b 5 6 F Z y w H U 0 t k Z a a O l E 0 h 0 r n 6 J r r 5 2 R g k W J V M 0 V r v F g l D Y J d b s G B t i M o F U P / v 5 a V Z F M 9 / D m / F O C Q N x m f t 8 t K N Q j c 5 v Z V X P Y F f x u y 2 u R M O d n 1 s Q z 1 9 + X p 5 s W P n J x Y / p y J E j N D I y S l 2 v 3 8 h y D G x V Z g V e 9 6 z t u U i o U G B x z W c 9 7 4 8 j E 0 g E 6 W T I x K H Y i y l j q g x k U 2 q d i b W a Z 1 Q 8 B M 6 H p U z H H L K B T E B W H F o t g X t R m e V c u v r 0 h a 1 I r g O V I Q k b w b f f f E c / X L 9 B H R 0 v a E / D 6 h 2 L M K a H w 6 0 / P H t a 9 k e P d / Z A O r U c b B Y J Z V t W x + A k A 7 Q F w E g m E x R h 2 O 7 l c K j a J 6 Q w B D P X Y n l F G h O U x N J 5 l l g 5 X t f q 9 p C h I W s k 1 N A i e q u I 2 q F 0 C 6 t 4 B u 8 i n a A 2 4 d R A H F 2 K F b 7 J g K X t 5 R X l 9 K H l H F 1 o A V j q 3 t 8 3 I O l 9 r R f l h E c 0 8 k R Q p 7 w r y W S V T k p a L d P 5 h i U p C 4 Y 0 4 X B N E 0 n y O h 3 L W x 0 T I U m f O X t U f V g W g A n F t M q C 4 O P 2 h V 4 L C w 6 5 y a w i 1 V a S U o l W y q Y K N O J U l 3 l A 4 s N J A Q k 1 P j F B 3 3 9 / V V R B D P S W V 5 S J Y + J w 5 a y c M C 8 H d S c A B p 8 N G a w x Q l O 5 T 5 G D 1 b m R O X W f k k I m N i G W B 3 F j t p U 6 g a O 0 F P s F r m 4 T m R i y R k I B c A W H Q m H a k a d 6 v X h S b R V U F 6 w 9 Q 2 E t o D F 6 v K n v 8 Q A C 4 m B p 6 P 6 f f H J B J B o c F T h f F 7 v T e t j + G h s b k 7 G p e D w e d K 2 U O J x G v K M g S E d 3 + K g y X w 1 3 Q L N 4 N W p X 5 J J 7 r V I o F h S B k I 4 5 L P T p q 1 m D 7 L G h O P Q v g l R h q i 3 y S y W y E q F / h s J W k V L v o u 6 h w W J m e i r A W V A 3 b t w S S d T 5 u o f 6 B k b F 0 2 b w p r t H l s 1 M T S o X u g F I O D B l p z G W O l I P n E f A Z 3 + y d 4 n 2 l Q W o 0 K P I h H D r j U u l N f m s U g w h S i 7 J 6 z T I x f G v / u Z n q 9 p B J o e s k l C g D y S U U i P U I W x b E W k t i 4 g D G i X 2 p F g P o + M z 9 P D x M z p / / i w d P n y I T p 1 s p a L C H L p 5 8 z Z 1 d 3 f L P c d P t N L t W 3 f o 9 J n Y + A + 0 B J z 3 1 D 7 q i C N G m J o r / C K N k B Z 7 V w c / 6 4 V y L z x 5 q L u 4 Y D x 5 Q i K R T i q m C I 4 i 5 V a a R c g a G 8 q E s S D G M r C P n H r o q 4 m F + 7 I X v s U 5 m Y U w P D Q s G / h j l k O s 0 c a C s T X i A c 8 c n g / U t G S 4 3 9 Z D S 4 E I / f x n F y W P R g t 7 q l j v v z f Q P y j l + f k F d P H S J 1 E J 9 E O 3 m y 5 3 e m S L Z k M m p e Y p w m A q k i I N B 3 G D R 2 h c S 7 E o g a D K S R r X d Z 7 r E P V p Q o S l J M o u f f Y h v l 1 W B d u t l 7 1 Z 1 8 1 X O p Z o 2 u e h V x O 5 Z H c 4 Z Y k H G g U O V g a y W X K F / H N 0 t m 5 J f h N O 1 x h i Y i 1 h h a 7 u q b E a C P t r g E z w x m F A F v v 2 Y Y I r y O T 3 B 8 j v 8 8 n m / / 5 A Q B r s w u K C z E z H m b t 9 f U N U V V 1 F F e W r D y A A o P L 1 9 P T J D r L m O S L C g D p y Q g 6 o b i t s J 3 j w 1 O A t J 4 Q w m H + J a z K Y a 0 j E s R A G 1 2 U Q V 5 1 S i D I Z y O W A 4 0 C D A Z + c V P i P / / z n 8 v n Z B N u t V 9 l H q B w K U S 6 F 6 d 5 A n i Y U B z u T i h s g i J X N h A I u N f r U r O U E w L i P u Y b f C Q m G P S Y Q w 7 k A L x 2 2 D S i v K K X h 4 R E 6 c O C A z O 0 b H B i i H T X V 4 g F c y 8 a C P Y V 7 M P N c i A I y v Y b U w + c Z 8 h j J p E h l 0 h / t W Z R Y k S k s N t b z Y f t q Q u l Y n a W r D q c 2 Z + j K d C M m 1 N H W R m o 5 1 K S / V f Y g K 2 a b x w c f O e l 2 D 0 7 9 0 y o C A l e Y q f B s d 0 5 A G i Q C 5 s 1 d f x O 7 h t 8 J j x w a P 8 a U J l h i f f r p R f r o w j l q b m 6 m S 5 c u y k 6 v m A 3 h z f G K Y 2 E 9 h w W 2 M A O h D J m g 4 k G F F O J I 0 O T Q e c Q q K K l k y I Q 4 n k w I / E f n U X e 6 X E s p N Z + P V V x O H 2 Q y x d d 7 N o S s s 6 F M O F I H 7 U J X T r S S l C 6 / F U h 1 0 7 L n u U F L V Z A + b k g 8 t w + / G d u O J f v d O 3 f W 0 P P n H T I L I h l A D E g 6 M w N d n d w O M o F c e K 4 g C 9 K K Y E K q q H R a k t i E g S n U z 2 r S Y U 5 h l G R S Z 0 w i j q M d I 8 h 0 E K f a r 6 z v b A l Z 5 e W z w m e D K 5 Y r Q K s M q j J i F Y V K z 2 Y s B m x J 9 5 V I B D T Y t Q B J h r 3 + l p Z 8 M i k 2 H n h e b 9 7 0 0 N G j R 8 R B I Q T Q Z I k 2 f k 6 v 6 s Q 4 Y M z J S C Y E p L v G 8 R 7 6 H l 0 v 0 f l 5 X F f i V N G S S e p Q 2 1 S Y J H v s 5 E H 9 r b I P W b E e K l l o b n B z R U F N U B V j g u k V u Z l w y F 6 Y E 9 d T A Z w J p W X Y Y m t t l J a W y N 5 + 2 N z F C r w e 3 k W o h S K B t B S S E C X W y i D P m c m T 5 2 J C a C K B K E 8 G 7 B I r 8 i A 2 H Z 6 q H y n n z 5 M 8 x 2 J H s e 0 U 4 f C L P / s k Y V 1 n S 2 A b K o v / w R F B q F R r D 2 c q D S G 7 Z 1 N A S r W n Q C r M u U N I t l j Q C n g D T 5 w 4 L t 5 D z D L H R p p z c 3 M y w H u E p R O I B L K A C G p w 1 k g Y k A g x S 3 / J q 4 B p Y C K d Q B I O o V C E p h b x H r F 7 E G I E U / W j P H w c E O s 0 y 1 m q q C i L 1 W 8 W / s t a l c + g u T F f q S F C o F j F W S s z m 9 W / o V k H B c P o / p L j 1 s 1 b 4 k h Y 9 2 B p B p 7 P 0 6 d t V F 5 e p l 3 u e b K y F 0 f o o P M x h I K t N L W g 7 C D r D A d r H v d 5 7 H j G T E C d v 9 O L A V / 9 7 E 1 d 6 P q Q u p F y U 1 e 6 8 9 P S 6 p + + + J X + l t m L r C c U m p r H y X J q R Y 9 n e k G E W I U a V S b b V M F 1 9 5 a w 2 c X T t 5 6 E w o 6 z D x 4 8 k u N o M C k W t h K I i P E r O C P w r F S j B z l 0 4 + e 0 I o / J c 7 D c k + + O v a 5 9 2 E 6 B o J J u i j C I N W l 0 E B V P Y l 1 f / L l Y S F h U m J e S h M 1 0 Z L U N Z U K T S C l U G K t 8 U P 2 k s l T l G W I Z U q l e m F + 3 h Q A y r Q c M + O L 0 w V O n T k j e d C 4 I m P i K a 4 o k W G o R p u 8 7 9 f y 7 K I E Q 1 H W V V m F o G p N k H f T D a y e 9 n d N k k r r Q B O J 7 h H D R e l E B d p M K A d b 0 Q v S r v / t F w r r N t p D 1 E s r g c E u J V L C 1 N 1 Q V G 6 t 8 C V B X O G Q T q 3 o m 1 9 7 t C b 9 r L W C w F 5 t i w o N n 3 N 7 Y V N I Q B A 4 K 7 O + 3 4 F + m K 0 y k K 5 1 u f o 6 G O B x H V T 7 z H C 3 X + P n O L J q 8 D s a m k r Q m V j R v L V N e v S / + 5 e / 0 N 8 1 + Z L d T w v I P 0 3 Q q S 9 1 S Q V G 1 T y R U T F p F u O e V 2 F S u B B A s s 8 k 1 z H Z U M s A 7 h 4 F b z J I A 8 F u + + + 5 7 u n L l q p T 1 9 f W J q o d l G U I k / s 1 G J c N v H x 4 Z k T N 9 M d v k Z r e T p V O M H F F V T + 6 1 v k 7 H H K I k i Z b h m a s g a a k D B I t k M t O M O B w 8 1 C h 1 Z 6 3 L b P 6 3 Z S Q U s G t n g a g P V t U i S i p r J e s Y D Q C 9 r u p 9 F b F M 4 D / 6 X f / 4 g L M y G U A o n A q P i b Q g S N f r L j p 5 8 i R d u P C R O B 5 w i N r u 3 b W a T C C I c i A g Y M q S 3 + e X U 9 6 f P n 0 u z 0 u I I e T A P Z o k 1 t i k N X k Q m 2 e r g i q X t C G T r g u j 4 p n Y w d 3 5 m b N K B d 0 q 2 F K E A k 6 0 V t O y V K g i k a r 0 W D C N R C p e G g g 3 M l Z p o q q g d l h k m s z y h 6 C k r w Y I B a C X x / l R u + t 2 y 9 w 9 E A h G v p V I 0 S A q W S Q 6 d Q m T Z u e L 1 B I N J Z U Q Y p 3 N q t f L c 9 P P z q T N 8 8 Q z F l L F E 4 2 f P w g r 5 A p I H f 2 n 3 2 w d V c / A d r d r I L P 1 n Q 0 A w u X u g y E Z p 7 I 7 c M i A U y b O I j a T a O H h U p N p d Z p j N D A V u J + J p h M 3 5 J 8 a + B o 4 m R 2 N 2 A p M Z s X 3 x x Z r + O F G w s Y C i l d K X 9 h R 6 D K U P R W h 8 Q U b t Q 0 6 d a f C Z f w Z 8 h o Q R u d B F n U N x F l J L F x X n Z f K C 4 G Y 6 J L W k k m k F D x 6 Q T 9 f D 9 I / f / H X l J P h p x F u B L Z 7 X Y N b j l D A 4 N A s 9 Q 3 M k M 0 y G z 0 a C 6 E s x A K Z J F Z k w v I I + a d J x k m B I l e M Y J K K / f l R I Y 0 5 t E T l / q e 0 t L Q o i w J R 9 u p V J z U 3 H x D X t 9 w j t Y l 4 Z Q B 5 X r x 4 I b / J 4 b C L T Q W y P O p 3 0 g x W X c g 9 h n i G T C p G X q 6 h T I K R X E o S o S x s H E B G M k E a c T p K J g 5 Q 8 8 J M K K h 5 R 1 q b 5 X d t N W x Z Q g E v X o 7 R 5 I y P S e N i Y m H b Y S O h N K m 4 D A 0 s R i p D I k U k E / i P 5 g 1 i 5 C W D P 5 a k y i c C r u A h r 7 z N e n / 0 q g W 6 W j h S K T R 0 o t K 8 M B 2 t 9 s m 4 E b 4 P d t O V q 0 I E E y x 5 / G M y 3 b h 5 i 0 4 c b + X G v y y H s u 2 q 3 U V X O 3 H 4 g p V E T C r J x 8 g j 1 w y J N L E M o W J q c 4 x I K w m l p x X B C S G k C l D D n l r 6 7 E 8 u y H f e i t j S h A J u 3 X n D j Q R k 0 R I q K q 0 U q U R K 2 Z S 0 A n k M u Y Q 8 E m L k k j K 8 q c T I y 0 e s S C v E M t Z i 8 6 A T l V l T U e g i k I J b s 8 p y f H E f Z p y D B P q q E E L l o y T S Z S g E i Y a G h 6 i v t 1 8 2 u 8 R v f c o q 3 t Q i 1 o 5 Z S K N J Z Y h j J Z b J i x Q y h N J E U o T S d p K F U F D 7 x A n B h I L 3 1 e t x 0 x f / 5 W / x p b c s b P e 6 t z a h g J u 3 u r j y I Z E U o d C g l F 1 l 1 D 9 F O C G U S C p D I h U L g X Q A H V Q a 7 6 y v S V L H g L o Y h b m C h p 4 Q m h i x v w x r G Y h h i U t y M c N b n e R o i I N L E u M 1 0 T I V l B 1 k 8 h E 5 T C 0 Y t q p 4 u K 4 J J G R C n k k i h M J 9 R s V D s B B K y B Q j k X F I G B U P Z c o 9 7 q e c H C 9 9 8 S 9 b m 0 w A E 2 p I 1 d I W x w 8 3 O k V S i Z r H 5 B H 1 T 1 Q + S C u L l A L B Q A g m k x w / y X m h h L a r h D h C H q S R V W S R e y S p 8 3 L Z X F s f 3 I T x J 4 p Y H g 1 e x e o / / i z T s Z 1 + K v Q i p / J R Y k h A k T W v i O M P L t O t H q X m 8 R 9 F N H 0 t S i g Q S G K Q R Z V J b M g E D 6 E m V Z R I k o Z U U l J K 2 U t K x U P A Y Q S / / s 3 f 4 0 d s e d j u b x N C A V e v d 3 D z A 3 G M 2 o d Y S S d R A a P S C b G W V h z A F C O h h E C I 8 U / S m j h I M 1 R a k h q 6 f E W Z h h D E w F I N a O A 6 G U 1 H y / g X 2 J b p 7 B 4 f c c T F K J e E S i c J N 7 r d F L J I K Y m F M D o P w k T L F I m M J F q Z V k R C r N z j i l B C J i 2 V F K G g 5 o X I 4 3 b R f / 6 v / y D f f D t g W x E K u H q t g 9 U / / u F C J i W l l O d P S S h j V y l 1 D 3 k Q J w G p Q B 3 E y O O N J d a s Q b E l r R B N J A A I o Z M M b t b R f C y N h q 8 K E e 8 p D V J t M X Z 8 U n l z / e 0 8 q 7 O 2 C A V C O G H Q R q N z a o 8 N u U f i G I m M 2 1 w R i t M g j K Q V i Y z a J 4 R i 8 q h y S C F F q B W q n t h L x h G B t U 1 B y s v L Y Z t p 6 4 0 1 r Q X b / T f b i 1 D A o 4 d v a H J 6 S Z M K p F H E U u q e V f U z 5 A J 5 T A y 2 q F h I I 2 m 8 q 7 4 m M G W A T k T z c V j x 9 F V G / o I A A j T 6 B D H / y X V H q N A d p q F Z q K U o w j W + i F j u M + S x l A t p k F Y x 8 o p Q s f w K l Q 9 5 T R 4 l q T S h J C C t g 6 h 4 k F A q L i k u o n / c A s s x 0 g U T a l i q a b v h 7 t 2 X N D P r Z 8 J A O h l C I Q 2 C a V K J h I o n 1 E p p J W l + P 0 U m 5 P F f x f q P N c m I J j T 0 4 0 c b V y m G y n D z t m T x R + W F I K p Q E Q U 5 x C j X 1 y S 2 l h l y g S Q m b + w l Q y i 5 p m P J G x I Z Q q l Y p B K n Z f D W Q i g 4 I D D r f 3 d d L f 3 Z X 3 0 u 3 3 W 7 Y d s S C p i b X a R b t 1 / y U 2 A i R b 1 + i l Q i o a L E U k S K p X U A O S x 5 I Y v 8 1 6 S R e w z U t a S Q W l B V o Z K x a h F i C E k k p / O 6 n A P + y X 9 D G r n O M d Q 4 E 0 e v 6 V j I Y z x 9 H E A c E x s S c Z A 8 S G R I J Q T C N Z B I S y Y h V I A l O t H f / s N f U l l F 4 j 3 / t g N s D 7 Y x o Q A 0 q t / / 4 a G Q S Z E I a q B J x y S V 5 K N S i l s O y v H P 5 A 1 5 J E Z e 3 n 5 F 2 p J I A k 0 M k 8 Z f i V A I a q g C S c l / X a 6 D l F j y U i a x J h G C I Y 5 O S + C 8 I p F J g z C K S E r 1 g 1 R S s d n y S 9 l N y p u H t M v l p N / 8 9 3 / i x 6 L U z + 0 K 2 4 O e 7 U 0 o g 8 v f P C R / M K K J p W w r o w J G y Y S 0 I R X S + G f I Z G K 8 m c T I S 0 Z F A O 5 Z E 8 I S n U q U V q S Q F G K Q w p R J V h N F Z Z g M K q 1 I w 7 G + v l o q 4 R 5 F o i i h D I G 4 T B F I l Y k 0 Y j v J E A q v w 2 z 3 / / j r v 5 b v t d 3 B h B p R N f Q e N D E x S 7 d u P e e n o l Q / o w K u I p T E I J G J V e A / m k j y N 0 o g u b Y C O o 8 o + v R X V o O Q R E O l O c h / / J G / K t Z B r l j y K q j x J q R B D K S N W m f K Q A i V 1 o T S s Z C H 1 T r c q 1 Q 6 Y z c p x w M I h W l P v / q b X 1 D V j i p 8 m / d g v C d U A n z 1 5 U 0 K L 4 M k T K b o + J S W V l Z i g T j R + X 9 g B 9 I c o x x v Z I k V d B 6 I J j R 0 L a g o l m E 6 6 D R S U i A E k C s r 0 i o w A 6 L p a B A C W U g k a U g i j n U Q E h k y M Z G M R B I S i Y T S q h 6 k E r 8 W S 0 R + / Z v t M 7 6 U K m w P 3 x M q I Y K B E P 3 2 q 1 v 8 h L S E 0 h I L h J F 0 l F A 6 5 j x I I m m V k L Q C 0 i o W 4 L J J R M E N X 0 U a 1 j y I o T M g C F I o k L S O V w V F I P 4 j J D F 5 I Q / S K N M k M u Q y B J K g 1 b t Y z F K J y 1 1 O p w z U Y n b 7 e 8 S D 6 P 8 D / j u B y K M Y n W k 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 G u i d = " 3 0 d 5 b 3 e 6 - b 9 2 5 - 4 9 4 a - 8 e 3 7 - 5 c a f 7 a e d e 4 3 e "   R e v = " 1 "   R e v G u i d = " e c d 0 3 2 c 9 - 5 3 e 8 - 4 a 8 b - 8 a f 2 - d 0 0 1 1 c 8 9 1 d f 3 " 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i = " h t t p : / / w w w . w 3 . o r g / 2 0 0 1 / X M L S c h e m a - i n s t a n c e "   x m l n s : x s d = " h t t p : / / w w w . w 3 . o r g / 2 0 0 1 / X M L S c h e m a "   x m l n s = " h t t p : / / m i c r o s o f t . d a t a . v i s u a l i z a t i o n . C l i e n t . E x c e l / 1 . 0 " > < T o u r s > < T o u r   N a m e = " T o u r   1 "   I d = " { 7 2 9 E 6 4 0 F - D A D 6 - 4 4 4 0 - 8 D C D - 9 0 C B 4 B 8 F F C D C } "   T o u r I d = " 5 5 e 6 a 0 2 3 - f 1 9 9 - 4 b 9 5 - 9 8 0 9 - 2 a b 7 e 4 7 2 f 3 5 7 "   X m l V e r = " 6 "   M i n X m l V e r = " 3 " > < D e s c r i p t i o n > S o m e   d e s c r i p t i o n   f o r   t h e   t o u r   g o e s   h e r e < / D e s c r i p t i o n > < I m a g e > i V B O R w 0 K G g o A A A A N S U h E U g A A A N Q A A A B 1 C A Y A A A A 2 n s 9 T A A A A A X N S R 0 I A r s 4 c 6 Q A A A A R n Q U 1 B A A C x j w v 8 Y Q U A A A A J c E h Z c w A A A y c A A A M n A R m n N Y s A A D r O S U R B V H h e 7 X 1 n e 5 R X m u Z T u Z R z Q C A k B B J I J J E M B o w N t r u n e 2 L P T t y Z y 7 2 7 0 3 v t X r t / Y n / K f p 2 9 5 s v s u t 3 d t r E J J m c E E i A k l B P K s b L 2 u Z 9 z T t W r U p V U J W R 3 l c Q N R y e 8 b 6 X 3 n P s 8 4 S T b l z / c W 6 b 3 W B M O p 5 f c J Y f I 7 w 9 T J B K R s L y 8 v C I Y W N M G N h v R p 4 0 + n V O w 3 t f T 0 0 P e 3 A J 6 P l 1 D V Q V h O r Q j J O X 3 O k Z o x l 4 n 6 f r S M P n H 2 q i 5 e T / Z 7 X a 6 e e M W n T 3 3 o V x 7 + / Y t O Z 1 O K i 4 u 5 s + y y f c D c F 9 b z x y N B S o k X + B Z p t P 1 A e o Y c d L g j E O + 1 w c 1 k + R 1 u 8 j t 8 f D v 8 5 P D 4 a D Z m V m q r K q U 1 8 / N z f H 7 h a l 9 c J o W f H 5 5 n / d I D t u X N + 6 / J 9 Q a y K s 8 w Q 1 t m U K h 0 A o y A e s R C V j m + z 8 / E F h x v X / K Q S / H n G T n B u 1 2 E P k U f 8 h h J w o z F / I 9 R G f q Y 4 3 3 2 5 d c o B E M + i l v 5 h 4 d O 9 p M H e 0 d 1 H q s l c K h M I 2 O j l B 9 f b 2 + S y H E 7 3 X 5 h Y N J 4 h S i x Q P f 6 c K + A E 2 P D 1 F V 9 Q 6 + x 0 6 z s z N U V F R M S 0 t L n J 6 l m p o a I R Y I O z Q 0 R E + Z W O + R H L b f v i d U Q u R X t J A v 6 O U G n J x I V p I 0 V Q S p M j 9 C X l e s z F w P h 8 M S 4 7 3 C y z a 6 1 V c g + X h U F 0 Z o Z J Z Z p Z H r X q Z 9 F S F 5 X 6 B t y E W j c + o 6 3 v v T J h 8 T a Z S q q q p o e H i Y i R + g H K + X 8 v J z O T 8 q n / s m 2 E Q e b 6 6 8 x k C o F U e w H Q V B K l 3 u o / L K S n K 7 P d y B B L n U R t e 6 8 z i y 0 8 E d Y a r K Z z L n 5 d P s U o B u t n W q F 7 7 H C r w n 1 C r Y y F N 2 n A K B s D R I Q y Q T D K z p p t x u s l O E e 3 I H 7 d h R r U t X 4 t t X X p 1 K D F H 1 q o N 0 u T P x f a d 2 B y i P C X a t y 0 P N l U F 6 P u q i 1 p o l e t P + g E 5 9 c J L G F h x M A q I O L s c 3 i y w M U k N t F f V M O q k 0 J 0 K H a 4 I 0 v W S j s r x l l o z q u 8 8 H b H S v 1 0 M R S w s o z Y 3 Q T v c A O E R 5 u X k U X P b S w + E C c r E k P b I z T A X O R S a s 6 h C u P O m k I E v H 9 4 g h 1 h 2 + B x X t P E G O o m P k 8 w V F x T O E i i e V l U x Q 2 3 b v q q G J 8 c m E Z M K d h k y Q X r u K t X 4 X B 1 y 7 1 + f W u d X A N a i D T v u y k A l 4 P J R D n l p l R 1 X m h W m I 7 S L z z e x 5 O 1 n i h e k z l m L H a w N M i G W q Y E l n y A T k M 0 E v s m 0 H S X d h r 5 / f m 5 h 0 d u o b 8 / F 9 D p F G o 4 P d c j 0 Q W q Z H A w 5 y i f Q K U T u r m w c a W u j z U 0 f 1 u 7 0 H Y P v t z Q e W / m n 7 w s t S C U 4 H Y y s Z 0 s T H V q A M D b a 9 o 4 N a m p t 1 6 U q M z j m o b V g R I F 2 g I c / 7 b d L Q H / S 7 2 d Z a b Q c B D a U h a i g P U f + M k 5 Z Y 6 v S x j Q b s L g m x K p q Y w G v B 2 F v z 8 / P i p O j q 6 m Z y 5 d E b P 9 t o j h x + z z D t 5 s / E t W e 9 i 3 R y f y n 9 7 u 5 z e c 1 2 x 7 Y n V E 5 h B Y X s t c q + i V P x g E R E A l C O B h 8 M B F m i L V F h Y a G + o g A 1 6 m q X V 6 R K P E A Q l N e w B H E 7 + c a w j 2 Y n B u l Y S x 1 1 j T v p D a t p V h R 5 I 7 Q Y t F N w D e 3 q 3 B 4 / L Q V t 9 H B g p Z R z s 2 T 6 s N 4 v K l s 6 M K T y + f z 0 4 s U L c X g U F x d R / 5 S T X r 1 1 0 r 7 S R c q J j I v 9 x i y j 3 F w P t f e N U v / Y p L x u u 8 L 2 1 T Y m l L d 4 D w U i x U y m Y E J b K R G Z r G W Q T h 2 9 0 9 R c V y x 5 X J p Y d N B r J g U k C 5 D r j n C D D i h H Q B I M D 4 9 I w 7 S z / t g z i d c n l m h o 4 w m + U s p o Z G l V w v b U X V Y f 4 c Y 3 f g m 8 J 9 7 W x n / j v Y E + J m l g a U a 8 f E + e P O P v W U G 9 4 R a 5 / 2 J j g B y s g u L 5 D Q 8 N U 9 P + J o r Y n f T d / e 0 r r b Y t o X I r j 9 H i Y k S k E k I 6 R I r H 4 R 3 B V W p d Y 0 W Q 6 k p S M 9 g f P H h E x 4 + 3 S m N + M e a i g e k 0 x U k c I I 1 K c 8 P k Y H t p a H a l t E s G 3 / w E H a 2 Y p O r q a p Z K P p q b n a M l j u E 9 r K y s l L K j R 4 / I v b 1 9 w 9 S 5 V C / f t 7 I g Q k d 3 h i S N 5 5 i T k 0 N 2 J t / X 2 1 Q F Z E I 9 3 H a E 8 p b D 8 b D S X t o o m e B 5 g 0 p l g P f r 7 n 5 D + / b t 1 S V r 4 8 q V 6 1 S w 7 1 M 6 s S s g + W u s J v p D E W 6 g P 7 6 / q C Q 3 Q g v z c x S w F 0 n + f N 0 s e T 0 r V c a H D 0 H 2 Y 5 K G J K 2 p 2 S H p M D + S q 5 0 e y D S 2 3 8 J U X x I g l 8 s l x I J t F W K d 9 u r T L r l 3 O 8 E u u s g 2 C p 6 y Y 7 S 0 F E q J T N Z r i b C r O L y C T A A a F E K q O H L k I O 1 y D e g c 0 Y W 9 P s p 5 e 4 X 2 V 0 L C h S j f A 8 + c v p g E D r 6 e 5 1 o m Z 5 q C b W r R H i U T M D + / K L M 2 r K i s V L M s A H g x M e A r M y r 4 M y 8 1 + e m j v X 4 a m L L T 0 2 c v K B A I 0 M L C o k i q x Y V 5 O l R T x M + C X 7 i N g u 1 3 t 7 a P h H K V K J c 4 i J T I Z r J i L S J h w P V s H J E M 8 L 7 X r v 5 A n 1 y 8 o E v W B 6 b 3 z M 3 N i 9 H / + N E T O n H y O H k 8 s d k R w I 0 3 H n E 6 x K M q P y x j T A b 4 2 m P z d h q b c 9 D Q d I Q c z t Q 8 j J h e F H r z J f 3 J z z + X m R H j 4 + P U 1 9 t P B w + 1 r P o u A / 3 9 V L t 7 t 8 7 F Y D o T / B 5 M g 4 K X c H J y m n p m A l F 3 / l b H t i E U y O T 3 K 8 l k J V K 6 Z P p k H 8 Z r V l / H t B x 0 U e X l Z e R 2 J x 9 P S o b b t + / K 5 3 7 4 4 W l d k h h z f r t M X R q a V e I I 0 5 U u 7 l s 5 T x A I M 7 G 7 X n d R U 1 M j z f r s 9 I p t s 2 l f j J B Q V U F Q 6 6 C u e + R b O n z k E P W 8 6 a H 9 + 5 v o 5 c t X 1 N p 6 d J X E n Z m Z o Y K C A l H t 4 m G V 0 I F A U B w t c G j c a O / d F q R i Q j 3 a 8 r / T V d K a E p m Q z 0 F D C 6 y W B M C J 2 i C V 5 K x 2 N M B w r 6 i o k I a z U f z + d 3 + g j y 6 c l / G e V A E P n H W q k x W Y h j Q w 0 E 9 7 9 6 5 v y w U j N h o c m a K d l f k 0 M z 1 D u b k 5 1 N 8 / S L t 3 7 x L S v G Z i g m B W A k G i L i 9 H Z L g g n n C G V A i L r C J i O l R f X z / 1 z W 9 9 S m 1 5 G 8 p T 1 i p q n v H k x d t N B i a f j E x o M / F k W l x c o g f 3 H 1 J V V f U 7 k Q m o Z v s k H T I B y c g E e D x u m c + X C l w s c e t r i u n x w 8 e s 6 r 1 l Q u X S r l 0 1 T M h B k b Y t L W r Q u r 3 j h c R A Q U G + k A l S L N G z R M C z H h o c E m I 1 N D T Q 0 d q S V f W z 1 c K P 7 0 r 6 I 8 L L Z I I D A m Q y d h O Q j E x r o b p A k Q n u 4 x f c s N q f t 8 v 7 w d 6 B W v O u g M 0 B Y 3 8 z g a U e + L 7 r 4 d m I s r N O n j p B o 1 M B J t W E z D R v b N w n 5 Q C k U 0 v z A Z Z c A + J 8 M I B K C X U 3 2 T N t a N h D C w s L / K z C V F J S Q i f q K 6 V 8 q 0 K a w l Y M h T s g m d Q 4 E y r X V H C y i l 8 L c E A c r A 7 S k y d P R R I d 4 I b V c r C F 8 v P T k y h r I R g M S E + + m Y A b O x W S Y l L u z R 6 P f P 6 x Y 6 1 i B + 7 Y o d z j 8 a i t 3 S X P 4 N W r V 5 L H o O 7 I y B h N z I f Z b k v 8 b L 2 s 8 p k 6 y M v L p T O N N Q n r b C s E l l C J i r M 7 F F T t 4 x 4 2 s s o 1 b i r Y I D 5 v Y G 3 X m F 4 E r 9 7 Y 2 B g d O X L 4 n V W 7 Z J i Z m d 3 0 9 0 Z D h i 2 V C t B p f N f p l V k U E w t r K y 7 w A j Y 1 N d H 0 9 L S M T T k 4 / 2 g w h 7 5 7 5 a H 5 O P 7 i G Y O o e H 5 G Q 4 D 3 b 0 c e f u v q u s v 2 s O V s K I z S z y / m S c 9 p l U 5 r k Q n z 3 b A W C b O x A T s t 0 6 G i P j p b O 0 W R c I S C T M z 7 9 x 5 I Q / g x A A N f Z h h w w 9 x M w P 7 p j R t X W g u X 9 K r i R 4 P u 6 L q r t Q A 1 t a 5 u N x 1 t P U L 1 9 n Y K h 4 J 0 6 4 0 7 4 b M u L y + n t r Z n k o b t t b u m k l y Y 1 J i g D r M 5 b G 4 N Z g D s + Q e Z T O t 7 8 6 w I h G 2 y s O / t v H o c F x v 9 V F 1 V S b n c y C G t s O r 2 w 7 N n Z O A T R j i I u p m A g Q 8 1 a 3 F x U Z d s H u b n F 3 Q q N Z z d o 0 R M 2 7 C b x u Z T H y n e x / b W z w + q D g k r j B M 9 c 3 g K M T A M S R z g D u / Y F r S n t p Q N l V N + V N z j x g k R X 6 l A o j I D d J i Y 8 A o 8 f P i Y b Y M R W R E L a Q e D e s e O K t q 1 a y d d u X J N 1 J 3 N R E F B I d 2 7 d 1 + W S s B 7 u F m A C z w d 5 L q W Z T k I 8 H T I x c 9 L k i n j s / 2 K k C D V 1 C J q J Q Y Q C T Y d 9 s D o 7 e n l S r P R g Y r c h H W Z t e E P d 5 6 k + c g y E 5 6 C S l o K V 0 r j B 5 m M v m 4 l 0 F p k A g y Z M H C Z a H w F v S v U M x j W U P 8 G B 4 f o 8 O F D Y v x v F m D 3 3 b x 5 m + 2 1 Q + J G N + + N 3 z U 6 O i a S D L Z R q u j o e E H N z Q d 0 L n V 8 z / Y U 5 u s l G z h e C 1 i a 8 n 2 n m l 1 R U x S h p s o Q 2 2 U O W f C I Z w p J n J + f L 7 8 V 2 s S r v h G a j 6 Q 5 b y p D s W V s q A B V r + v R W w s 7 2 I Y y e P n i 1 S o y A X A X F x Y V S k P H c o u D B 1 v o 7 p 1 7 b H C / 1 X e 8 G z D d B z M m T p 0 6 I b 0 5 8 o 8 f P 6 U 7 / B l w V 1 d U l M u 0 n n t p 2 H O w c 1 J x n c c D K 3 k B k A M r j t N Z 6 Q 4 S Y j U w J P 7 Q j J 2 u v v b Q / T d + f g + b 1 A n G u T B Y j G e M I Y d c W z B h n W Z j U E Z D l s N b d k R 6 O q u q F 0 + m t c i 1 u z h M B 6 u V N w y N r 2 H v H k n H A z 2 r y + K J w x y 3 c + f P s h R x s h p 4 d c M 2 E D x 8 V 6 9 e Z 8 m T Q + f 5 / e C g Q A 8 O 1 3 U r G / x H j x 6 W + / B 5 m J E B w k F i 4 T P X U z 2 9 X o 9 8 L 0 h X d A h G c q 8 H P K / A 0 p z O E V 3 p S l 0 q A m f 2 B M i z p F z r e K 9 8 7 o S + e u I T g i K P T g h O G J A K 0 6 R a q v L l 3 m y H 7 Q 9 3 s 1 v l c 3 k L y G + r 2 7 C q Z 1 V p J i Y m Z Y Y B G n M i P H 3 6 l F U x t S Y o H l B f O j u 7 x M G w c 2 d N Q g k X D z T y x 0 + e 0 P 6 m J r H R k r 0 G v + n 6 9 R t 0 4 c L 5 V f d g A P b Z s + c y E w E z w + M 9 h R h U l d n h D k e 0 w 8 G z M r P C k Y f j Y p 4 l H + 5 x u d 1 y 3 c N q Z e O + B u p 6 a 6 e p Z b V H H / a l + H h v e o P P 3 9 z t p w N N 9 e Q P 2 u h t 5 w 1 a L P 9 Y y i u 8 c 3 S 0 T n k E 8 X n w p L 4 Z n 6 d 5 t o G z G b a v 7 z 7 N a k L Z C w + z V F E u c j Q O V F C q Z A K s K 1 e x 0 O / E C b X 2 J x F g 2 5 w 9 e 0 b n E m N q a o o m x i d o 7 7 6 9 S Q m C 7 9 T V 1 S X b d c H J k Y q 7 H O o f 1 E C o c I k A 4 j x / 3 i H r l b D M w s y 7 g 1 S C T Q j J l i 7 Q S e C 5 X u / i 9 3 K q T s b Y m e k A U h T f u 6 3 t O e 1 o O E J P B p V d i O d j t 7 F 0 q v T R w k Q v l b N K 2 z H y 4 w x N / F T I a h v K W 9 r A D U Y R y Z A p H Y B M 2 H 8 O g 4 4 D A w M s m V b u X x e P V G Y Y F R U V U X 5 B A X W + 6 k x o 5 y w t + U S 9 g z q 3 e 3 d t S m Q C c n P z x A m S D L D r P v j g J J W W l s i M D v w e E A I 2 F w i + E Y D A U D M / a 4 m p u b 2 T 6 T s P Q K b J y U k h N 8 b 6 j C c Q C E d s 9 H T Y w 8 + j h g I s S S t z u A 7 j 6 j m b g u 3 r e 9 k r o W z 5 k E 4 B 6 U W N Z L K S a i 2 C + d g + a M 7 v k w F H 2 C x m t W k y 4 L 0 e Q o K d P K 5 L 1 g b U G D Q i q F C F T D A 0 b E w 2 h e Q 4 c E B t p 5 w O I G X C b I C A M K k A j R e G / 0 6 W g P j 8 t X 5 b K r D u K 3 h s V 4 D K c l O z x e K B 1 c x 7 9 z Z I G q 5 1 f K 1 I Z F k G h X M n r 9 O h Q w e p c z J 9 K Z g p S K 9 W M w h 5 l Y e 5 0 S Q f w L W m E 2 F 5 2 U Z 1 e / a K R M G M g v U a H N 6 v t K x U 5 9 Y H C I r e f e L t O H 3 z z W X J o 7 F g 5 n a 6 Z A J A U D g / U g V + U y n b Z X b + X e 9 K J s C L 3 Z k 0 H g 2 4 W Q 1 c u e g w V U D q m b q B F 9 B U E 7 5 j p O I 0 d z h 2 q s 1 d u + 4 y G f y T 8 L C z L 7 D J E F X 1 N o K c 3 H y p 0 F S B z 0 l n / A e A q t P Y 1 E j L 3 A P D 0 f G u D T v d 1 3 t z v B t + P v H A N m V W + M M 2 G t W L H N N B m a V T s v 4 a / L b F o I M G Z p y i + p l 6 z r a A D o x / T H a F n N J G 7 r G T T 3 y 1 p p O B 3 y Y t 4 D 3 R u 6 Y L v C 4 3 b 2 3 b L B V A 3 U v l d 1 k B S Q g 7 a j O A 5 w 6 H x P x o b E / z N r 3 s Y y 1 A 9 Y T D Z H J i k h 4 + f E h P 2 5 5 F 6 y 2 o u W 4 6 C s Q 9 E y 5 a s p f S r g J 1 O k i 2 h a x U + Z b 8 n m i l b B T u N L k B l W s j 6 5 7 g 1 j 5 4 M P G u s q k C 7 n W 4 x j E g m g 5 g r / m W N s c e A S l k B 6 S 6 l c / 8 e r d S / f B 8 4 u v j 0 a P H s u k L 3 P Y u t 4 u a D z T T h 2 d O R 1 X e H O s C S b R G 7 u a W O c Z Q R n A p v T m I m Y K s I 1 R O S T 3 3 u i t d 5 N a K T J V k Z i A 3 V a C n x + e m C w x g p r s S 1 w p 8 7 r V r P 8 i A r 3 G F p w L z H H y i P r 0 7 M B y A y a 2 7 d + + m / Z U x q e c P 2 e j B g I t + + O E m v X z Z K R 5 M T H e a m p r k 7 + u U Z R 6 l p a W y B 8 X Q 8 L B + l c K i p Q q w b R o k F A I O P B i Z c 1 C x P b 0 6 y g Q w o V T P k C 3 B F 8 x / Z + m E 1 y 9 M 9 N H d u 3 f F F R 3 / X v A 6 Y c Y E J I O J 0 b B T m W g K t z g 8 e v D w Y S U r P i t d y W K A 7 / X k S Z t s 3 B K / 8 9 B 6 u H P 7 r n j U S k o S j 1 u l C 5 D Z p i V L b d y B B 9 i O D F J n / / 5 G + v j j j 7 Q X 0 y F 7 U l g B 7 5 6 Z p m U 9 8 y r 6 / F H F / A e k G l o o o n w P V M r V b S C T g + 3 b + 8 8 2 3 j J / Y q A X C 3 o O i F 6 O h o o A m A q R v y k Q L T L T T Z e O V U o j g T s a r 4 f r H G n M G s A M c 4 w R 4 a 3 Q U N w e t x i b Z W V l + h 0 U 8 D q M Y b 3 o e K l U Q u 0 S B / H g 1 Y P N l Y o H M R l A d s z c g G s / H U D N 7 O 5 6 Q 6 3 H N u 9 k j H t 3 7 8 s S e f x m P B O s l 8 I S D w P r A P l a u P 8 m Q N O B 2 P l Y e I m p v U g Y u / i y J h A M U D g U o N O 7 F 2 h o U T a I l j u y A b Z v H 2 Q P o Z x F B 7 n B b 3 x W h I F 1 t B + v g U o F d 2 1 9 f Z 0 M u K a i W m H Q 9 t H D x 3 T s e K t 4 8 L B y F U v i o d p Y g f e H d M O m + 2 g 0 U P + M D b E e / v D t V a K a T + n n L a k 7 F v B 5 g 4 O D 0 k H E d w D v A k z O x c T g W z d v i + T B y Y Z B Z z E 9 H f I K I W B e m g W K a w G r e u N W y k u H g z V n q F M Q C m Q C q Z y 2 A L W U z 9 A k b d 5 W A z 8 2 H F / 8 t / / x v 3 Q 6 4 x G 0 V U r j R K M x w c C a B u A S j 6 8 4 4 P w e / 4 o d V l G Z 2 G A S + 3 c j p N L Y + / r 6 p P K b W 5 q j q p i T 3 x Q b X K q B 4 p h 7 H Q s S p 6 e n O G V j y e p n Q / 0 J V V d X R d V I k B e T V 2 H 0 Q 7 0 0 o Y O l 3 k y w g G 2 R C Y q 4 y q g k 3 5 6 S m x + / B 2 u 5 Y O + k S t x U A I f M 2 7 f j 1 N B Q T z t 3 7 p T v P j M + T J X e G R o P l g q p 6 k u x x 7 m 6 P x 6 v x p z 0 i G 2 t B F U S f Q 3 X K P 9 R x I p w H A w t U 3 X u I v l s G x v z + m O A C f U / m V D 4 R Z k d H J 5 i C k T y R D r F k y c R E p E J 6 B r x k c c 3 Q F 9 / c 5 k b d q X Y N 1 A h l Y 2 0 t q 0 D q X T / / k P x W j U 2 N k r j N T A q n v l + y O O + z s 5 O O n H i u E g u B I z D Y A Y D G v v s 7 B y 9 f M H E m Z m V c r w f A q 7 h 0 O i W x h p 6 8 v g Z B e Z H a V d N N X l c 6 x M E Z M T 7 Q 4 J A 3 d w s Y C 0 W 5 g h i n R i + H z o S 2 G d I O x f e 0 K K 9 Q o 7 c M d s I G I B I z 4 d d N M l 2 1 t p Q S z u w 1 x / I J B p I J E z F O S G R f m E b e s G V b S I T A 6 t 8 z 9 d v n R k A R 2 E L 9 + L q Z E H 1 4 N e W U M l Q 6 + 6 n o e 5 2 O t p 6 W C o N j R y N / 9 a t W 3 T u 3 D k p g 1 M B M y j i A d c 1 j m x x 8 / 2 J g O 8 A G + z a t e u i Q s L L 9 c k n F + T 9 N w p I h W t X r 9 G n n 1 1 K O j E 2 H p B 2 2 F h y I w s L A T x j d D K m g w G Z M G 3 K n B A S D 9 h s k L j 3 R y v o T 4 8 o 4 l i d D m s B 7 2 Z q D l u N w Y 7 C / M o w 7 K g w 1 z f H L S W j 5 M v D O V S Z j 6 w Z 2 O X 6 l c Y O b J R M g M f m I w f r T o 8 e P q F n b c 9 l y T l U O F q 2 y 0 K + p 0 / b x E N m B d 7 / 9 e v X 0 u M n I x O A J Q g 4 R d 3 j 9 t B H H 5 0 X 5 8 a 7 k A m / F + Q o K y / j B p 1 8 Y m w 8 Y D / 1 9 v Q J K d I F P h N L / L G h C h w t 8 H h i P C k Z m Q B I r c m p K a p 3 v p Y 5 f + u d J 2 x F o p q T T 7 F 8 F m a o W N t C J g f H r 0 X l y 2 y 4 c 4 r I F 0 p d 3 V s L 0 4 E c O n u s j k q K C 2 V v g 1 O n T k r P j 0 m n W E p R X l 5 B k x N T L K E K o / Y R G t b Q 0 E h 0 g B a q G u w e E 0 B K h I H B Q d p T X y 8 b R O K 1 2 D E J Z E h n / M g K O A K w 3 B 6 O E t h l q Y x n 4 b u i g 4 B 6 C u m b 7 t 6 B I A 2 8 n f j 9 a h s A k v c y x 9 g k A u p l f H y S Z j w t t B S I i L d z P R R 5 l 2 U M y w p M 0 Z L O k k k N Y k v M 6 h / K g s s 2 7 s w 2 z y b 8 s c D f E D 8 q s 0 P E v f O d i W Q Q c e T S o 2 6 c Z e S k j 1 k d M 4 C n D h I I b u o 8 b o S o U N h A / f 3 9 M q h Z V 1 e r 7 y T u v d u k 4 Y E o k E B Y U I g G V 1 5 W L m o S y v F 9 R 8 f G x M b Y C C B d M E C K 7 w Q V D I O m G N t a D 3 D j F x e X 0 M V L n w j J Q T C g p 6 e X v v r t 7 0 U l N T D P F B 0 E S A R A I k L l x c F r T 5 + 0 0 d 2 7 9 8 U J s R b w e / v 7 + 8 g 5 c Y f y X a s 9 f a h F D C k d q A p R g U d p G T O W g w u S Q t 8 y O O 2 g n A B W J s f a R K a G r J B Q I T Z 4 r X P 3 r N g I 0 R Y C N m r e 6 e H G r v J G 0 p j J r / D 6 w V O G M o z y 4 y P a n j 6 j n N w c s W n Q S O F i h 2 q F 1 6 D R 4 x x a j D 9 B i o B k G M D E H h C J b L F U A L s E G 7 J 0 M y m w 8 A 6 e Q V E 5 O S Q D F v L h c 7 F X H o D f A X c + X o N O 4 d i x o 2 w r 3 p H n C K m C F c r / 9 / 9 9 R X 7 f k n x P q L p D Q 8 N 0 5 s x p + R 2 Q U h g L S 2 X q l B m 0 P d l c T Q t B B + 0 q C d O R G n 5 O Z R H a V x G S 0 x w L W S p F I j a a S O K g Y N k k 9 R m V U O K c w B B J m H Y V L F L Y n f n L 5 L P C h g q H 9 Y P W 5 N k I i a x w s Y 3 z f Z d X P I H Y l 2 F q a p q e P 2 / X V 5 V R X l V V K T s a Y S w H S 8 v P f H h a x p K w 8 h X b f B l 7 A k f C o I f G N s R Y x g 6 P H X Z G g g 2 S b D v j 9 Q D J C E L j s 7 H y d 3 B w W E i a S O W D 5 L l x 4 5 Z M / U G D x s C y A Z 4 T f o s 5 e R D k / + i j c 5 K G S u r z + + j v / + 4 / 0 A c f n J J N Z y C x T 5 / 5 I N q x 4 P M W F l O b U 4 f n g S N D 8 R y P M p G w T w f m 5 M U f / Z O s 5 h L X K Z 6 x e s 4 j s 9 k x W X Z j + s h P C K c 7 V / d W 7 0 a i R P j q a h u d P v 2 B q G w Y g 0 J D B t D Y p p l k V q C R o e e H T Y K A H h 4 b Q W J s B V j m P A i F g U k / N 1 S s n k 1 m x K 8 F / F b s z 3 f y 5 H E h E S R k X f 1 u I Q 0 + 0 w D P A y 7 y 5 + 0 v 5 M j O c + c + l I 3 7 r T P i 8 T s g N V + x u m j I C G k F t R T 2 U V N j o + S N r Y j X G s 8 e P g u e u 6 T j D w k A z y a e U X t 7 B z + D x A 6 R s j i 3 e g x r f Y 6 N R h a 8 r A Y n e 2 3 m g A m F S s / c s O y t k 0 b 2 Y + D A o V Z R 2 w C Q 5 P b t O 6 J q w a a I J C E w G j L s D H R H l f l h 2 l M a p u s 4 X Z A b N 6 Q B S I S D x j b q i E A j B j G t q m I B 2 3 f N L H l g 5 9 x n s r 3 u 6 q J v v 7 k s D f f c 2 T P i s E h E X h B l 1 6 5 d L H V O 0 e V v v + f v n f q u T F B 3 I d k g m d M B v j c G l S c m x s X + A u m t e K I 7 o F X A 4 + Y g a p 8 q w c P W C X X Z N 4 m l / K v b S C a F j J d Q s K n R i E 2 w I j 6 f L k b m V G 8 O I v T 2 9 o u 0 g j P g + v U f k m 7 W A j J h P z 6 n I Q w / R 5 x v G 9 Y z 4 E E k N K J 0 n B F o 6 C A y p M L r 1 9 1 s n 9 X r K w r 4 n c M j o 6 J y Y n Z G F U v T S 5 9 e F M k E O 2 k 9 Q H U 8 8 + E H 9 P L l S y F K K o C k c r t d T K r U z p i y A s 8 A A 8 u w 2 W C D f f n l V + L o A H B I X E J w s V B p j S o t 8 c a O P s 1 U Z P w m L R B O V u K 8 K 4 m s Q O X i x I n r 1 2 + K i g X 1 p 7 e 3 j 8 p Y z U p m / G P z E 2 y Y A u C b w M E x 5 7 e J Z x C E w P e D m z l V Q i m p c 0 8 c C t g q D K + D q 9 y K i Y k J t n E q x P a B 6 g Z 3 e L o S E K / B U o p 7 d x + k R C q 8 f 2 1 t L e W x y g h H x U a e O 1 R W O C v O s 9 2 G z 4 f 2 m N q 7 r J B T D H S m 8 P Z x M k E b y a Q g S + Y y O W B g E Z W 5 m U S y A p U c q L 4 k Y y d o z K 2 t r e J 0 M G 7 k e M D h g H l 7 A L 7 f v n I 1 f w 3 r h J 4 P q n O W u g N 7 6 d q b f B n g v M y E T Y b x t + P U 1 z f A D e 6 8 v B 4 O g 0 O H W v R V B Z D z 1 a v X o r q 9 K 6 D W t h w 8 I I 4 D S O V U U F d f J 3 b Y R v d y x 3 q s I r b X g O d D 6 6 z q l C p W 5 E F a I q l 7 l B O N z r N q y 3 E m h 4 y 2 o R y e w h / N f r I C U 4 Q u c + M H u W B Y X 7 z 0 M T 1 9 + k x f X Q l 4 w z A D w g p s M f w 6 0 E R z V E 2 F p T s o v 7 C U b H Z F O j Q G 4 7 i I B w a W s Y b I S B v E 8 b Y Q l q z A R k o m 8 d D g o K a a 8 a Z E C L H k B I G g V k L y Y l N M 7 O C U K m C L w b a z O k V S B Z a + m 9 8 0 v r i W V M U y D U M e o Z J 6 e B b g e n A p s / e b y G g b y u Z Q J 9 / 9 V L j y 2 i s H O K N h y 3 g C Y 3 T O Q S / f u u j B g J u u d X m o f c x N z 0 Y 8 t M j q 4 g / d H p F C I C I a T b I Z A h P c k L A I z 4 q F J R + 9 H Z 9 Y 4 Z V L B A x A j 4 2 N C 2 k S A e N i G F u C 2 x z L N t D w 8 c x A M E w Z w r m 4 l 7 / 5 T t Y z m Z N E F h b m 5 T B p q J I A 7 M J k E g s d m n K 2 2 O X + d D q 4 u b g Z F t i G O T k M g R D r J K A T 0 g 7 4 / / z c 5 p 1 M 8 m P A 9 v 2 T F + a r Z x w c B f u 5 V 0 0 8 I d b E P w Y 8 j i A N d z 2 h 0 v q T u m R z g I P d I s s 2 O d U C v y n H H q A L + 9 f v 0 7 B r L A g b v 7 4 J Y 1 6 w + a A m Q o J h 8 B b T l f r 7 + u W 8 J g w s O 5 i w i f b l A z E w E w K T X m 2 s + M M 2 w 1 b P V k m I Z 4 x p T H j S O C t r m L X g n v Y 7 M v C L c T o D k B Q d A z 4 D U g y z M T A o j N e b z 5 U F i U P J 5 z X i + 0 S w F o p f j 0 m x 2 K d P L T Z U E 2 T V G i k / O S l E R 4 7 W 6 F d l H m x X M p h Q k Z z 9 b M / 8 9 I Q C A v 4 l c n v S O 1 t p o 1 h v t S u k D t Z a n T 3 3 I T c 8 1 W D h N Z t l Q h W X F M v 4 k x V o n P A 0 Y k g g n k h W 4 B k a i Q O b E f M V M b N c H T C N 3 V 6 n Z M Y 6 p C S m I k E i n 2 / w y w w L L B G B u g o b F 5 u 3 Y A x v g W 3 P P / + z X 4 q K G o / L r 3 A I m 8 7 E Q e q V v w c I h M 8 G m V D n I B j I F G I y Y f Y 5 z i G m s J 9 O n o h N A 8 s 0 M K F e Z i y h w t 4 m J l T i n W F N v B V w Z E e Q K v U p 8 8 k A R 8 n j x 0 9 E G s A d D Y k A o q H R W 0 9 r f x d A w s E J g s F k q L 2 w t y C x v v 7 6 W / r 8 8 0 9 p 1 u + g Q k 9 E y A / C I q A e M E g M + w w 1 g s 0 1 4 / F s 2 C U n R C a D m m K k C Q U J x W R S U g o b 4 0 A y I a 0 k V C T k p w 9 O 1 u l X Z h 4 y 2 o b S n a f A S q a t B M y j 8 8 2 O y M T X Z A E N H Z 5 F S A T Y U m j A I N T D h 0 9 k 7 4 v N g p F m Z o 6 i U f + w d A O u 9 i J v h J 7 r v f h w H b P 0 M Q g N 8 t 2 8 e S c h m W B f r k 0 m 1 K s k Y o G p q e o a e b l L 8 t n Q B j J 6 H A r P L t M f 4 L v C 7 f F S n l c d N Q N 7 C I T B b w a R j I M B M R Y 3 4 q A 1 n A 0 F Q D o 0 N z d F p w 1 t B k C S H + 5 2 i B Q E z P I K 2 F f Y w Q k 4 y N I 0 E S B N 4 o E x O u w h s T Z Q y W p q m Q R N H v 6 z M i / 3 S X H C t p I p I a M l l D w 8 i X V i C y I Y U F u V A T h b C t I H z g f 0 / B 3 t L 8 V W K W J J c O x Y K 3 3 2 2 a X o l C Q 0 + h w 9 7 2 4 z g P e 7 f u M 2 H T 9 z Q U i K J e u 3 e 9 X g N s a g z H E 4 a D e p Y M F v k x P h 1 w O q V k K U M I Z I K m 1 u k A j / k M h g 2 G 3 8 i D L 1 3 3 a A 0 + U V I m F W A V Q o M y Y F U n 3 2 + S U Z 8 P W x h I I 6 Z j x p A J a z O J K M T W 0 E m A F y 6 k Q r 7 d + p H A q l u R H Z z x x k H x n B G q t 1 l t 9 b q g v u 8 V u 9 K U h O I Y f Q R J G G + I X C H B B H p a M E s 0 g x a x v J t H 8 Z L a H w s L c 6 Y K f Y P c X S Y L F j k l W F g 6 q H B Y 6 Q V v G A X S X e g U 0 C 1 E 3 r h N x A 2 E Y v x l z 0 9 b M Q 7 U 1 y R K o V Z t w O + P 5 1 8 t k h V k R r d w V x V I g v U / k f Z 9 X B Z i L j b a i t j k / 2 + S h f r 2 K N B 6 Q V p j r B g 2 Y F 7 K 2 h w e H o l J 5 3 B d 4 P 7 m 8 j / d B o b 3 S 7 a H j G J q p g 9 / T 6 y + j N a + F a j w J l S Y J U L S c F O h 8 N X L 4 i r w P A t F K v y 9 C Q 0 R K q p T r z Z x e / C 0 C k t f b a g 9 s a 6 6 q M k w B A Y 3 / x 4 i U d O X q I 2 y F q 8 d 2 B M S T M a M A c P y x s / P 6 H + z T 2 4 j s a e v o 7 W n z b S Y W h P h k X W g u 1 r J q + G V 8 m X 9 w + E c l g J I 8 K F q c E A p M 7 4 T W U w 2 2 Y w c h o G 6 o 6 f 2 s T a t 5 v T z g d B y 5 q M y M c D d k 6 e w H z / z D o u p E z c x M B D f X 5 s w 6 2 2 U p l d s O + f Q 1 U u / 8 D K m m 8 S D V H f k G / u H R G r m E m f L I J w 8 C + f X v p Y W d 6 E 2 h j p F G B / + i 0 I Z E 1 N h u 2 R C w t J P P + Z b S E Q k P a W 5 7 6 N s T Z i B s 9 M R U J j Q f H v 2 B h X k d 7 B 9 2 5 c 5 f a 2 1 + Q 1 6 t m b G D Q F f v t Y d b C Z g H E 5 S Y r a h / m B W I i b e + 0 R 9 T N P I + N F o J 2 s a 0 w L W l 8 f E K k Y 7 y 0 g r 1 1 c 6 C E i s r S X P I f J V C M T B L j n y U v Z Z Z 0 J i O j b S g Q q q E s z H Z G + v v L Z Q s C r C J Z 7 Q 4 s 1 W h t P U L H j h / T R 4 g e i K 6 P w m w C b A 5 j l V j v C j h B M M a E f f + w J 4 W H 1 c x T t Q G Z D n V i V 4 D q S h R 5 Q D C s b Y J q e P X q t R W r f z F p O H 2 A N u C H I Y + S P h J E 5 U M a c x + 1 Z O L f b q 4 n a i u Z E j J a Q q E B 4 U G 6 H D C Y d e E W B O y O l 2 N O U a m w 3 T F q B q T B g K r V w 4 d B 3 8 0 k E w B X / L I z X x Z Y Y j 8 I n J R Y l K P 0 U I / l X F 0 D j J N h L 0 P s m 5 E u Y u R J Q C L k m U j Y e k D y h k D a b k J a 2 g P H m Q y u n T i K Z V R g I n E D w s M + v j O w a U Z 4 J q J / 2 k l f X e + Q R o 1 x K T N p F S o Z 1 D H M n H j 8 u E 1 W v m 4 2 A o 5 i G h k Z Y b I U S F g P 2 M M Q c w i x O 2 3 n 2 z S P g t R k M n F 8 Y P b E l W l i W c o S t 5 X M C B m 9 Y h c 6 A U i E x p X v 9 N G Z + s 0 5 j S 9 T U b n / I g 0 u F s n W Y L / / / d d y c g f 2 y s M 6 p O 7 u H v r 4 4 / M y A L z Z c O e V y X P G P h C p A F I S T o g C J l 9 H f 3 p H d z I l Y m Q y q p 1 I I U U c t U J b k 8 h I K b 4 3 K p 0 4 J G o r m R I y W u X D u i F U N K b w Y 8 1 O v h u 9 k 8 J W l V a v h p Y o Y v f Q 6 d P Y K 6 + S P r p w X t Q y z D D / M c g E 2 N 0 F 5 F t O f 6 n K Z K S S d p S l I z F V / U U J g 2 D U u R V l s X K k s a R D l U V Y D U 5 t 0 P i P h Y x 2 S r w e n S K f b 4 m 8 O b n c q F y i + u g h w S 0 L j y e P h g Y H V U c S C s n i Q j g A e n t 7 R W J 1 d r 5 O u n p 3 o 9 h V 5 K f J p f S P v u m b c t C M P 7 U + W a l r J o b E U X G U R K Z M J J F 2 R g i Z D K k U s c p A 4 A R t J V N C R t t Q G K P B S R b A 4 s K C c u W 6 M 9 s o f V c 4 W Q o 5 d p w R Q k E y 5 X B n g q 3 C s J d F b e 0 u 8 c K Z M S o D 0 0 g R N o I 8 j 5 2 f 7 7 z O p Y 6 G s v W H N F Z + L / M 9 D Y k U e a w q n 8 p z L P n V 9 1 d V l f L 7 J G 4 v m R A y W u W b W f R T A O o e N 6 4 8 N o T n Z m f I i f 1 9 t z h 8 Y T d N L 1 f I / D 4 M t s I R A Y 8 f 9 s r D z H O s m L U C C w / / / d + / p P / z r / 8 m z g W M V 6 W D A w 1 V N D g V p M H R 9 A Z m c 1 x p E N i Q Q y S N S a u 8 l T A I U f V P q 3 p K S q l 0 Y V F 6 p 4 n 8 1 M h o p 4 Q K N g q y i g P 1 B 7 2 3 k 7 a 2 Y 8 J g x p e 4 4 w D B 4 K T A f h K Y C Y 4 J t B i Q / e U v f 0 5 / / h d / K m u a c M p i u v i L 0 x V 0 + 0 E 7 h V g B u N + f m v q H f d 1 T Q 4 x M U e L o t B l n s q p 2 J j Z q X q w 8 L J N w V 7 e R z A k Z v 9 E l d h J a t r v E I I f K 5 4 t k t l G 6 W R i f t 8 s C v U T A g O / o y K j M R M c m K 9 j l F v P + I M F A K G x O m S q m p t V B C T e u X y c H B Z i o c 3 S 0 J k A 3 U 1 j L Z H U S J Y a 6 z l x S h F o V Q C q O t c S K j k E h g E A 6 b c i E d K I 2 k k k h o 2 0 o B J n L R m F R + / D Q s X 2 X w V b 1 9 B k E k 2 w z A e I 0 7 W + U c 3 6 x n 4 R 1 N y Q Q 6 u 1 b t T 1 Y K v j t t V f U 0 L B H t n b + 7 M J J G h 7 s p 4 5 n b X S 4 f P 0 t w 8 r z 1 9 4 H g 6 s L f 6 P E k C D k U G l F l J X l S i r F B 7 X N t V L 3 V 7 a P T A s Z b 5 C 0 D c 9 F i e N y u f n h S 3 L L A 7 p 4 c U 7 6 P x a d D g C P 6 H q Y n Z u n P b u r 1 O 5 I n M e A L b Y k 2 9 e 4 V w 5 r + + 7 y F f r f / / p b d X M C T C y s 1 X z U 9 z B 2 U p Q c m l h I x 5 f H q 3 d C J P 4 d i l B h u v T Z K X n P T E Y W 2 F B o H K i E Z f F 6 b R d w O 5 R x u H S B z u c 4 q 4 C p b J 2 M I Y j a U j z h l Y A E b G l p p t K y E q o 4 8 L M o S e N R k h O i y l A 7 B f 3 x m 0 9 C K i l y K 8 m E 2 B J A m G g 5 y G O C H s D l I M R D L C R T w e 1 y r m o b m R Y y 3 o Z C U P u 1 x d Q P q 6 q 3 l d U + 7 G S 7 E W A P c 3 j S 4 O 3 D Y d L W 9 V R W w C Z F S A R u 6 4 L K k r x V z x j r p z D v E I d b 7 6 u v J l f 8 / o U W M k U d D h b i x M g S n 1 f E U Z K J 8 0 Y 6 c Y z y R G 0 j 0 4 L t R s e b D f S D P y 3 2 l H g p x + 2 Q I 2 S w 9 b H p 6 Q y s 6 a 2 G z 5 r S n 4 S K e X Z Y I g 9 H B b Z f B m l m p m f p 2 P G j 4 o L H 1 s t 5 e f n 0 + P F j a j n Y Q t 4 E O y e p r c u c 9 H V b g L x T 9 y g 3 x y u n 3 O O 9 c H B B W X k p l b P t 1 j 7 q o q G Z l a S M J w m I 4 7 a H a T G g S A J y y C p h 7 i g l j n D M 7 6 3 2 4 1 u 9 F 1 8 w 4 K e i f D d 9 8 u k H + h M y F 1 l B K K A u F 2 M Q R X L 8 D N S h 9 4 R K D f f u 3 a P D h w / L O i e c Z D j L k q W g M J / 2 7 t 0 r Z F O b W T q i 5 / I a Y D I u l n b 8 2 z f P 6 Y u / P J V U E 7 j b 5 6 F Z y w H U 0 t k Z a a O l E 0 h 0 r n 6 J r r 5 2 R g k W J V M 0 V r v F g l D Y J d b s G B t i M o F U P / v 5 a V Z F M 9 / D m / F O C Q N x m f t 8 t K N Q j c 5 v Z V X P Y F f x u y 2 u R M O d n 1 s Q z 1 9 + X p 5 s W P n J x Y / p y J E j N D I y S l 2 v 3 8 h y D G x V Z g V e 9 6 z t u U i o U G B x z W c 9 7 4 8 j E 0 g E 6 W T I x K H Y i y l j q g x k U 2 q d i b W a Z 1 Q 8 B M 6 H p U z H H L K B T E B W H F o t g X t R m e V c u v r 0 h a 1 I r g O V I Q k b w b f f f E c / X L 9 B H R 0 v a E / D 6 h 2 L M K a H w 6 0 / P H t a 9 k e P d / Z A O r U c b B Y J Z V t W x + A k A 7 Q F w E g m E x R h 2 O 7 l c K j a J 6 Q w B D P X Y n l F G h O U x N J 5 l l g 5 X t f q 9 p C h I W s k 1 N A i e q u I 2 q F 0 C 6 t 4 B u 8 i n a A 2 4 d R A H F 2 K F b 7 J g K X t 5 R X l 9 K H l H F 1 o A V j q 3 t 8 3 I O l 9 r R f l h E c 0 8 k R Q p 7 w r y W S V T k p a L d P 5 h i U p C 4 Y 0 4 X B N E 0 n y O h 3 L W x 0 T I U m f O X t U f V g W g A n F t M q C 4 O P 2 h V 4 L C w 6 5 y a w i 1 V a S U o l W y q Y K N O J U l 3 l A 4 s N J A Q k 1 P j F B 3 3 9 / V V R B D P S W V 5 S J Y + J w 5 a y c M C 8 H d S c A B p 8 N G a w x Q l O 5 T 5 G D 1 b m R O X W f k k I m N i G W B 3 F j t p U 6 g a O 0 F P s F r m 4 T m R i y R k I B c A W H Q m H a k a d 6 v X h S b R V U F 6 w 9 Q 2 E t o D F 6 v K n v 8 Q A C 4 m B p 6 P 6 f f H J B J B o c F T h f F 7 v T e t j + G h s b k 7 G p e D w e d K 2 U O J x G v K M g S E d 3 + K g y X w 1 3 Q L N 4 N W p X 5 J J 7 r V I o F h S B k I 4 5 L P T p q 1 m D 7 L G h O P Q v g l R h q i 3 y S y W y E q F / h s J W k V L v o u 6 h w W J m e i r A W V A 3 b t w S S d T 5 u o f 6 B k b F 0 2 b w p r t H l s 1 M T S o X u g F I O D B l p z G W O l I P n E f A Z 3 + y d 4 n 2 l Q W o 0 K P I h H D r j U u l N f m s U g w h S i 7 J 6 z T I x f G v / u Z n q 9 p B J o e s k l C g D y S U U i P U I W x b E W k t i 4 g D G i X 2 p F g P o + M z 9 P D x M z p / / i w d P n y I T p 1 s p a L C H L p 5 8 z Z 1 d 3 f L P c d P t N L t W 3 f o 9 J n Y + A + 0 B J z 3 1 D 7 q i C N G m J o r / C K N k B Z 7 V w c / 6 4 V y L z x 5 q L u 4 Y D x 5 Q i K R T i q m C I 4 i 5 V a a R c g a G 8 q E s S D G M r C P n H r o q 4 m F + 7 I X v s U 5 m Y U w P D Q s G / h j l k O s 0 c a C s T X i A c 8 c n g / U t G S 4 3 9 Z D S 4 E I / f x n F y W P R g t 7 q l j v v z f Q P y j l + f k F d P H S J 1 E J 9 E O 3 m y 5 3 e m S L Z k M m p e Y p w m A q k i I N B 3 G D R 2 h c S 7 E o g a D K S R r X d Z 7 r E P V p Q o S l J M o u f f Y h v l 1 W B d u t l 7 1 Z 1 8 1 X O p Z o 2 u e h V x O 5 Z H c 4 Z Y k H G g U O V g a y W X K F / H N 0 t m 5 J f h N O 1 x h i Y i 1 h h a 7 u q b E a C P t r g E z w x m F A F v v 2 Y Y I r y O T 3 B 8 j v 8 8 n m / / 5 A Q B r s w u K C z E z H m b t 9 f U N U V V 1 F F e W r D y A A o P L 1 9 P T J D r L m O S L C g D p y Q g 6 o b i t s J 3 j w 1 O A t J 4 Q w m H + J a z K Y a 0 j E s R A G 1 2 U Q V 5 1 S i D I Z y O W A 4 0 C D A Z + c V P i P / / z n 8 v n Z B N u t V 9 l H q B w K U S 6 F 6 d 5 A n i Y U B z u T i h s g i J X N h A I u N f r U r O U E w L i P u Y b f C Q m G P S Y Q w 7 k A L x 2 2 D S i v K K X h 4 R E 6 c O C A z O 0 b H B i i H T X V 4 g F c y 8 a C P Y V 7 M P N c i A I y v Y b U w + c Z 8 h j J p E h l 0 h / t W Z R Y k S k s N t b z Y f t q Q u l Y n a W r D q c 2 Z + j K d C M m 1 N H W R m o 5 1 K S / V f Y g K 2 a b x w c f O e l 2 D 0 7 9 0 y o C A l e Y q f B s d 0 5 A G i Q C 5 s 1 d f x O 7 h t 8 J j x w a P 8 a U J l h i f f r p R f r o w j l q b m 6 m S 5 c u y k 6 v m A 3 h z f G K Y 2 E 9 h w W 2 M A O h D J m g 4 k G F F O J I 0 O T Q e c Q q K K l k y I Q 4 n k w I / E f n U X e 6 X E s p N Z + P V V x O H 2 Q y x d d 7 N o S s s 6 F M O F I H 7 U J X T r S S l C 6 / F U h 1 0 7 L n u U F L V Z A + b k g 8 t w + / G d u O J f v d O 3 f W 0 P P n H T I L I h l A D E g 6 M w N d n d w O M o F c e K 4 g C 9 K K Y E K q q H R a k t i E g S n U z 2 r S Y U 5 h l G R S Z 0 w i j q M d I 8 h 0 E K f a r 6 z v b A l Z 5 e W z w m e D K 5 Y r Q K s M q j J i F Y V K z 2 Y s B m x J 9 5 V I B D T Y t Q B J h r 3 + l p Z 8 M i k 2 H n h e b 9 7 0 0 N G j R 8 R B I Q T Q Z I k 2 f k 6 v 6 s Q 4 Y M z J S C Y E p L v G 8 R 7 6 H l 0 v 0 f l 5 X F f i V N G S S e p Q 2 1 S Y J H v s 5 E H 9 r b I P W b E e K l l o b n B z R U F N U B V j g u k V u Z l w y F 6 Y E 9 d T A Z w J p W X Y Y m t t l J a W y N 5 + 2 N z F C r w e 3 k W o h S K B t B S S E C X W y i D P m c m T 5 2 J C a C K B K E 8 G 7 B I r 8 i A 2 H Z 6 q H y n n z 5 M 8 x 2 J H s e 0 U 4 f C L P / s k Y V 1 n S 2 A b K o v / w R F B q F R r D 2 c q D S G 7 Z 1 N A S r W n Q C r M u U N I t l j Q C n g D T 5 w 4 L t 5 D z D L H R p p z c 3 M y w H u E p R O I B L K A C G p w 1 k g Y k A g x S 3 / J q 4 B p Y C K d Q B I O o V C E p h b x H r F 7 E G I E U / W j P H w c E O s 0 y 1 m q q C i L 1 W 8 W / s t a l c + g u T F f q S F C o F j F W S s z m 9 W / o V k H B c P o / p L j 1 s 1 b 4 k h Y 9 2 B p B p 7 P 0 6 d t V F 5 e p l 3 u e b K y F 0 f o o P M x h I K t N L W g 7 C D r D A d r H v d 5 7 H j G T E C d v 9 O L A V / 9 7 E 1 d 6 P q Q u p F y U 1 e 6 8 9 P S 6 p + + + J X + l t m L r C c U m p r H y X J q R Y 9 n e k G E W I U a V S b b V M F 1 9 5 a w 2 c X T t 5 6 E w o 6 z D x 4 8 k u N o M C k W t h K I i P E r O C P w r F S j B z l 0 4 + e 0 I o / J c 7 D c k + + O v a 5 9 2 E 6 B o J J u i j C I N W l 0 E B V P Y l 1 f / L l Y S F h U m J e S h M 1 0 Z L U N Z U K T S C l U G K t 8 U P 2 k s l T l G W I Z U q l e m F + 3 h Q A y r Q c M + O L 0 w V O n T k j e d C 4 I m P i K a 4 o k W G o R p u 8 7 9 f y 7 K I E Q 1 H W V V m F o G p N k H f T D a y e 9 n d N k k r r Q B O J 7 h H D R e l E B d p M K A d b 0 Q v S r v / t F w r r N t p D 1 E s r g c E u J V L C 1 N 1 Q V G 6 t 8 C V B X O G Q T q 3 o m 1 9 7 t C b 9 r L W C w F 5 t i w o N n 3 N 7 Y V N I Q B A 4 K 7 O + 3 4 F + m K 0 y k K 5 1 u f o 6 G O B x H V T 7 z H C 3 X + P n O L J q 8 D s a m k r Q m V j R v L V N e v S / + 5 e / 0 N 8 1 + Z L d T w v I P 0 3 Q q S 9 1 S Q V G 1 T y R U T F p F u O e V 2 F S u B B A s s 8 k 1 z H Z U M s A 7 h 4 F b z J I A 8 F u + + + 5 7 u n L l q p T 1 9 f W J q o d l G U I k / s 1 G J c N v H x 4 Z k T N 9 M d v k Z r e T p V O M H F F V T + 6 1 v k 7 H H K I k i Z b h m a s g a a k D B I t k M t O M O B w 8 1 C h 1 Z 6 3 L b P 6 3 Z S Q U s G t n g a g P V t U i S i p r J e s Y D Q C 9 r u p 9 F b F M 4 D / 6 X f / 4 g L M y G U A o n A q P i b Q g S N f r L j p 5 8 i R d u P C R O B 5 w i N r u 3 b W a T C C I c i A g Y M q S 3 + e X U 9 6 f P n 0 u z 0 u I I e T A P Z o k 1 t i k N X k Q m 2 e r g i q X t C G T r g u j 4 p n Y w d 3 5 m b N K B d 0 q 2 F K E A k 6 0 V t O y V K g i k a r 0 W D C N R C p e G g g 3 M l Z p o q q g d l h k m s z y h 6 C k r w Y I B a C X x / l R u + t 2 y 9 w 9 E A h G v p V I 0 S A q W S Q 6 d Q m T Z u e L 1 B I N J Z U Q Y p 3 N q t f L c 9 P P z q T N 8 8 Q z F l L F E 4 2 f P w g r 5 A p I H f 2 n 3 2 w d V c / A d r d r I L P 1 n Q 0 A w u X u g y E Z p 7 I 7 c M i A U y b O I j a T a O H h U p N p d Z p j N D A V u J + J p h M 3 5 J 8 a + B o 4 m R 2 N 2 A p M Z s X 3 x x Z r + O F G w s Y C i l d K X 9 h R 6 D K U P R W h 8 Q U b t Q 0 6 d a f C Z f w Z 8 h o Q R u d B F n U N x F l J L F x X n Z f K C 4 G Y 6 J L W k k m k F D x 6 Q T 9 f D 9 I / f / H X l J P h p x F u B L Z 7 X Y N b j l D A 4 N A s 9 Q 3 M k M 0 y G z 0 a C 6 E s x A K Z J F Z k w v I I + a d J x k m B I l e M Y J K K / f l R I Y 0 5 t E T l / q e 0 t L Q o i w J R 9 u p V J z U 3 H x D X t 9 w j t Y l 4 Z Q B 5 X r x 4 I b / J 4 b C L T Q W y P O p 3 0 g x W X c g 9 h n i G T C p G X q 6 h T I K R X E o S o S x s H E B G M k E a c T p K J g 5 Q 8 8 J M K K h 5 R 1 q b 5 X d t N W x Z Q g E v X o 7 R 5 I y P S e N i Y m H b Y S O h N K m 4 D A 0 s R i p D I k U k E / i P 5 g 1 i 5 C W D P 5 a k y i c C r u A h r 7 z N e n / 0 q g W 6 W j h S K T R 0 o t K 8 M B 2 t 9 s m 4 E b 4 P d t O V q 0 I E E y x 5 / G M y 3 b h 5 i 0 4 c b + X G v y y H s u 2 q 3 U V X O 3 H 4 g p V E T C r J x 8 g j 1 w y J N L E M o W J q c 4 x I K w m l p x X B C S G k C l D D n l r 6 7 E 8 u y H f e i t j S h A J u 3 X n D j Q R k 0 R I q K q 0 U q U R K 2 Z S 0 A n k M u Y Q 8 E m L k k j K 8 q c T I y 0 e s S C v E M t Z i 8 6 A T l V l T U e g i k I J b s 8 p y f H E f Z p y D B P q q E E L l o y T S Z S g E i Y a G h 6 i v t 1 8 2 u 8 R v f c o q 3 t Q i 1 o 5 Z S K N J Z Y h j J Z b J i x Q y h N J E U o T S d p K F U F D 7 x A n B h I L 3 1 e t x 0 x f / 5 W / x p b c s b P e 6 t z a h g J u 3 u r j y I Z E U o d C g l F 1 l 1 D 9 F O C G U S C p D I h U L g X Q A H V Q a 7 6 y v S V L H g L o Y h b m C h p 4 Q m h i x v w x r G Y h h i U t y M c N b n e R o i I N L E u M 1 0 T I V l B 1 k 8 h E 5 T C 0 Y t q p 4 u K 4 J J G R C n k k i h M J 9 R s V D s B B K y B Q j k X F I G B U P Z c o 9 7 q e c H C 9 9 8 S 9 b m 0 w A E 2 p I 1 d I W x w 8 3 O k V S i Z r H 5 B H 1 T 1 Q + S C u L l A L B Q A g m k x w / y X m h h L a r h D h C H q S R V W S R e y S p 8 3 L Z X F s f 3 I T x J 4 p Y H g 1 e x e o / / i z T s Z 1 + K v Q i p / J R Y k h A k T W v i O M P L t O t H q X m 8 R 9 F N H 0 t S i g Q S G K Q R Z V J b M g E D 6 E m V Z R I k o Z U U l J K 2 U t K x U P A Y Q S / / s 3 f 4 0 d s e d j u b x N C A V e v d 3 D z A 3 G M 2 o d Y S S d R A a P S C b G W V h z A F C O h h E C I 8 U / S m j h I M 1 R a k h q 6 f E W Z h h D E w F I N a O A 6 G U 1 H y / g X 2 J b p 7 B 4 f c c T F K J e E S i c J N 7 r d F L J I K Y m F M D o P w k T L F I m M J F q Z V k R C r N z j i l B C J i 2 V F K G g 5 o X I 4 3 b R f / 6 v / y D f f D t g W x E K u H q t g 9 U / / u F C J i W l l O d P S S h j V y l 1 D 3 k Q J w G p Q B 3 E y O O N J d a s Q b E l r R B N J A A I o Z M M b t b R f C y N h q 8 K E e 8 p D V J t M X Z 8 U n l z / e 0 8 q 7 O 2 C A V C O G H Q R q N z a o 8 N u U f i G I m M 2 1 w R i t M g j K Q V i Y z a J 4 R i 8 q h y S C F F q B W q n t h L x h G B t U 1 B y s v L Y Z t p 6 4 0 1 r Q X b / T f b i 1 D A o 4 d v a H J 6 S Z M K p F H E U u q e V f U z 5 A J 5 T A y 2 q F h I I 2 m 8 q 7 4 m M G W A T k T z c V j x 9 F V G / o I A A j T 6 B D H / y X V H q N A d p q F Z q K U o w j W + i F j u M + S x l A t p k F Y x 8 o p Q s f w K l Q 9 5 T R 4 l q T S h J C C t g 6 h 4 k F A q L i k u o n / c A s s x 0 g U T a l i q a b v h 7 t 2 X N D P r Z 8 J A O h l C I Q 2 C a V K J h I o n 1 E p p J W l + P 0 U m 5 P F f x f q P N c m I J j T 0 4 0 c b V y m G y n D z t m T x R + W F I K p Q E Q U 5 x C j X 1 y S 2 l h l y g S Q m b + w l Q y i 5 p m P J G x I Z Q q l Y p B K n Z f D W Q i g 4 I D D r f 3 d d L f 3 Z X 3 0 u 3 3 W 7 Y d s S C p i b X a R b t 1 / y U 2 A i R b 1 + i l Q i o a L E U k S K p X U A O S x 5 I Y v 8 1 6 S R e w z U t a S Q W l B V o Z K x a h F i C E k k p / O 6 n A P + y X 9 D G r n O M d Q 4 E 0 e v 6 V j I Y z x 9 H E A c E x s S c Z A 8 S G R I J Q T C N Z B I S y Y h V I A l O t H f / s N f U l l F 4 j 3 / t g N s D 7 Y x o Q A 0 q t / / 4 a G Q S Z E I a q B J x y S V 5 K N S i l s O y v H P 5 A 1 5 J E Z e 3 n 5 F 2 p J I A k 0 M k 8 Z f i V A I a q g C S c l / X a 6 D l F j y U i a x J h G C I Y 5 O S + C 8 I p F J g z C K S E r 1 g 1 R S s d n y S 9 l N y p u H t M v l p N / 8 9 3 / i x 6 L U z + 0 K 2 4 O e 7 U 0 o g 8 v f P C R / M K K J p W w r o w J G y Y S 0 I R X S + G f I Z G K 8 m c T I S 0 Z F A O 5 Z E 8 I S n U q U V q S Q F G K Q w p R J V h N F Z Z g M K q 1 I w 7 G + v l o q 4 R 5 F o i i h D I G 4 T B F I l Y k 0 Y j v J E A q v w 2 z 3 / / j r v 5 b v t d 3 B h B p R N f Q e N D E x S 7 d u P e e n o l Q / o w K u I p T E I J G J V e A / m k j y N 0 o g u b Y C O o 8 o + v R X V o O Q R E O l O c h / / J G / K t Z B r l j y K q j x J q R B D K S N W m f K Q A i V 1 o T S s Z C H 1 T r c q 1 Q 6 Y z c p x w M I h W l P v / q b X 1 D V j i p 8 m / d g v C d U A n z 1 5 U 0 K L 4 M k T K b o + J S W V l Z i g T j R + X 9 g B 9 I c o x x v Z I k V d B 6 I J j R 0 L a g o l m E 6 6 D R S U i A E k C s r 0 i o w A 6 L p a B A C W U g k a U g i j n U Q E h k y M Z G M R B I S i Y T S q h 6 k E r 8 W S 0 R + / Z v t M 7 6 U K m w P 3 x M q I Y K B E P 3 2 q 1 v 8 h L S E 0 h I L h J F 0 l F A 6 5 j x I I m m V k L Q C 0 i o W 4 L J J R M E N X 0 U a 1 j y I o T M g C F I o k L S O V w V F I P 4 j J D F 5 I Q / S K N M k M u Q y B J K g 1 b t Y z F K J y 1 1 O p w z U Y n b 7 e 8 S D 6 P 8 D / j u B y K M Y n W k A A A A A S U V O R K 5 C Y I I = < / I m a g e > < / T o u r > < / T o u r s > < / V i s u a l i z a t i o n > 
</file>

<file path=customXml/itemProps1.xml><?xml version="1.0" encoding="utf-8"?>
<ds:datastoreItem xmlns:ds="http://schemas.openxmlformats.org/officeDocument/2006/customXml" ds:itemID="{729E640F-DAD6-4440-8DCD-90CB4B8FFCDC}">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A3AB5894-8B62-4453-A986-DE2577FAD9D7}">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Introduction</vt:lpstr>
      <vt:lpstr>Q-CoFa Survey 1</vt:lpstr>
      <vt:lpstr>Q-CoFa survey 2</vt:lpstr>
      <vt:lpstr>1</vt:lpstr>
      <vt:lpstr>1bis</vt:lpstr>
      <vt:lpstr>2</vt:lpstr>
      <vt:lpstr>2bis</vt:lpstr>
      <vt:lpstr>3</vt:lpstr>
      <vt:lpstr>4</vt:lpstr>
      <vt:lpstr>5</vt:lpstr>
      <vt:lpstr>6</vt:lpstr>
      <vt:lpstr>6bis</vt:lpstr>
      <vt:lpstr>7a</vt:lpstr>
      <vt:lpstr>7b</vt:lpstr>
      <vt:lpstr>7c</vt:lpstr>
      <vt:lpstr>8</vt:lpstr>
      <vt:lpstr>9</vt:lpstr>
      <vt:lpstr>10</vt:lpstr>
      <vt:lpstr>10bis</vt:lpstr>
      <vt:lpstr>combined figure</vt:lpstr>
      <vt:lpstr>explanations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Isabelle</dc:creator>
  <dc:description/>
  <cp:lastModifiedBy>Isabelle</cp:lastModifiedBy>
  <cp:revision>0</cp:revision>
  <dcterms:created xsi:type="dcterms:W3CDTF">2019-12-11T10:23:51Z</dcterms:created>
  <dcterms:modified xsi:type="dcterms:W3CDTF">2020-08-28T10:09:58Z</dcterms:modified>
</cp:coreProperties>
</file>