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kevinyackle/Box/MS_Arrb2_2020/REVISON/TO SUBMIT/"/>
    </mc:Choice>
  </mc:AlternateContent>
  <xr:revisionPtr revIDLastSave="0" documentId="13_ncr:1_{301D9155-0A08-3446-87F3-9C3F2DBEA993}" xr6:coauthVersionLast="46" xr6:coauthVersionMax="46" xr10:uidLastSave="{00000000-0000-0000-0000-000000000000}"/>
  <bookViews>
    <workbookView xWindow="2180" yWindow="1060" windowWidth="21360" windowHeight="25380" firstSheet="1" activeTab="7" xr2:uid="{B927FA5B-A50B-D64A-B304-240D2D784757}"/>
  </bookViews>
  <sheets>
    <sheet name="(Raehal &amp; Bohn 2005) Power Calc" sheetId="1" r:id="rId1"/>
    <sheet name="Shapiro-Wilks" sheetId="2" r:id="rId2"/>
    <sheet name="95% CI" sheetId="3" r:id="rId3"/>
    <sheet name="t Test" sheetId="4" r:id="rId4"/>
    <sheet name="One-Way ANOVA" sheetId="5" r:id="rId5"/>
    <sheet name="Kruskal-Wallis" sheetId="6" r:id="rId6"/>
    <sheet name="Two-Way ANOVA" sheetId="7" r:id="rId7"/>
    <sheet name="Power Analysis" sheetId="8" r:id="rId8"/>
  </sheets>
  <externalReferences>
    <externalReference r:id="rId9"/>
  </externalReferenc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42" i="6" l="1"/>
  <c r="J42" i="6"/>
  <c r="I42" i="6"/>
  <c r="L41" i="6"/>
  <c r="J41" i="6"/>
  <c r="I41" i="6"/>
  <c r="L40" i="6"/>
  <c r="J40" i="6"/>
  <c r="I40" i="6"/>
  <c r="F40" i="6"/>
  <c r="E40" i="6"/>
  <c r="D40" i="6"/>
  <c r="G40" i="6" s="1"/>
  <c r="F38" i="6"/>
  <c r="E38" i="6"/>
  <c r="D38" i="6"/>
  <c r="F37" i="6"/>
  <c r="E37" i="6"/>
  <c r="D37" i="6"/>
  <c r="G44" i="6" s="1"/>
  <c r="G21" i="6"/>
  <c r="L19" i="6"/>
  <c r="J19" i="6"/>
  <c r="I19" i="6"/>
  <c r="L18" i="6"/>
  <c r="J18" i="6"/>
  <c r="I18" i="6"/>
  <c r="L17" i="6"/>
  <c r="J17" i="6"/>
  <c r="I17" i="6"/>
  <c r="F17" i="6"/>
  <c r="E17" i="6"/>
  <c r="D17" i="6"/>
  <c r="G17" i="6" s="1"/>
  <c r="F15" i="6"/>
  <c r="E15" i="6"/>
  <c r="D15" i="6"/>
  <c r="F14" i="6"/>
  <c r="E14" i="6"/>
  <c r="D14" i="6"/>
  <c r="O47" i="5"/>
  <c r="N47" i="5"/>
  <c r="F47" i="5"/>
  <c r="F46" i="5" s="1"/>
  <c r="E47" i="5"/>
  <c r="O46" i="5"/>
  <c r="E46" i="5"/>
  <c r="G46" i="5" s="1"/>
  <c r="Q42" i="5"/>
  <c r="P42" i="5"/>
  <c r="R42" i="5" s="1"/>
  <c r="Q41" i="5"/>
  <c r="P41" i="5"/>
  <c r="O41" i="5"/>
  <c r="N41" i="5"/>
  <c r="I41" i="5"/>
  <c r="H41" i="5"/>
  <c r="G41" i="5"/>
  <c r="F41" i="5"/>
  <c r="E41" i="5"/>
  <c r="D41" i="5"/>
  <c r="F45" i="5" s="1"/>
  <c r="Q40" i="5"/>
  <c r="P40" i="5"/>
  <c r="O40" i="5"/>
  <c r="P47" i="5" s="1"/>
  <c r="N40" i="5"/>
  <c r="O45" i="5" s="1"/>
  <c r="I40" i="5"/>
  <c r="H40" i="5"/>
  <c r="G40" i="5"/>
  <c r="F40" i="5"/>
  <c r="E40" i="5"/>
  <c r="D40" i="5"/>
  <c r="Q39" i="5"/>
  <c r="P39" i="5"/>
  <c r="O39" i="5"/>
  <c r="P45" i="5" s="1"/>
  <c r="N39" i="5"/>
  <c r="N45" i="5" s="1"/>
  <c r="I39" i="5"/>
  <c r="H39" i="5"/>
  <c r="G39" i="5"/>
  <c r="F39" i="5"/>
  <c r="E39" i="5"/>
  <c r="D39" i="5"/>
  <c r="P24" i="5"/>
  <c r="O24" i="5"/>
  <c r="F24" i="5"/>
  <c r="E24" i="5"/>
  <c r="G24" i="5" s="1"/>
  <c r="O23" i="5"/>
  <c r="N23" i="5"/>
  <c r="P22" i="5"/>
  <c r="W22" i="5" s="1"/>
  <c r="O22" i="5"/>
  <c r="N22" i="5"/>
  <c r="Q18" i="5"/>
  <c r="P18" i="5"/>
  <c r="P19" i="5" s="1"/>
  <c r="R19" i="5" s="1"/>
  <c r="O18" i="5"/>
  <c r="P23" i="5" s="1"/>
  <c r="N18" i="5"/>
  <c r="I18" i="5"/>
  <c r="H18" i="5"/>
  <c r="G18" i="5"/>
  <c r="F18" i="5"/>
  <c r="E18" i="5"/>
  <c r="D18" i="5"/>
  <c r="Q17" i="5"/>
  <c r="Q19" i="5" s="1"/>
  <c r="P17" i="5"/>
  <c r="O17" i="5"/>
  <c r="N17" i="5"/>
  <c r="N24" i="5" s="1"/>
  <c r="I17" i="5"/>
  <c r="H17" i="5"/>
  <c r="G17" i="5"/>
  <c r="F17" i="5"/>
  <c r="E17" i="5"/>
  <c r="D17" i="5"/>
  <c r="Q16" i="5"/>
  <c r="P16" i="5"/>
  <c r="O16" i="5"/>
  <c r="N16" i="5"/>
  <c r="I16" i="5"/>
  <c r="E23" i="5" s="1"/>
  <c r="H16" i="5"/>
  <c r="G16" i="5"/>
  <c r="F16" i="5"/>
  <c r="E16" i="5"/>
  <c r="D16" i="5"/>
  <c r="F22" i="5" s="1"/>
  <c r="H45" i="2"/>
  <c r="H44" i="2"/>
  <c r="P43" i="2"/>
  <c r="P42" i="2"/>
  <c r="P41" i="2"/>
  <c r="H40" i="2"/>
  <c r="L39" i="2"/>
  <c r="L38" i="2"/>
  <c r="L37" i="2"/>
  <c r="L36" i="2"/>
  <c r="P35" i="2"/>
  <c r="P34" i="2"/>
  <c r="H33" i="2"/>
  <c r="H32" i="2"/>
  <c r="P31" i="2"/>
  <c r="P30" i="2"/>
  <c r="L29" i="2"/>
  <c r="L28" i="2"/>
  <c r="H23" i="2"/>
  <c r="H22" i="2"/>
  <c r="P21" i="2"/>
  <c r="P20" i="2"/>
  <c r="P19" i="2"/>
  <c r="H18" i="2"/>
  <c r="L17" i="2"/>
  <c r="L16" i="2"/>
  <c r="L15" i="2"/>
  <c r="L14" i="2"/>
  <c r="P13" i="2"/>
  <c r="P12" i="2"/>
  <c r="H11" i="2"/>
  <c r="H10" i="2"/>
  <c r="P9" i="2"/>
  <c r="P8" i="2"/>
  <c r="L7" i="2"/>
  <c r="L6" i="2"/>
  <c r="I8" i="1"/>
  <c r="M8" i="1" s="1"/>
  <c r="F8" i="1"/>
  <c r="I7" i="1"/>
  <c r="M7" i="1" s="1"/>
  <c r="F7" i="1"/>
  <c r="I6" i="1"/>
  <c r="M6" i="1" s="1"/>
  <c r="F6" i="1"/>
  <c r="I5" i="1"/>
  <c r="M5" i="1" s="1"/>
  <c r="F5" i="1"/>
  <c r="I4" i="1"/>
  <c r="M4" i="1" s="1"/>
  <c r="F4" i="1"/>
  <c r="K17" i="6"/>
  <c r="D39" i="6"/>
  <c r="K41" i="6"/>
  <c r="K40" i="6"/>
  <c r="E39" i="6"/>
  <c r="K19" i="6"/>
  <c r="K18" i="6"/>
  <c r="K42" i="6"/>
  <c r="F39" i="6"/>
  <c r="F16" i="6"/>
  <c r="E16" i="6"/>
  <c r="D16" i="6"/>
  <c r="S42" i="5"/>
  <c r="S19" i="5"/>
  <c r="N24" i="2" a="1"/>
  <c r="P46" i="2" a="1"/>
  <c r="F46" i="2" a="1"/>
  <c r="H24" i="2" a="1"/>
  <c r="F24" i="2" a="1"/>
  <c r="O24" i="2" a="1"/>
  <c r="L24" i="2" a="1"/>
  <c r="L46" i="2" a="1"/>
  <c r="H46" i="2" a="1"/>
  <c r="O46" i="2" a="1"/>
  <c r="G24" i="2" a="1"/>
  <c r="P24" i="2" a="1"/>
  <c r="J46" i="2" a="1"/>
  <c r="N46" i="2" a="1"/>
  <c r="K46" i="2" a="1"/>
  <c r="K24" i="2" a="1"/>
  <c r="J24" i="2" a="1"/>
  <c r="G46" i="2" a="1"/>
  <c r="D18" i="6" l="1"/>
  <c r="E18" i="6"/>
  <c r="F18" i="6"/>
  <c r="F41" i="6"/>
  <c r="E41" i="6"/>
  <c r="D41" i="6"/>
  <c r="G41" i="6" s="1"/>
  <c r="G42" i="6" s="1"/>
  <c r="Q24" i="5"/>
  <c r="V24" i="5" s="1"/>
  <c r="Q22" i="5"/>
  <c r="V22" i="5" s="1"/>
  <c r="Q23" i="5"/>
  <c r="V23" i="5" s="1"/>
  <c r="F23" i="5"/>
  <c r="G23" i="5" s="1"/>
  <c r="J22" i="5"/>
  <c r="W47" i="5"/>
  <c r="T47" i="5"/>
  <c r="S47" i="5"/>
  <c r="R47" i="5"/>
  <c r="S45" i="5"/>
  <c r="W45" i="5"/>
  <c r="T45" i="5"/>
  <c r="R45" i="5"/>
  <c r="L40" i="5"/>
  <c r="E22" i="5"/>
  <c r="G22" i="5" s="1"/>
  <c r="Q45" i="5"/>
  <c r="V45" i="5" s="1"/>
  <c r="J39" i="5"/>
  <c r="J40" i="5"/>
  <c r="K45" i="5"/>
  <c r="J41" i="5"/>
  <c r="L41" i="5" s="1"/>
  <c r="L45" i="5"/>
  <c r="S23" i="5"/>
  <c r="R23" i="5"/>
  <c r="W23" i="5"/>
  <c r="T23" i="5"/>
  <c r="J45" i="5"/>
  <c r="S24" i="5"/>
  <c r="E45" i="5"/>
  <c r="G45" i="5" s="1"/>
  <c r="H45" i="5" s="1"/>
  <c r="I45" i="5" s="1"/>
  <c r="G47" i="5"/>
  <c r="W24" i="5"/>
  <c r="R22" i="5"/>
  <c r="N46" i="5"/>
  <c r="Q47" i="5"/>
  <c r="V47" i="5" s="1"/>
  <c r="S22" i="5"/>
  <c r="K41" i="5"/>
  <c r="T24" i="5"/>
  <c r="P46" i="5"/>
  <c r="T22" i="5"/>
  <c r="Q46" i="5"/>
  <c r="V46" i="5" s="1"/>
  <c r="K40" i="5"/>
  <c r="G46" i="2"/>
  <c r="J24" i="2"/>
  <c r="K24" i="2"/>
  <c r="K46" i="2"/>
  <c r="N46" i="2"/>
  <c r="J46" i="2"/>
  <c r="P24" i="2"/>
  <c r="G24" i="2"/>
  <c r="O46" i="2"/>
  <c r="H46" i="2"/>
  <c r="L46" i="2"/>
  <c r="L24" i="2"/>
  <c r="O24" i="2"/>
  <c r="F24" i="2"/>
  <c r="H24" i="2"/>
  <c r="F46" i="2"/>
  <c r="P46" i="2"/>
  <c r="N24" i="2"/>
  <c r="L4" i="1"/>
  <c r="L8" i="1"/>
  <c r="L5" i="1"/>
  <c r="L6" i="1"/>
  <c r="L7" i="1"/>
  <c r="G43" i="6"/>
  <c r="U22" i="5"/>
  <c r="U47" i="5"/>
  <c r="U23" i="5"/>
  <c r="U45" i="5"/>
  <c r="G45" i="6" l="1"/>
  <c r="G47" i="6" s="1"/>
  <c r="G18" i="6"/>
  <c r="G19" i="6" s="1"/>
  <c r="K22" i="5"/>
  <c r="J17" i="5"/>
  <c r="J16" i="5"/>
  <c r="J18" i="5"/>
  <c r="L22" i="5"/>
  <c r="T46" i="5"/>
  <c r="S46" i="5"/>
  <c r="R46" i="5"/>
  <c r="W46" i="5"/>
  <c r="L39" i="5"/>
  <c r="K39" i="5"/>
  <c r="R24" i="5"/>
  <c r="H22" i="5"/>
  <c r="I22" i="5" s="1"/>
  <c r="G20" i="6"/>
  <c r="U24" i="5"/>
  <c r="U46" i="5"/>
  <c r="G22" i="6" l="1"/>
  <c r="G24" i="6" s="1"/>
  <c r="K18" i="5"/>
  <c r="L18" i="5"/>
  <c r="L16" i="5"/>
  <c r="K16" i="5"/>
  <c r="K17" i="5"/>
  <c r="L17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<sst xmlns="http://schemas.openxmlformats.org/spreadsheetml/2006/main" count="630" uniqueCount="166">
  <si>
    <t>Respiratory Frequency (breaths/min)</t>
  </si>
  <si>
    <t>Respiratory Suppression (%1-injected/baseline)</t>
  </si>
  <si>
    <t>SC dose</t>
  </si>
  <si>
    <t>WT (n)</t>
  </si>
  <si>
    <t>WT (mean, estimated)</t>
  </si>
  <si>
    <t>WT (std, estimated)</t>
  </si>
  <si>
    <t>Arrb2-KO (n)</t>
  </si>
  <si>
    <t>Arrb2-KO (mean, estimated)</t>
  </si>
  <si>
    <t>Arrb2-KO (std, estimated)</t>
  </si>
  <si>
    <t>reported F</t>
  </si>
  <si>
    <t>reported P-value</t>
  </si>
  <si>
    <t>estimated Cohen's d</t>
  </si>
  <si>
    <t>estimated pooled stdev</t>
  </si>
  <si>
    <t>Estimated minimum sample size</t>
  </si>
  <si>
    <t>Saline</t>
  </si>
  <si>
    <t>inf</t>
  </si>
  <si>
    <t>20 mg/kg morphine</t>
  </si>
  <si>
    <t>?</t>
  </si>
  <si>
    <t>50 mg/kg morphine</t>
  </si>
  <si>
    <t>&lt;0.001</t>
  </si>
  <si>
    <t>100 mg/kg morphine</t>
  </si>
  <si>
    <t>&lt;0.01</t>
  </si>
  <si>
    <t>150 mg/kg morphine</t>
  </si>
  <si>
    <t>Normoxia</t>
  </si>
  <si>
    <t>Arrb2-wt</t>
  </si>
  <si>
    <t>Arrb2-het</t>
  </si>
  <si>
    <t>Arrb2-mut</t>
  </si>
  <si>
    <t>Instantaneous Frequency</t>
  </si>
  <si>
    <t>WeanID</t>
  </si>
  <si>
    <t>AnimalID</t>
  </si>
  <si>
    <t>Genotype</t>
  </si>
  <si>
    <t>saline</t>
  </si>
  <si>
    <t>morphine</t>
  </si>
  <si>
    <t>normalized</t>
  </si>
  <si>
    <t>'371'</t>
  </si>
  <si>
    <t>'1'</t>
  </si>
  <si>
    <t>'Arrb2-het'</t>
  </si>
  <si>
    <t>'11'</t>
  </si>
  <si>
    <t>'376'</t>
  </si>
  <si>
    <t>'3'</t>
  </si>
  <si>
    <t>'Arrb2-mut'</t>
  </si>
  <si>
    <t>'10'</t>
  </si>
  <si>
    <t>'377'</t>
  </si>
  <si>
    <t>'Arrb2-wt'</t>
  </si>
  <si>
    <t>'2'</t>
  </si>
  <si>
    <t>'13'</t>
  </si>
  <si>
    <t>'20'</t>
  </si>
  <si>
    <t>'30'</t>
  </si>
  <si>
    <t>'389'</t>
  </si>
  <si>
    <t>'12'</t>
  </si>
  <si>
    <t>'390'</t>
  </si>
  <si>
    <t>shapiro-wilks real stats p-value</t>
  </si>
  <si>
    <t>shapiro-wilks matlab p-value</t>
  </si>
  <si>
    <t>Peak Flow</t>
  </si>
  <si>
    <t>Normoxia Frequency</t>
  </si>
  <si>
    <t>Mean Freq</t>
  </si>
  <si>
    <t>SEM</t>
  </si>
  <si>
    <t>Low</t>
  </si>
  <si>
    <t>High</t>
  </si>
  <si>
    <t>MUT saline</t>
  </si>
  <si>
    <t>MUT morph</t>
  </si>
  <si>
    <t>ratio</t>
  </si>
  <si>
    <t>HET saline</t>
  </si>
  <si>
    <t>HET morph</t>
  </si>
  <si>
    <t>WT saline</t>
  </si>
  <si>
    <t>WT morph</t>
  </si>
  <si>
    <t>Normoxia PIF</t>
  </si>
  <si>
    <t>SD</t>
  </si>
  <si>
    <t>SE</t>
  </si>
  <si>
    <t>Average</t>
  </si>
  <si>
    <t>Mut</t>
  </si>
  <si>
    <t>WT</t>
  </si>
  <si>
    <t>Het</t>
  </si>
  <si>
    <t>T Test: Two Independent Samples</t>
  </si>
  <si>
    <t>SUMMARY</t>
  </si>
  <si>
    <t>Hyp Mean Diff</t>
  </si>
  <si>
    <t>Groups</t>
  </si>
  <si>
    <t>Count</t>
  </si>
  <si>
    <t>Mean</t>
  </si>
  <si>
    <t>Variance</t>
  </si>
  <si>
    <t>Cohen d</t>
  </si>
  <si>
    <t>Pooled</t>
  </si>
  <si>
    <t>T TEST: Equal Variances</t>
  </si>
  <si>
    <t>Alpha</t>
  </si>
  <si>
    <t xml:space="preserve"> </t>
  </si>
  <si>
    <t>std err</t>
  </si>
  <si>
    <t>t-stat</t>
  </si>
  <si>
    <t>df</t>
  </si>
  <si>
    <t>p-value</t>
  </si>
  <si>
    <t>t-crit</t>
  </si>
  <si>
    <t>lower</t>
  </si>
  <si>
    <t>upper</t>
  </si>
  <si>
    <t>sig</t>
  </si>
  <si>
    <t>effect r</t>
  </si>
  <si>
    <t>One Tail</t>
  </si>
  <si>
    <t>yes</t>
  </si>
  <si>
    <t>Two Tail</t>
  </si>
  <si>
    <t>T TEST: Unequal Variances</t>
  </si>
  <si>
    <t>Instantaneous Frequency, morphine/saline normalized</t>
  </si>
  <si>
    <t>ANOVA: Single Factor, XReal Stats</t>
  </si>
  <si>
    <t>DESCRIPTION</t>
  </si>
  <si>
    <t>TUKEY HSD/KRAMER</t>
  </si>
  <si>
    <t>alpha</t>
  </si>
  <si>
    <t>Group</t>
  </si>
  <si>
    <t>Sum</t>
  </si>
  <si>
    <t>SS</t>
  </si>
  <si>
    <t>Std Err</t>
  </si>
  <si>
    <t>Lower</t>
  </si>
  <si>
    <t>Upper</t>
  </si>
  <si>
    <t>group</t>
  </si>
  <si>
    <t>mean</t>
  </si>
  <si>
    <t>n</t>
  </si>
  <si>
    <t>ss</t>
  </si>
  <si>
    <t>q-crit</t>
  </si>
  <si>
    <t>ANOVA</t>
  </si>
  <si>
    <t>Q TEST</t>
  </si>
  <si>
    <t>Sources</t>
  </si>
  <si>
    <t>MS</t>
  </si>
  <si>
    <t>F</t>
  </si>
  <si>
    <t>P value</t>
  </si>
  <si>
    <t>F crit</t>
  </si>
  <si>
    <t>RMSSE</t>
  </si>
  <si>
    <t>Omega Sq</t>
  </si>
  <si>
    <t>group 1</t>
  </si>
  <si>
    <t>group 2</t>
  </si>
  <si>
    <t>q-stat</t>
  </si>
  <si>
    <t>mean-crit</t>
  </si>
  <si>
    <t>Between Groups</t>
  </si>
  <si>
    <t>Within Groups</t>
  </si>
  <si>
    <t>Total</t>
  </si>
  <si>
    <t>Peak Flow, morphine/saline normalized</t>
  </si>
  <si>
    <t>Kruskal-Wallis Test</t>
  </si>
  <si>
    <t>Pairwise Mann-Whitney tests</t>
  </si>
  <si>
    <t>median</t>
  </si>
  <si>
    <t>rank sum</t>
  </si>
  <si>
    <t>count</t>
  </si>
  <si>
    <t>r^2/n</t>
  </si>
  <si>
    <t>H-stat</t>
  </si>
  <si>
    <t>H-ties</t>
  </si>
  <si>
    <t>Condition</t>
  </si>
  <si>
    <t>genotype</t>
  </si>
  <si>
    <t>HO</t>
  </si>
  <si>
    <t>Descriptive Statistics</t>
  </si>
  <si>
    <t>Two Factor Anova (via Regression)</t>
  </si>
  <si>
    <t>COUNT</t>
  </si>
  <si>
    <t>unbalanced</t>
  </si>
  <si>
    <t>HE</t>
  </si>
  <si>
    <t>W</t>
  </si>
  <si>
    <t>Morphine</t>
  </si>
  <si>
    <t>Rows</t>
  </si>
  <si>
    <t>Columns</t>
  </si>
  <si>
    <t>Inter</t>
  </si>
  <si>
    <t>Within</t>
  </si>
  <si>
    <t>MEAN</t>
  </si>
  <si>
    <t>Significant interaction due to lower PIF  of HET at baseline</t>
  </si>
  <si>
    <t>VARIANCE</t>
  </si>
  <si>
    <t>This effect is minimized with hypercapnia</t>
  </si>
  <si>
    <t>Normoxia Freq</t>
  </si>
  <si>
    <t>no</t>
  </si>
  <si>
    <t>Cohen D</t>
  </si>
  <si>
    <t>Power</t>
  </si>
  <si>
    <t>Hypothetic +/+ mean</t>
  </si>
  <si>
    <t>Percent Change</t>
  </si>
  <si>
    <t>MUT Avg</t>
  </si>
  <si>
    <t>WT Avg</t>
  </si>
  <si>
    <t>Pooled SD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</si>
</sst>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theme="1"/>
      <name val="Calibri (Body)"/>
    </font>
  </fonts>
  <fills count="9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7575"/>
        <bgColor indexed="64"/>
      </patternFill>
    </fill>
    <fill>
      <patternFill patternType="solid">
        <fgColor rgb="FFFFC000"/>
        <bgColor rgb="FF000000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7979"/>
        <bgColor indexed="64"/>
      </patternFill>
    </fill>
    <fill>
      <patternFill patternType="solid">
        <fgColor theme="5"/>
        <bgColor indexed="64"/>
      </patternFill>
    </fill>
  </fills>
  <borders count="15">
    <border>
      <left/>
      <right/>
      <top/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2" borderId="0" xfId="0" applyFont="1" applyFill="1"/>
    <xf numFmtId="0" fontId="0" fillId="3" borderId="0" xfId="0" applyFill="1"/>
    <xf numFmtId="0" fontId="0" fillId="4" borderId="0" xfId="0" applyFill="1"/>
    <xf numFmtId="0" fontId="2" fillId="3" borderId="0" xfId="0" applyFont="1" applyFill="1"/>
    <xf numFmtId="0" fontId="3" fillId="0" borderId="0" xfId="0" applyFont="1"/>
    <xf numFmtId="0" fontId="4" fillId="0" borderId="0" xfId="0" applyFont="1"/>
    <xf numFmtId="0" fontId="5" fillId="5" borderId="0" xfId="0" applyFont="1" applyFill="1"/>
    <xf numFmtId="0" fontId="6" fillId="0" borderId="0" xfId="0" applyFont="1"/>
    <xf numFmtId="0" fontId="0" fillId="2" borderId="0" xfId="0" applyFill="1"/>
    <xf numFmtId="0" fontId="2" fillId="0" borderId="0" xfId="0" applyFont="1"/>
    <xf numFmtId="0" fontId="3" fillId="0" borderId="1" xfId="0" applyFont="1" applyBorder="1" applyAlignment="1">
      <alignment horizontal="center"/>
    </xf>
    <xf numFmtId="0" fontId="0" fillId="6" borderId="0" xfId="0" applyFill="1"/>
    <xf numFmtId="0" fontId="0" fillId="0" borderId="2" xfId="0" applyBorder="1"/>
    <xf numFmtId="0" fontId="0" fillId="6" borderId="2" xfId="0" applyFill="1" applyBorder="1"/>
    <xf numFmtId="0" fontId="0" fillId="0" borderId="3" xfId="0" applyBorder="1"/>
    <xf numFmtId="0" fontId="0" fillId="4" borderId="3" xfId="0" applyFill="1" applyBorder="1"/>
    <xf numFmtId="0" fontId="0" fillId="7" borderId="0" xfId="0" applyFill="1"/>
    <xf numFmtId="0" fontId="0" fillId="6" borderId="3" xfId="0" applyFill="1" applyBorder="1"/>
    <xf numFmtId="0" fontId="0" fillId="0" borderId="0" xfId="0" applyAlignment="1">
      <alignment horizontal="right"/>
    </xf>
    <xf numFmtId="0" fontId="0" fillId="6" borderId="4" xfId="0" applyFill="1" applyBorder="1"/>
    <xf numFmtId="0" fontId="0" fillId="6" borderId="5" xfId="0" applyFill="1" applyBorder="1"/>
    <xf numFmtId="0" fontId="0" fillId="6" borderId="6" xfId="0" applyFill="1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6" borderId="13" xfId="0" applyFill="1" applyBorder="1"/>
    <xf numFmtId="0" fontId="0" fillId="0" borderId="14" xfId="0" applyBorder="1" applyAlignment="1">
      <alignment horizontal="right"/>
    </xf>
    <xf numFmtId="0" fontId="0" fillId="7" borderId="4" xfId="0" applyFill="1" applyBorder="1"/>
    <xf numFmtId="0" fontId="7" fillId="8" borderId="0" xfId="0" applyFont="1" applyFill="1"/>
    <xf numFmtId="0" fontId="2" fillId="2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</cellXfs>
  <cellStyles count="1">
    <cellStyle name="Normal" xfId="0" builtinId="0"/>
  </cellStyles>
  <dxfs count="8">
    <dxf>
      <fill>
        <patternFill>
          <bgColor rgb="FFFF7575"/>
        </patternFill>
      </fill>
    </dxf>
    <dxf>
      <fill>
        <patternFill>
          <bgColor theme="9" tint="0.39994506668294322"/>
        </patternFill>
      </fill>
    </dxf>
    <dxf>
      <fill>
        <patternFill>
          <bgColor rgb="FFFF7575"/>
        </patternFill>
      </fill>
    </dxf>
    <dxf>
      <fill>
        <patternFill>
          <bgColor theme="9" tint="0.39994506668294322"/>
        </patternFill>
      </fill>
    </dxf>
    <dxf>
      <fill>
        <patternFill>
          <bgColor rgb="FFFF7575"/>
        </patternFill>
      </fill>
    </dxf>
    <dxf>
      <fill>
        <patternFill>
          <bgColor theme="9" tint="0.39994506668294322"/>
        </patternFill>
      </fill>
    </dxf>
    <dxf>
      <fill>
        <patternFill>
          <bgColor rgb="FFFF7575"/>
        </patternFill>
      </fill>
    </dxf>
    <dxf>
      <fill>
        <patternFill>
          <bgColor theme="9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kevinyackle/Documents/XRealStats-Mac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fig"/>
      <sheetName val="Wilcoxon Table"/>
      <sheetName val="Mann Table"/>
      <sheetName val="RSign Table"/>
      <sheetName val="Runs Table"/>
      <sheetName val="KS Table"/>
      <sheetName val="KS2 Table"/>
      <sheetName val="Lil Table"/>
      <sheetName val="AD Table"/>
      <sheetName val="AD2 Table"/>
      <sheetName val="SW Table"/>
      <sheetName val="Stud. Q Table"/>
      <sheetName val="Stud. Q Table 2"/>
      <sheetName val="Sp Rho Table"/>
      <sheetName val="Ken Tau Table"/>
      <sheetName val="Durbin Table"/>
      <sheetName val="Dunnett Table"/>
      <sheetName val="Prime"/>
    </sheetNames>
    <definedNames>
      <definedName name="MWTEST"/>
      <definedName name="QCRIT"/>
      <definedName name="QDIST"/>
      <definedName name="RANK_SUM"/>
      <definedName name="SWTEST"/>
      <definedName name="TiesCorrection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06D7F0-8413-E143-9366-1A2517A3765B}">
  <dimension ref="A1:N8"/>
  <sheetViews>
    <sheetView workbookViewId="0">
      <selection sqref="A1:XFD1048576"/>
    </sheetView>
  </sheetViews>
  <sheetFormatPr baseColWidth="10" defaultColWidth="8.83203125" defaultRowHeight="16" x14ac:dyDescent="0.2"/>
  <cols>
    <col min="1" max="14" width="8.6640625" customWidth="1"/>
  </cols>
  <sheetData>
    <row r="1" spans="1:14" x14ac:dyDescent="0.2">
      <c r="A1" t="s">
        <v>0</v>
      </c>
    </row>
    <row r="2" spans="1:14" x14ac:dyDescent="0.2">
      <c r="B2" t="s">
        <v>1</v>
      </c>
    </row>
    <row r="3" spans="1:14" x14ac:dyDescent="0.2">
      <c r="C3" t="s">
        <v>2</v>
      </c>
      <c r="D3" t="s">
        <v>3</v>
      </c>
      <c r="E3" t="s">
        <v>4</v>
      </c>
      <c r="F3" t="s">
        <v>5</v>
      </c>
      <c r="G3" t="s">
        <v>6</v>
      </c>
      <c r="H3" t="s">
        <v>7</v>
      </c>
      <c r="I3" t="s">
        <v>8</v>
      </c>
      <c r="J3" t="s">
        <v>9</v>
      </c>
      <c r="K3" t="s">
        <v>10</v>
      </c>
      <c r="L3" t="s">
        <v>11</v>
      </c>
      <c r="M3" t="s">
        <v>12</v>
      </c>
      <c r="N3" t="s">
        <v>13</v>
      </c>
    </row>
    <row r="4" spans="1:14" x14ac:dyDescent="0.2">
      <c r="C4" t="s">
        <v>14</v>
      </c>
      <c r="D4">
        <v>5</v>
      </c>
      <c r="E4">
        <v>5</v>
      </c>
      <c r="F4">
        <f>5*SQRT(5)</f>
        <v>11.180339887498949</v>
      </c>
      <c r="G4">
        <v>5</v>
      </c>
      <c r="H4">
        <v>5</v>
      </c>
      <c r="I4">
        <f>1*SQRT(5)</f>
        <v>2.2360679774997898</v>
      </c>
      <c r="J4">
        <v>1.79</v>
      </c>
      <c r="K4">
        <v>0.18140000000000001</v>
      </c>
      <c r="L4">
        <f>(H4-E4)/((I4+F4)/2)</f>
        <v>0</v>
      </c>
      <c r="M4">
        <f>SQRT((I4^2+F4^2)/2)</f>
        <v>8.0622577482985509</v>
      </c>
      <c r="N4" t="s">
        <v>15</v>
      </c>
    </row>
    <row r="5" spans="1:14" x14ac:dyDescent="0.2">
      <c r="C5" t="s">
        <v>16</v>
      </c>
      <c r="D5">
        <v>5</v>
      </c>
      <c r="E5">
        <v>21</v>
      </c>
      <c r="F5">
        <f>2*SQRT(5)</f>
        <v>4.4721359549995796</v>
      </c>
      <c r="G5">
        <v>5</v>
      </c>
      <c r="H5">
        <v>12</v>
      </c>
      <c r="I5">
        <f>2*SQRT(5)</f>
        <v>4.4721359549995796</v>
      </c>
      <c r="J5" t="s">
        <v>17</v>
      </c>
      <c r="K5" t="s">
        <v>17</v>
      </c>
      <c r="L5">
        <f t="shared" ref="L5:L8" si="0">(H5-E5)/((I5+F5)/2)</f>
        <v>-2.0124611797498106</v>
      </c>
      <c r="M5">
        <f>SQRT((I5^2+F5^2)/2)</f>
        <v>4.4721359549995796</v>
      </c>
      <c r="N5">
        <v>4</v>
      </c>
    </row>
    <row r="6" spans="1:14" x14ac:dyDescent="0.2">
      <c r="C6" t="s">
        <v>18</v>
      </c>
      <c r="D6">
        <v>5</v>
      </c>
      <c r="E6">
        <v>35</v>
      </c>
      <c r="F6">
        <f>3*SQRT(5)</f>
        <v>6.7082039324993694</v>
      </c>
      <c r="G6">
        <v>5</v>
      </c>
      <c r="H6">
        <v>7</v>
      </c>
      <c r="I6">
        <f>3*SQRT(5)</f>
        <v>6.7082039324993694</v>
      </c>
      <c r="J6">
        <v>2.6219999999999999</v>
      </c>
      <c r="K6" t="s">
        <v>19</v>
      </c>
      <c r="L6">
        <f t="shared" si="0"/>
        <v>-4.1739935579996068</v>
      </c>
      <c r="M6">
        <f>SQRT((I6^2+F6^2)/2)</f>
        <v>6.7082039324993694</v>
      </c>
      <c r="N6">
        <v>1</v>
      </c>
    </row>
    <row r="7" spans="1:14" x14ac:dyDescent="0.2">
      <c r="C7" t="s">
        <v>20</v>
      </c>
      <c r="D7">
        <v>5</v>
      </c>
      <c r="E7">
        <v>41</v>
      </c>
      <c r="F7">
        <f>5*SQRT(5)</f>
        <v>11.180339887498949</v>
      </c>
      <c r="G7">
        <v>5</v>
      </c>
      <c r="H7">
        <v>19</v>
      </c>
      <c r="I7">
        <f>3.5*SQRT(5)</f>
        <v>7.8262379212492643</v>
      </c>
      <c r="J7" t="s">
        <v>17</v>
      </c>
      <c r="K7" t="s">
        <v>21</v>
      </c>
      <c r="L7">
        <f t="shared" si="0"/>
        <v>-2.3149880237644882</v>
      </c>
      <c r="M7">
        <f>SQRT((I7^2+F7^2)/2)</f>
        <v>9.6501295328093928</v>
      </c>
      <c r="N7">
        <v>4</v>
      </c>
    </row>
    <row r="8" spans="1:14" x14ac:dyDescent="0.2">
      <c r="C8" t="s">
        <v>22</v>
      </c>
      <c r="D8">
        <v>5</v>
      </c>
      <c r="E8">
        <v>43</v>
      </c>
      <c r="F8">
        <f>3.5*SQRT(5)</f>
        <v>7.8262379212492643</v>
      </c>
      <c r="G8">
        <v>5</v>
      </c>
      <c r="H8">
        <v>22</v>
      </c>
      <c r="I8">
        <f>7.5*SQRT(5)</f>
        <v>16.770509831248425</v>
      </c>
      <c r="J8" t="s">
        <v>17</v>
      </c>
      <c r="K8" t="s">
        <v>21</v>
      </c>
      <c r="L8">
        <f t="shared" si="0"/>
        <v>-1.7075428191816573</v>
      </c>
      <c r="M8">
        <f>SQRT((I8^2+F8^2)/2)</f>
        <v>13.086252328302402</v>
      </c>
      <c r="N8">
        <v>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05B54C-596B-FD4C-90DD-2B1BBAFC4532}">
  <dimension ref="A2:P47"/>
  <sheetViews>
    <sheetView workbookViewId="0">
      <selection sqref="A1:R50"/>
    </sheetView>
  </sheetViews>
  <sheetFormatPr baseColWidth="10" defaultRowHeight="16" x14ac:dyDescent="0.2"/>
  <sheetData>
    <row r="2" spans="1:16" x14ac:dyDescent="0.2">
      <c r="A2" s="1" t="s">
        <v>23</v>
      </c>
    </row>
    <row r="3" spans="1:16" x14ac:dyDescent="0.2">
      <c r="G3" t="s">
        <v>24</v>
      </c>
      <c r="K3" t="s">
        <v>25</v>
      </c>
      <c r="O3" t="s">
        <v>26</v>
      </c>
    </row>
    <row r="4" spans="1:16" x14ac:dyDescent="0.2">
      <c r="B4" s="2" t="s">
        <v>27</v>
      </c>
    </row>
    <row r="5" spans="1:16" x14ac:dyDescent="0.2">
      <c r="B5" t="s">
        <v>28</v>
      </c>
      <c r="C5" t="s">
        <v>29</v>
      </c>
      <c r="D5" t="s">
        <v>30</v>
      </c>
      <c r="F5" t="s">
        <v>31</v>
      </c>
      <c r="G5" t="s">
        <v>32</v>
      </c>
      <c r="H5" t="s">
        <v>33</v>
      </c>
      <c r="J5" t="s">
        <v>31</v>
      </c>
      <c r="K5" t="s">
        <v>32</v>
      </c>
      <c r="L5" t="s">
        <v>33</v>
      </c>
      <c r="N5" t="s">
        <v>31</v>
      </c>
      <c r="O5" t="s">
        <v>32</v>
      </c>
      <c r="P5" t="s">
        <v>33</v>
      </c>
    </row>
    <row r="6" spans="1:16" x14ac:dyDescent="0.2">
      <c r="B6" t="s">
        <v>34</v>
      </c>
      <c r="C6" t="s">
        <v>35</v>
      </c>
      <c r="D6" t="s">
        <v>36</v>
      </c>
      <c r="J6">
        <v>6.75395882748332</v>
      </c>
      <c r="K6">
        <v>2.6932638767278601</v>
      </c>
      <c r="L6">
        <f>K6/J6</f>
        <v>0.39876818108046297</v>
      </c>
    </row>
    <row r="7" spans="1:16" x14ac:dyDescent="0.2">
      <c r="B7" t="s">
        <v>34</v>
      </c>
      <c r="C7" t="s">
        <v>37</v>
      </c>
      <c r="D7" t="s">
        <v>36</v>
      </c>
      <c r="J7">
        <v>5.9292129751454796</v>
      </c>
      <c r="K7">
        <v>2.44805852845393</v>
      </c>
      <c r="L7">
        <f>K7/J7</f>
        <v>0.41288085597800006</v>
      </c>
    </row>
    <row r="8" spans="1:16" x14ac:dyDescent="0.2">
      <c r="B8" t="s">
        <v>38</v>
      </c>
      <c r="C8" t="s">
        <v>39</v>
      </c>
      <c r="D8" t="s">
        <v>40</v>
      </c>
      <c r="N8">
        <v>7.3184247807853602</v>
      </c>
      <c r="O8">
        <v>2.3056285355564299</v>
      </c>
      <c r="P8">
        <f>O8/N8</f>
        <v>0.31504437151692727</v>
      </c>
    </row>
    <row r="9" spans="1:16" x14ac:dyDescent="0.2">
      <c r="B9" t="s">
        <v>38</v>
      </c>
      <c r="C9" t="s">
        <v>41</v>
      </c>
      <c r="D9" t="s">
        <v>40</v>
      </c>
      <c r="N9">
        <v>5.8993322623658999</v>
      </c>
      <c r="O9">
        <v>2.2994438509933799</v>
      </c>
      <c r="P9">
        <f>O9/N9</f>
        <v>0.38978035966246771</v>
      </c>
    </row>
    <row r="10" spans="1:16" x14ac:dyDescent="0.2">
      <c r="B10" t="s">
        <v>42</v>
      </c>
      <c r="C10" t="s">
        <v>35</v>
      </c>
      <c r="D10" t="s">
        <v>43</v>
      </c>
      <c r="F10">
        <v>7.4354540151620601</v>
      </c>
      <c r="G10">
        <v>3.5649054265938398</v>
      </c>
      <c r="H10">
        <f>G10/F10</f>
        <v>0.47944690658088085</v>
      </c>
    </row>
    <row r="11" spans="1:16" x14ac:dyDescent="0.2">
      <c r="B11" t="s">
        <v>42</v>
      </c>
      <c r="C11" t="s">
        <v>44</v>
      </c>
      <c r="D11" t="s">
        <v>43</v>
      </c>
      <c r="F11">
        <v>5.9202934037130301</v>
      </c>
      <c r="G11">
        <v>2.92802694770623</v>
      </c>
      <c r="H11">
        <f>G11/F11</f>
        <v>0.49457463474189634</v>
      </c>
    </row>
    <row r="12" spans="1:16" x14ac:dyDescent="0.2">
      <c r="B12" t="s">
        <v>34</v>
      </c>
      <c r="C12" t="s">
        <v>39</v>
      </c>
      <c r="D12" t="s">
        <v>40</v>
      </c>
      <c r="N12">
        <v>8.1936691350206807</v>
      </c>
      <c r="O12">
        <v>2.7072258338162301</v>
      </c>
      <c r="P12">
        <f>O12/N12</f>
        <v>0.33040458300241055</v>
      </c>
    </row>
    <row r="13" spans="1:16" x14ac:dyDescent="0.2">
      <c r="B13" t="s">
        <v>34</v>
      </c>
      <c r="C13" t="s">
        <v>45</v>
      </c>
      <c r="D13" t="s">
        <v>40</v>
      </c>
      <c r="N13">
        <v>8.1175842432536403</v>
      </c>
      <c r="O13">
        <v>3.4923380596111899</v>
      </c>
      <c r="P13">
        <f>O13/N13</f>
        <v>0.43021888716628981</v>
      </c>
    </row>
    <row r="14" spans="1:16" x14ac:dyDescent="0.2">
      <c r="B14" t="s">
        <v>38</v>
      </c>
      <c r="C14" t="s">
        <v>35</v>
      </c>
      <c r="D14" t="s">
        <v>36</v>
      </c>
      <c r="J14">
        <v>7.8321610179136698</v>
      </c>
      <c r="K14">
        <v>2.7001512023529601</v>
      </c>
      <c r="L14">
        <f>K14/J14</f>
        <v>0.34475174810338949</v>
      </c>
    </row>
    <row r="15" spans="1:16" x14ac:dyDescent="0.2">
      <c r="B15" t="s">
        <v>38</v>
      </c>
      <c r="C15" t="s">
        <v>44</v>
      </c>
      <c r="D15" t="s">
        <v>36</v>
      </c>
      <c r="J15">
        <v>7.7588985282631899</v>
      </c>
      <c r="K15">
        <v>3.3223997609396401</v>
      </c>
      <c r="L15">
        <f>K15/J15</f>
        <v>0.42820507947580427</v>
      </c>
    </row>
    <row r="16" spans="1:16" x14ac:dyDescent="0.2">
      <c r="B16" t="s">
        <v>38</v>
      </c>
      <c r="C16" t="s">
        <v>46</v>
      </c>
      <c r="D16" t="s">
        <v>36</v>
      </c>
      <c r="J16">
        <v>8.1447240335661402</v>
      </c>
      <c r="K16">
        <v>2.65871113019415</v>
      </c>
      <c r="L16">
        <f>K16/J16</f>
        <v>0.32643354387908491</v>
      </c>
    </row>
    <row r="17" spans="1:16" x14ac:dyDescent="0.2">
      <c r="B17" t="s">
        <v>42</v>
      </c>
      <c r="C17" t="s">
        <v>39</v>
      </c>
      <c r="D17" t="s">
        <v>36</v>
      </c>
      <c r="J17">
        <v>8.6568745449424398</v>
      </c>
      <c r="K17">
        <v>3.1679333363931601</v>
      </c>
      <c r="L17">
        <f>K17/J17</f>
        <v>0.36594423541045135</v>
      </c>
    </row>
    <row r="18" spans="1:16" x14ac:dyDescent="0.2">
      <c r="B18" t="s">
        <v>42</v>
      </c>
      <c r="C18" t="s">
        <v>47</v>
      </c>
      <c r="D18" t="s">
        <v>43</v>
      </c>
      <c r="F18">
        <v>6.6307882483585896</v>
      </c>
      <c r="G18">
        <v>2.83211574256093</v>
      </c>
      <c r="H18">
        <f>G18/F18</f>
        <v>0.42711599835238334</v>
      </c>
    </row>
    <row r="19" spans="1:16" x14ac:dyDescent="0.2">
      <c r="B19" t="s">
        <v>48</v>
      </c>
      <c r="C19" t="s">
        <v>44</v>
      </c>
      <c r="D19" t="s">
        <v>40</v>
      </c>
      <c r="N19">
        <v>7.1237033936542797</v>
      </c>
      <c r="O19">
        <v>2.8437567585403398</v>
      </c>
      <c r="P19">
        <f>O19/N19</f>
        <v>0.39919640128104272</v>
      </c>
    </row>
    <row r="20" spans="1:16" x14ac:dyDescent="0.2">
      <c r="B20" t="s">
        <v>48</v>
      </c>
      <c r="C20" t="s">
        <v>49</v>
      </c>
      <c r="D20" t="s">
        <v>40</v>
      </c>
      <c r="N20">
        <v>6.2863033259635603</v>
      </c>
      <c r="O20">
        <v>2.6838703473000698</v>
      </c>
      <c r="P20">
        <f>O20/N20</f>
        <v>0.42693936454119291</v>
      </c>
    </row>
    <row r="21" spans="1:16" x14ac:dyDescent="0.2">
      <c r="B21" t="s">
        <v>48</v>
      </c>
      <c r="C21" t="s">
        <v>46</v>
      </c>
      <c r="D21" t="s">
        <v>40</v>
      </c>
      <c r="N21">
        <v>6.4092919303783997</v>
      </c>
      <c r="O21">
        <v>2.3677585233079399</v>
      </c>
      <c r="P21">
        <f>O21/N21</f>
        <v>0.369425913038127</v>
      </c>
    </row>
    <row r="22" spans="1:16" x14ac:dyDescent="0.2">
      <c r="B22" t="s">
        <v>50</v>
      </c>
      <c r="C22" t="s">
        <v>35</v>
      </c>
      <c r="D22" t="s">
        <v>43</v>
      </c>
      <c r="F22">
        <v>7.72617126089051</v>
      </c>
      <c r="G22">
        <v>3.5856314126212698</v>
      </c>
      <c r="H22">
        <f>G22/F22</f>
        <v>0.46408904120098343</v>
      </c>
    </row>
    <row r="23" spans="1:16" x14ac:dyDescent="0.2">
      <c r="B23" t="s">
        <v>50</v>
      </c>
      <c r="C23" t="s">
        <v>46</v>
      </c>
      <c r="D23" t="s">
        <v>43</v>
      </c>
      <c r="F23">
        <v>6.9224392090625999</v>
      </c>
      <c r="G23">
        <v>3.44942049478446</v>
      </c>
      <c r="H23">
        <f>G23/F23</f>
        <v>0.49829552714144559</v>
      </c>
    </row>
    <row r="24" spans="1:16" x14ac:dyDescent="0.2">
      <c r="A24" t="s">
        <v>51</v>
      </c>
      <c r="F24" cm="1">
        <f t="array" ref="F24">[1]!SWTEST(F6:F23,FALSE,FALSE)</f>
        <v>0.8529033259332246</v>
      </c>
      <c r="G24" cm="1">
        <f t="array" ref="G24">[1]!SWTEST(G6:G23,FALSE,FALSE)</f>
        <v>0.12004700622409846</v>
      </c>
      <c r="H24" cm="1">
        <f t="array" ref="H24">[1]!SWTEST(H6:H23,FALSE,FALSE)</f>
        <v>0.40068405878636515</v>
      </c>
      <c r="J24" cm="1">
        <f t="array" ref="J24">[1]!SWTEST(J6:J23,FALSE,FALSE)</f>
        <v>0.55722170094093726</v>
      </c>
      <c r="K24" cm="1">
        <f t="array" ref="K24">[1]!SWTEST(K6:K23,FALSE,FALSE)</f>
        <v>0.30548170647081696</v>
      </c>
      <c r="L24" cm="1">
        <f t="array" ref="L24">[1]!SWTEST(L6:L23,FALSE,FALSE)</f>
        <v>0.678591060370211</v>
      </c>
      <c r="N24" cm="1">
        <f t="array" ref="N24">[1]!SWTEST(N6:N23,FALSE,FALSE)</f>
        <v>0.47094307895515652</v>
      </c>
      <c r="O24" cm="1">
        <f t="array" ref="O24">[1]!SWTEST(O6:O23,FALSE,FALSE)</f>
        <v>0.15949237080256665</v>
      </c>
      <c r="P24" cm="1">
        <f t="array" ref="P24">[1]!SWTEST(P6:P23,FALSE,FALSE)</f>
        <v>0.48276993208877284</v>
      </c>
    </row>
    <row r="25" spans="1:16" x14ac:dyDescent="0.2">
      <c r="A25" t="s">
        <v>52</v>
      </c>
      <c r="H25">
        <v>0.39411219558613497</v>
      </c>
      <c r="L25">
        <v>0.72732389643451101</v>
      </c>
      <c r="P25">
        <v>0.50219607290547397</v>
      </c>
    </row>
    <row r="27" spans="1:16" x14ac:dyDescent="0.2">
      <c r="B27" s="2" t="s">
        <v>53</v>
      </c>
    </row>
    <row r="28" spans="1:16" x14ac:dyDescent="0.2">
      <c r="B28" t="s">
        <v>34</v>
      </c>
      <c r="C28" t="s">
        <v>35</v>
      </c>
      <c r="D28" t="s">
        <v>36</v>
      </c>
      <c r="J28">
        <v>-4.4890514186156301</v>
      </c>
      <c r="K28">
        <v>-2.1242975786769001</v>
      </c>
      <c r="L28">
        <f>K28/J28</f>
        <v>0.47321747527053459</v>
      </c>
    </row>
    <row r="29" spans="1:16" x14ac:dyDescent="0.2">
      <c r="B29" t="s">
        <v>34</v>
      </c>
      <c r="C29" t="s">
        <v>37</v>
      </c>
      <c r="D29" t="s">
        <v>36</v>
      </c>
      <c r="J29">
        <v>-3.2417371819770402</v>
      </c>
      <c r="K29">
        <v>-1.89520455245033</v>
      </c>
      <c r="L29">
        <f>K29/J29</f>
        <v>0.5846262192342504</v>
      </c>
    </row>
    <row r="30" spans="1:16" x14ac:dyDescent="0.2">
      <c r="B30" t="s">
        <v>38</v>
      </c>
      <c r="C30" t="s">
        <v>39</v>
      </c>
      <c r="D30" t="s">
        <v>40</v>
      </c>
      <c r="N30">
        <v>-3.1664251109920301</v>
      </c>
      <c r="O30">
        <v>-1.8219624671934</v>
      </c>
      <c r="P30">
        <f>O30/N30</f>
        <v>0.57540046055994842</v>
      </c>
    </row>
    <row r="31" spans="1:16" x14ac:dyDescent="0.2">
      <c r="B31" t="s">
        <v>38</v>
      </c>
      <c r="C31" t="s">
        <v>41</v>
      </c>
      <c r="D31" t="s">
        <v>40</v>
      </c>
      <c r="N31">
        <v>-2.74837514037654</v>
      </c>
      <c r="O31">
        <v>-1.7194525806399601</v>
      </c>
      <c r="P31">
        <f>O31/N31</f>
        <v>0.62562513951584764</v>
      </c>
    </row>
    <row r="32" spans="1:16" x14ac:dyDescent="0.2">
      <c r="B32" t="s">
        <v>42</v>
      </c>
      <c r="C32" t="s">
        <v>35</v>
      </c>
      <c r="D32" t="s">
        <v>43</v>
      </c>
      <c r="F32">
        <v>-3.8329667940001499</v>
      </c>
      <c r="G32">
        <v>-2.5730407970453899</v>
      </c>
      <c r="H32">
        <f>G32/F32</f>
        <v>0.6712922222736295</v>
      </c>
    </row>
    <row r="33" spans="1:16" x14ac:dyDescent="0.2">
      <c r="B33" t="s">
        <v>42</v>
      </c>
      <c r="C33" t="s">
        <v>44</v>
      </c>
      <c r="D33" t="s">
        <v>43</v>
      </c>
      <c r="F33">
        <v>-4.0670806823288101</v>
      </c>
      <c r="G33">
        <v>-2.1516266317903501</v>
      </c>
      <c r="H33">
        <f>G33/F33</f>
        <v>0.52903465651395165</v>
      </c>
    </row>
    <row r="34" spans="1:16" x14ac:dyDescent="0.2">
      <c r="B34" t="s">
        <v>34</v>
      </c>
      <c r="C34" t="s">
        <v>39</v>
      </c>
      <c r="D34" t="s">
        <v>40</v>
      </c>
      <c r="N34">
        <v>-3.16909315321438</v>
      </c>
      <c r="O34">
        <v>-2.2143643711786898</v>
      </c>
      <c r="P34">
        <f>O34/N34</f>
        <v>0.69873754544977063</v>
      </c>
    </row>
    <row r="35" spans="1:16" x14ac:dyDescent="0.2">
      <c r="B35" t="s">
        <v>34</v>
      </c>
      <c r="C35" t="s">
        <v>45</v>
      </c>
      <c r="D35" t="s">
        <v>40</v>
      </c>
      <c r="N35">
        <v>-3.8793562700397102</v>
      </c>
      <c r="O35">
        <v>-2.2830771572642501</v>
      </c>
      <c r="P35">
        <f>O35/N35</f>
        <v>0.58851958890614597</v>
      </c>
    </row>
    <row r="36" spans="1:16" x14ac:dyDescent="0.2">
      <c r="B36" t="s">
        <v>38</v>
      </c>
      <c r="C36" t="s">
        <v>35</v>
      </c>
      <c r="D36" t="s">
        <v>36</v>
      </c>
      <c r="J36">
        <v>-3.4889893405083399</v>
      </c>
      <c r="K36">
        <v>-2.1311031515165899</v>
      </c>
      <c r="L36">
        <f>K36/J36</f>
        <v>0.61080815775897201</v>
      </c>
    </row>
    <row r="37" spans="1:16" x14ac:dyDescent="0.2">
      <c r="B37" t="s">
        <v>38</v>
      </c>
      <c r="C37" t="s">
        <v>44</v>
      </c>
      <c r="D37" t="s">
        <v>36</v>
      </c>
      <c r="J37">
        <v>-4.3547870110566604</v>
      </c>
      <c r="K37">
        <v>-2.2377937407222102</v>
      </c>
      <c r="L37">
        <f>K37/J37</f>
        <v>0.51386984829350457</v>
      </c>
    </row>
    <row r="38" spans="1:16" x14ac:dyDescent="0.2">
      <c r="B38" t="s">
        <v>38</v>
      </c>
      <c r="C38" t="s">
        <v>46</v>
      </c>
      <c r="D38" t="s">
        <v>36</v>
      </c>
      <c r="J38">
        <v>-3.7951350086716298</v>
      </c>
      <c r="K38">
        <v>-2.09095343419524</v>
      </c>
      <c r="L38">
        <f>K38/J38</f>
        <v>0.55095627149430815</v>
      </c>
    </row>
    <row r="39" spans="1:16" x14ac:dyDescent="0.2">
      <c r="B39" t="s">
        <v>42</v>
      </c>
      <c r="C39" t="s">
        <v>39</v>
      </c>
      <c r="D39" t="s">
        <v>36</v>
      </c>
      <c r="J39">
        <v>-4.7843973907457498</v>
      </c>
      <c r="K39">
        <v>-2.6317730994773099</v>
      </c>
      <c r="L39">
        <f>K39/J39</f>
        <v>0.55007410224071962</v>
      </c>
    </row>
    <row r="40" spans="1:16" x14ac:dyDescent="0.2">
      <c r="B40" t="s">
        <v>42</v>
      </c>
      <c r="C40" t="s">
        <v>47</v>
      </c>
      <c r="D40" t="s">
        <v>43</v>
      </c>
      <c r="F40">
        <v>-3.7250145019362799</v>
      </c>
      <c r="G40">
        <v>-2.3124668600953302</v>
      </c>
      <c r="H40">
        <f>G40/F40</f>
        <v>0.6207940556723468</v>
      </c>
    </row>
    <row r="41" spans="1:16" x14ac:dyDescent="0.2">
      <c r="B41" t="s">
        <v>48</v>
      </c>
      <c r="C41" t="s">
        <v>44</v>
      </c>
      <c r="D41" t="s">
        <v>40</v>
      </c>
      <c r="N41">
        <v>-3.3403541005770898</v>
      </c>
      <c r="O41">
        <v>-2.2981307893583498</v>
      </c>
      <c r="P41">
        <f>O41/N41</f>
        <v>0.68799017115021355</v>
      </c>
    </row>
    <row r="42" spans="1:16" x14ac:dyDescent="0.2">
      <c r="B42" t="s">
        <v>48</v>
      </c>
      <c r="C42" t="s">
        <v>49</v>
      </c>
      <c r="D42" t="s">
        <v>40</v>
      </c>
      <c r="N42">
        <v>-3.2107887054039699</v>
      </c>
      <c r="O42">
        <v>-2.29983972812034</v>
      </c>
      <c r="P42">
        <f>O42/N42</f>
        <v>0.71628498139711205</v>
      </c>
    </row>
    <row r="43" spans="1:16" x14ac:dyDescent="0.2">
      <c r="B43" t="s">
        <v>48</v>
      </c>
      <c r="C43" t="s">
        <v>46</v>
      </c>
      <c r="D43" t="s">
        <v>40</v>
      </c>
      <c r="N43">
        <v>-2.6843111429014099</v>
      </c>
      <c r="O43">
        <v>-2.0070481709699299</v>
      </c>
      <c r="P43">
        <f>O43/N43</f>
        <v>0.74769580131480506</v>
      </c>
    </row>
    <row r="44" spans="1:16" x14ac:dyDescent="0.2">
      <c r="B44" t="s">
        <v>50</v>
      </c>
      <c r="C44" t="s">
        <v>35</v>
      </c>
      <c r="D44" t="s">
        <v>43</v>
      </c>
      <c r="F44">
        <v>-2.9171457118709601</v>
      </c>
      <c r="G44">
        <v>-2.0599055232815</v>
      </c>
      <c r="H44">
        <f>G44/F44</f>
        <v>0.70613734339665368</v>
      </c>
    </row>
    <row r="45" spans="1:16" x14ac:dyDescent="0.2">
      <c r="B45" t="s">
        <v>50</v>
      </c>
      <c r="C45" t="s">
        <v>46</v>
      </c>
      <c r="D45" t="s">
        <v>43</v>
      </c>
      <c r="F45">
        <v>-2.9867686817407701</v>
      </c>
      <c r="G45">
        <v>-2.5494048860304299</v>
      </c>
      <c r="H45">
        <f>G45/F45</f>
        <v>0.85356623082861816</v>
      </c>
    </row>
    <row r="46" spans="1:16" x14ac:dyDescent="0.2">
      <c r="A46" t="s">
        <v>51</v>
      </c>
      <c r="F46" cm="1">
        <f t="array" ref="F46">[1]!SWTEST(F28:F45,FALSE,FALSE)</f>
        <v>0.29030377655917661</v>
      </c>
      <c r="G46" cm="1">
        <f t="array" ref="G46">[1]!SWTEST(G28:G45,FALSE,FALSE)</f>
        <v>0.40963209609732676</v>
      </c>
      <c r="H46" cm="1">
        <f t="array" ref="H46">[1]!SWTEST(H28:H45,FALSE,FALSE)</f>
        <v>0.88915742395833708</v>
      </c>
      <c r="J46" cm="1">
        <f t="array" ref="J46">[1]!SWTEST(J28:J45,FALSE,FALSE)</f>
        <v>0.62739533935523994</v>
      </c>
      <c r="K46" cm="1">
        <f t="array" ref="K46">[1]!SWTEST(K28:K45,FALSE,FALSE)</f>
        <v>0.31562009108245653</v>
      </c>
      <c r="L46" cm="1">
        <f t="array" ref="L46">[1]!SWTEST(L28:L45,FALSE,FALSE)</f>
        <v>0.90831658299631979</v>
      </c>
      <c r="N46" cm="1">
        <f t="array" ref="N46">[1]!SWTEST(N28:N45,FALSE,FALSE)</f>
        <v>0.43690102482833792</v>
      </c>
      <c r="O46" cm="1">
        <f t="array" ref="O46">[1]!SWTEST(O28:O45,FALSE,FALSE)</f>
        <v>9.3361189586346746E-2</v>
      </c>
      <c r="P46" cm="1">
        <f t="array" ref="P46">[1]!SWTEST(P28:P45,FALSE,FALSE)</f>
        <v>0.47097652082849373</v>
      </c>
    </row>
    <row r="47" spans="1:16" x14ac:dyDescent="0.2">
      <c r="A47" t="s">
        <v>52</v>
      </c>
      <c r="H47">
        <v>0.92217300064093199</v>
      </c>
      <c r="L47">
        <v>0.92418190788839405</v>
      </c>
      <c r="P47">
        <v>0.483845889750327</v>
      </c>
    </row>
  </sheetData>
  <conditionalFormatting sqref="A24:R24">
    <cfRule type="containsText" priority="13" stopIfTrue="1" operator="containsText" text=" ">
      <formula>NOT(ISERROR(SEARCH(" ",A24)))</formula>
    </cfRule>
    <cfRule type="containsBlanks" priority="14" stopIfTrue="1">
      <formula>LEN(TRIM(A24))=0</formula>
    </cfRule>
    <cfRule type="cellIs" dxfId="7" priority="15" operator="lessThan">
      <formula>0.05</formula>
    </cfRule>
    <cfRule type="cellIs" dxfId="6" priority="16" operator="greaterThan">
      <formula>0.05</formula>
    </cfRule>
  </conditionalFormatting>
  <conditionalFormatting sqref="A25:R25">
    <cfRule type="containsText" priority="9" stopIfTrue="1" operator="containsText" text=" ">
      <formula>NOT(ISERROR(SEARCH(" ",A25)))</formula>
    </cfRule>
    <cfRule type="containsBlanks" priority="10" stopIfTrue="1">
      <formula>LEN(TRIM(A25))=0</formula>
    </cfRule>
    <cfRule type="cellIs" dxfId="5" priority="11" operator="lessThan">
      <formula>0.05</formula>
    </cfRule>
    <cfRule type="cellIs" dxfId="4" priority="12" operator="greaterThan">
      <formula>0.05</formula>
    </cfRule>
  </conditionalFormatting>
  <conditionalFormatting sqref="A46:R46">
    <cfRule type="containsText" priority="5" stopIfTrue="1" operator="containsText" text=" ">
      <formula>NOT(ISERROR(SEARCH(" ",A46)))</formula>
    </cfRule>
    <cfRule type="containsBlanks" priority="6" stopIfTrue="1">
      <formula>LEN(TRIM(A46))=0</formula>
    </cfRule>
    <cfRule type="cellIs" dxfId="3" priority="7" operator="lessThan">
      <formula>0.05</formula>
    </cfRule>
    <cfRule type="cellIs" dxfId="2" priority="8" operator="greaterThan">
      <formula>0.05</formula>
    </cfRule>
  </conditionalFormatting>
  <conditionalFormatting sqref="A47:R47">
    <cfRule type="containsText" priority="1" stopIfTrue="1" operator="containsText" text=" ">
      <formula>NOT(ISERROR(SEARCH(" ",A47)))</formula>
    </cfRule>
    <cfRule type="containsBlanks" priority="2" stopIfTrue="1">
      <formula>LEN(TRIM(A47))=0</formula>
    </cfRule>
    <cfRule type="cellIs" dxfId="1" priority="3" operator="lessThan">
      <formula>0.05</formula>
    </cfRule>
    <cfRule type="cellIs" dxfId="0" priority="4" operator="greaterThan">
      <formula>0.05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0AA0E9-6384-D44D-AE98-E28EE8E4A68C}">
  <dimension ref="A1:E23"/>
  <sheetViews>
    <sheetView workbookViewId="0">
      <selection sqref="A1:E24"/>
    </sheetView>
  </sheetViews>
  <sheetFormatPr baseColWidth="10" defaultRowHeight="16" x14ac:dyDescent="0.2"/>
  <sheetData>
    <row r="1" spans="1:5" x14ac:dyDescent="0.2">
      <c r="A1" s="4" t="s">
        <v>54</v>
      </c>
    </row>
    <row r="2" spans="1:5" x14ac:dyDescent="0.2">
      <c r="A2" s="5" t="s">
        <v>55</v>
      </c>
      <c r="B2" s="5" t="s">
        <v>56</v>
      </c>
      <c r="C2" s="5" t="s">
        <v>57</v>
      </c>
      <c r="D2" s="5" t="s">
        <v>58</v>
      </c>
    </row>
    <row r="3" spans="1:5" x14ac:dyDescent="0.2">
      <c r="A3">
        <v>7.05</v>
      </c>
      <c r="B3">
        <v>0.34</v>
      </c>
      <c r="C3">
        <v>6.3835999999999995</v>
      </c>
      <c r="D3">
        <v>7.7164000000000001</v>
      </c>
      <c r="E3" t="s">
        <v>59</v>
      </c>
    </row>
    <row r="4" spans="1:5" x14ac:dyDescent="0.2">
      <c r="A4">
        <v>2.67</v>
      </c>
      <c r="B4">
        <v>0.16</v>
      </c>
      <c r="C4">
        <v>2.3563999999999998</v>
      </c>
      <c r="D4">
        <v>2.9836</v>
      </c>
      <c r="E4" t="s">
        <v>60</v>
      </c>
    </row>
    <row r="5" spans="1:5" x14ac:dyDescent="0.2">
      <c r="A5">
        <v>0.38</v>
      </c>
      <c r="B5">
        <v>1.7000000000000001E-2</v>
      </c>
      <c r="C5">
        <v>0.34667999999999999</v>
      </c>
      <c r="D5">
        <v>0.41332000000000002</v>
      </c>
      <c r="E5" t="s">
        <v>61</v>
      </c>
    </row>
    <row r="6" spans="1:5" x14ac:dyDescent="0.2">
      <c r="A6">
        <v>7.51</v>
      </c>
      <c r="B6">
        <v>0.41</v>
      </c>
      <c r="C6">
        <v>6.7063999999999995</v>
      </c>
      <c r="D6">
        <v>8.3135999999999992</v>
      </c>
      <c r="E6" t="s">
        <v>62</v>
      </c>
    </row>
    <row r="7" spans="1:5" x14ac:dyDescent="0.2">
      <c r="A7">
        <v>2.83</v>
      </c>
      <c r="B7">
        <v>0.14000000000000001</v>
      </c>
      <c r="C7">
        <v>2.5556000000000001</v>
      </c>
      <c r="D7">
        <v>3.1044</v>
      </c>
      <c r="E7" t="s">
        <v>63</v>
      </c>
    </row>
    <row r="8" spans="1:5" x14ac:dyDescent="0.2">
      <c r="A8">
        <v>0.38</v>
      </c>
      <c r="B8">
        <v>1.6E-2</v>
      </c>
      <c r="C8">
        <v>0.34864000000000001</v>
      </c>
      <c r="D8">
        <v>0.41136</v>
      </c>
      <c r="E8" t="s">
        <v>61</v>
      </c>
    </row>
    <row r="9" spans="1:5" x14ac:dyDescent="0.2">
      <c r="A9">
        <v>6.93</v>
      </c>
      <c r="B9">
        <v>0.32</v>
      </c>
      <c r="C9">
        <v>6.3027999999999995</v>
      </c>
      <c r="D9">
        <v>7.5571999999999999</v>
      </c>
      <c r="E9" t="s">
        <v>64</v>
      </c>
    </row>
    <row r="10" spans="1:5" x14ac:dyDescent="0.2">
      <c r="A10">
        <v>3.27</v>
      </c>
      <c r="B10">
        <v>0.16</v>
      </c>
      <c r="C10">
        <v>2.9563999999999999</v>
      </c>
      <c r="D10">
        <v>3.5836000000000001</v>
      </c>
      <c r="E10" t="s">
        <v>65</v>
      </c>
    </row>
    <row r="11" spans="1:5" x14ac:dyDescent="0.2">
      <c r="A11">
        <v>0.47</v>
      </c>
      <c r="B11">
        <v>1.2999999999999999E-2</v>
      </c>
      <c r="C11">
        <v>0.44451999999999997</v>
      </c>
      <c r="D11">
        <v>0.49547999999999998</v>
      </c>
      <c r="E11" t="s">
        <v>61</v>
      </c>
    </row>
    <row r="13" spans="1:5" x14ac:dyDescent="0.2">
      <c r="A13" s="4" t="s">
        <v>66</v>
      </c>
    </row>
    <row r="14" spans="1:5" x14ac:dyDescent="0.2">
      <c r="A14" s="6" t="s">
        <v>55</v>
      </c>
      <c r="B14" s="6" t="s">
        <v>56</v>
      </c>
      <c r="C14" s="6" t="s">
        <v>57</v>
      </c>
      <c r="D14" s="6" t="s">
        <v>58</v>
      </c>
    </row>
    <row r="15" spans="1:5" x14ac:dyDescent="0.2">
      <c r="A15">
        <v>-3.17</v>
      </c>
      <c r="B15">
        <v>0.15</v>
      </c>
      <c r="C15">
        <v>-3.464</v>
      </c>
      <c r="D15">
        <v>-2.8759999999999999</v>
      </c>
      <c r="E15" t="s">
        <v>59</v>
      </c>
    </row>
    <row r="16" spans="1:5" x14ac:dyDescent="0.2">
      <c r="A16">
        <v>-2.09</v>
      </c>
      <c r="B16">
        <v>0.09</v>
      </c>
      <c r="C16">
        <v>-2.2664</v>
      </c>
      <c r="D16">
        <v>-1.9135999999999997</v>
      </c>
      <c r="E16" t="s">
        <v>60</v>
      </c>
    </row>
    <row r="17" spans="1:5" x14ac:dyDescent="0.2">
      <c r="A17">
        <v>0.66</v>
      </c>
      <c r="B17">
        <v>2.5000000000000001E-2</v>
      </c>
      <c r="C17">
        <v>0.61099999999999999</v>
      </c>
      <c r="D17">
        <v>0.70900000000000007</v>
      </c>
      <c r="E17" t="s">
        <v>61</v>
      </c>
    </row>
    <row r="18" spans="1:5" x14ac:dyDescent="0.2">
      <c r="A18">
        <v>-4.03</v>
      </c>
      <c r="B18">
        <v>0.25</v>
      </c>
      <c r="C18">
        <v>-4.5200000000000005</v>
      </c>
      <c r="D18">
        <v>-3.54</v>
      </c>
      <c r="E18" t="s">
        <v>62</v>
      </c>
    </row>
    <row r="19" spans="1:5" x14ac:dyDescent="0.2">
      <c r="A19">
        <v>-2.19</v>
      </c>
      <c r="B19">
        <v>0.1</v>
      </c>
      <c r="C19">
        <v>-2.3860000000000001</v>
      </c>
      <c r="D19">
        <v>-1.994</v>
      </c>
      <c r="E19" t="s">
        <v>63</v>
      </c>
    </row>
    <row r="20" spans="1:5" x14ac:dyDescent="0.2">
      <c r="A20">
        <v>0.52</v>
      </c>
      <c r="B20">
        <v>0.02</v>
      </c>
      <c r="C20">
        <v>0.48080000000000001</v>
      </c>
      <c r="D20">
        <v>0.55920000000000003</v>
      </c>
      <c r="E20" t="s">
        <v>61</v>
      </c>
    </row>
    <row r="21" spans="1:5" x14ac:dyDescent="0.2">
      <c r="A21">
        <v>-3.5</v>
      </c>
      <c r="B21">
        <v>0.23</v>
      </c>
      <c r="C21">
        <v>-3.9508000000000001</v>
      </c>
      <c r="D21">
        <v>-3.0491999999999999</v>
      </c>
      <c r="E21" t="s">
        <v>64</v>
      </c>
    </row>
    <row r="22" spans="1:5" x14ac:dyDescent="0.2">
      <c r="A22">
        <v>-2.33</v>
      </c>
      <c r="B22">
        <v>0.1</v>
      </c>
      <c r="C22">
        <v>-2.5260000000000002</v>
      </c>
      <c r="D22">
        <v>-2.1339999999999999</v>
      </c>
      <c r="E22" t="s">
        <v>65</v>
      </c>
    </row>
    <row r="23" spans="1:5" x14ac:dyDescent="0.2">
      <c r="A23">
        <v>0.67</v>
      </c>
      <c r="B23">
        <v>0.02</v>
      </c>
      <c r="C23">
        <v>0.63080000000000003</v>
      </c>
      <c r="D23">
        <v>0.70920000000000005</v>
      </c>
      <c r="E23" t="s">
        <v>61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B8FAB2-0BA0-3A47-B687-FA60C1909CDF}">
  <dimension ref="A1:J41"/>
  <sheetViews>
    <sheetView workbookViewId="0">
      <selection sqref="A1:J41"/>
    </sheetView>
  </sheetViews>
  <sheetFormatPr baseColWidth="10" defaultRowHeight="16" x14ac:dyDescent="0.2"/>
  <sheetData>
    <row r="1" spans="1:10" x14ac:dyDescent="0.2">
      <c r="A1" s="7" t="s">
        <v>54</v>
      </c>
      <c r="B1" s="8"/>
      <c r="C1" s="8"/>
      <c r="D1" s="8"/>
      <c r="E1" s="8"/>
      <c r="F1" s="8"/>
      <c r="G1" s="8"/>
      <c r="H1" s="8"/>
      <c r="I1" s="8"/>
      <c r="J1" s="8"/>
    </row>
    <row r="2" spans="1:10" x14ac:dyDescent="0.2">
      <c r="A2" s="8"/>
      <c r="B2" s="8"/>
      <c r="C2" s="8"/>
      <c r="D2" s="8"/>
      <c r="E2" s="8"/>
      <c r="F2" s="8"/>
      <c r="G2" s="8"/>
      <c r="H2" s="8"/>
      <c r="I2" s="8"/>
      <c r="J2" s="8"/>
    </row>
    <row r="3" spans="1:10" x14ac:dyDescent="0.2">
      <c r="A3" s="8" t="s">
        <v>24</v>
      </c>
      <c r="B3" s="8" t="s">
        <v>25</v>
      </c>
      <c r="C3" s="8" t="s">
        <v>26</v>
      </c>
      <c r="D3" s="8"/>
      <c r="E3" s="8"/>
      <c r="F3" s="8" t="s">
        <v>67</v>
      </c>
      <c r="G3" s="8" t="s">
        <v>68</v>
      </c>
      <c r="H3" s="8" t="s">
        <v>69</v>
      </c>
      <c r="I3" s="8"/>
      <c r="J3" s="8"/>
    </row>
    <row r="4" spans="1:10" x14ac:dyDescent="0.2">
      <c r="A4" s="8">
        <v>0.47944691</v>
      </c>
      <c r="B4" s="8">
        <v>0.39876818000000003</v>
      </c>
      <c r="C4" s="8">
        <v>0.31504437000000002</v>
      </c>
      <c r="D4" s="8"/>
      <c r="E4" s="8" t="s">
        <v>70</v>
      </c>
      <c r="F4" s="8">
        <v>4.4684080000000001E-2</v>
      </c>
      <c r="G4" s="8">
        <v>1.6889000000000001E-2</v>
      </c>
      <c r="H4" s="8">
        <v>0.38014427000000001</v>
      </c>
      <c r="I4" s="8"/>
      <c r="J4" s="8"/>
    </row>
    <row r="5" spans="1:10" x14ac:dyDescent="0.2">
      <c r="A5" s="8">
        <v>0.49457463000000002</v>
      </c>
      <c r="B5" s="8">
        <v>0.41288086000000002</v>
      </c>
      <c r="C5" s="8">
        <v>0.38978035999999999</v>
      </c>
      <c r="D5" s="8"/>
      <c r="E5" s="8" t="s">
        <v>71</v>
      </c>
      <c r="F5" s="8">
        <v>2.885828E-2</v>
      </c>
      <c r="G5" s="8">
        <v>1.290581E-2</v>
      </c>
      <c r="H5" s="8">
        <v>0.47270442000000001</v>
      </c>
      <c r="I5" s="8"/>
      <c r="J5" s="8"/>
    </row>
    <row r="6" spans="1:10" x14ac:dyDescent="0.2">
      <c r="A6" s="8">
        <v>0.427116</v>
      </c>
      <c r="B6" s="8">
        <v>0.34475175000000002</v>
      </c>
      <c r="C6" s="8">
        <v>0.33040458</v>
      </c>
      <c r="D6" s="8"/>
      <c r="E6" s="8" t="s">
        <v>72</v>
      </c>
      <c r="F6" s="8">
        <v>4.0162120000000003E-2</v>
      </c>
      <c r="G6" s="8">
        <v>1.6396109999999998E-2</v>
      </c>
      <c r="H6" s="8">
        <v>0.37949727</v>
      </c>
      <c r="I6" s="8"/>
      <c r="J6" s="8"/>
    </row>
    <row r="7" spans="1:10" x14ac:dyDescent="0.2">
      <c r="A7" s="8">
        <v>0.46408904000000001</v>
      </c>
      <c r="B7" s="8">
        <v>0.42820508000000002</v>
      </c>
      <c r="C7" s="8">
        <v>0.43021889000000002</v>
      </c>
      <c r="D7" s="8"/>
      <c r="E7" s="8"/>
      <c r="F7" s="8"/>
      <c r="G7" s="8"/>
      <c r="H7" s="8"/>
      <c r="I7" s="8"/>
      <c r="J7" s="8"/>
    </row>
    <row r="8" spans="1:10" x14ac:dyDescent="0.2">
      <c r="A8" s="8">
        <v>0.49829552999999999</v>
      </c>
      <c r="B8" s="8">
        <v>0.32643354000000002</v>
      </c>
      <c r="C8" s="8">
        <v>0.39919640000000001</v>
      </c>
      <c r="D8" s="8"/>
      <c r="E8" s="8"/>
      <c r="F8" s="8">
        <v>3.7612949999999999E-2</v>
      </c>
      <c r="G8" s="8"/>
      <c r="H8" s="8"/>
      <c r="I8" s="8"/>
      <c r="J8" s="8"/>
    </row>
    <row r="9" spans="1:10" x14ac:dyDescent="0.2">
      <c r="A9" s="8"/>
      <c r="B9" s="8">
        <v>0.36594423999999998</v>
      </c>
      <c r="C9" s="8">
        <v>0.42693935999999999</v>
      </c>
      <c r="D9" s="8"/>
      <c r="E9" s="8"/>
      <c r="F9" s="8"/>
      <c r="G9" s="8"/>
      <c r="H9" s="8"/>
      <c r="I9" s="8"/>
      <c r="J9" s="8"/>
    </row>
    <row r="10" spans="1:10" x14ac:dyDescent="0.2">
      <c r="A10" s="8"/>
      <c r="B10" s="8"/>
      <c r="C10" s="8">
        <v>0.36942591000000002</v>
      </c>
      <c r="D10" s="8"/>
      <c r="E10" s="8"/>
      <c r="F10" s="8"/>
      <c r="G10" s="8"/>
      <c r="H10" s="8"/>
      <c r="I10" s="8"/>
      <c r="J10" s="8"/>
    </row>
    <row r="11" spans="1:10" x14ac:dyDescent="0.2">
      <c r="A11" s="8"/>
      <c r="B11" s="8"/>
      <c r="C11" s="8"/>
      <c r="D11" s="8"/>
      <c r="E11" s="8"/>
      <c r="F11" s="8"/>
      <c r="G11" s="8"/>
      <c r="H11" s="8"/>
      <c r="I11" s="8"/>
      <c r="J11" s="8"/>
    </row>
    <row r="12" spans="1:10" x14ac:dyDescent="0.2">
      <c r="A12" s="8"/>
      <c r="B12" s="8"/>
      <c r="C12" s="8"/>
      <c r="D12" s="8"/>
      <c r="E12" s="8"/>
      <c r="F12" s="8"/>
      <c r="G12" s="8"/>
      <c r="H12" s="8"/>
      <c r="I12" s="8"/>
      <c r="J12" s="8"/>
    </row>
    <row r="13" spans="1:10" x14ac:dyDescent="0.2">
      <c r="A13" s="8" t="s">
        <v>73</v>
      </c>
      <c r="B13" s="8"/>
      <c r="C13" s="8"/>
      <c r="D13" s="8"/>
      <c r="E13" s="8"/>
      <c r="F13" s="8"/>
      <c r="G13" s="8"/>
      <c r="H13" s="8"/>
      <c r="I13" s="8"/>
      <c r="J13" s="8"/>
    </row>
    <row r="14" spans="1:10" x14ac:dyDescent="0.2">
      <c r="A14" s="8"/>
      <c r="B14" s="8"/>
      <c r="C14" s="8"/>
      <c r="D14" s="8"/>
      <c r="E14" s="8"/>
      <c r="F14" s="8"/>
      <c r="G14" s="8"/>
      <c r="H14" s="8"/>
      <c r="I14" s="8"/>
      <c r="J14" s="8"/>
    </row>
    <row r="15" spans="1:10" x14ac:dyDescent="0.2">
      <c r="A15" s="8" t="s">
        <v>74</v>
      </c>
      <c r="B15" s="8"/>
      <c r="C15" s="8"/>
      <c r="D15" s="8" t="s">
        <v>75</v>
      </c>
      <c r="E15" s="8">
        <v>0</v>
      </c>
      <c r="F15" s="8"/>
      <c r="G15" s="8"/>
      <c r="H15" s="8"/>
      <c r="I15" s="8"/>
      <c r="J15" s="8"/>
    </row>
    <row r="16" spans="1:10" x14ac:dyDescent="0.2">
      <c r="A16" s="8" t="s">
        <v>76</v>
      </c>
      <c r="B16" s="8" t="s">
        <v>77</v>
      </c>
      <c r="C16" s="8" t="s">
        <v>78</v>
      </c>
      <c r="D16" s="8" t="s">
        <v>79</v>
      </c>
      <c r="E16" s="8" t="s">
        <v>80</v>
      </c>
      <c r="F16" s="8"/>
      <c r="G16" s="8"/>
      <c r="H16" s="8"/>
      <c r="I16" s="8"/>
      <c r="J16" s="8"/>
    </row>
    <row r="17" spans="1:10" x14ac:dyDescent="0.2">
      <c r="A17" s="8" t="s">
        <v>24</v>
      </c>
      <c r="B17" s="8">
        <v>5</v>
      </c>
      <c r="C17" s="8">
        <v>0.47270442000000001</v>
      </c>
      <c r="D17" s="8">
        <v>8.3279999999999997E-4</v>
      </c>
      <c r="E17" s="8"/>
      <c r="F17" s="8"/>
      <c r="G17" s="8"/>
      <c r="H17" s="8"/>
      <c r="I17" s="8"/>
      <c r="J17" s="8"/>
    </row>
    <row r="18" spans="1:10" x14ac:dyDescent="0.2">
      <c r="A18" s="8" t="s">
        <v>26</v>
      </c>
      <c r="B18" s="8">
        <v>7</v>
      </c>
      <c r="C18" s="8">
        <v>0.38014427000000001</v>
      </c>
      <c r="D18" s="8">
        <v>1.9966699999999999E-3</v>
      </c>
      <c r="E18" s="8"/>
      <c r="F18" s="8"/>
      <c r="G18" s="8"/>
      <c r="H18" s="8"/>
      <c r="I18" s="8"/>
      <c r="J18" s="8"/>
    </row>
    <row r="19" spans="1:10" x14ac:dyDescent="0.2">
      <c r="A19" s="8" t="s">
        <v>81</v>
      </c>
      <c r="B19" s="8"/>
      <c r="C19" s="8"/>
      <c r="D19" s="8">
        <v>1.53112E-3</v>
      </c>
      <c r="E19" s="8">
        <v>2.3654806399999999</v>
      </c>
      <c r="F19" s="8"/>
      <c r="G19" s="8"/>
      <c r="H19" s="8"/>
      <c r="I19" s="8"/>
      <c r="J19" s="8"/>
    </row>
    <row r="20" spans="1:10" x14ac:dyDescent="0.2">
      <c r="A20" s="8"/>
      <c r="B20" s="8"/>
      <c r="C20" s="8"/>
      <c r="D20" s="8"/>
      <c r="E20" s="8"/>
      <c r="F20" s="8"/>
      <c r="G20" s="8"/>
      <c r="H20" s="8"/>
      <c r="I20" s="8"/>
      <c r="J20" s="8"/>
    </row>
    <row r="21" spans="1:10" x14ac:dyDescent="0.2">
      <c r="A21" s="8" t="s">
        <v>82</v>
      </c>
      <c r="B21" s="8"/>
      <c r="C21" s="8"/>
      <c r="D21" s="8"/>
      <c r="E21" s="8" t="s">
        <v>83</v>
      </c>
      <c r="F21" s="8">
        <v>0.05</v>
      </c>
      <c r="G21" s="8"/>
      <c r="H21" s="8"/>
      <c r="I21" s="8"/>
      <c r="J21" s="8"/>
    </row>
    <row r="22" spans="1:10" x14ac:dyDescent="0.2">
      <c r="A22" s="8" t="s">
        <v>84</v>
      </c>
      <c r="B22" s="8" t="s">
        <v>85</v>
      </c>
      <c r="C22" s="8" t="s">
        <v>86</v>
      </c>
      <c r="D22" s="8" t="s">
        <v>87</v>
      </c>
      <c r="E22" s="8" t="s">
        <v>88</v>
      </c>
      <c r="F22" s="8" t="s">
        <v>89</v>
      </c>
      <c r="G22" s="8" t="s">
        <v>90</v>
      </c>
      <c r="H22" s="8" t="s">
        <v>91</v>
      </c>
      <c r="I22" s="8" t="s">
        <v>92</v>
      </c>
      <c r="J22" s="8" t="s">
        <v>93</v>
      </c>
    </row>
    <row r="23" spans="1:10" x14ac:dyDescent="0.2">
      <c r="A23" s="8" t="s">
        <v>94</v>
      </c>
      <c r="B23" s="8">
        <v>2.2911910000000001E-2</v>
      </c>
      <c r="C23" s="8">
        <v>4.03982727</v>
      </c>
      <c r="D23" s="8">
        <v>10</v>
      </c>
      <c r="E23" s="8">
        <v>1.1809399999999999E-3</v>
      </c>
      <c r="F23" s="8">
        <v>1.81246112</v>
      </c>
      <c r="G23" s="8"/>
      <c r="H23" s="8"/>
      <c r="I23" s="8" t="s">
        <v>95</v>
      </c>
      <c r="J23" s="8">
        <v>0.78744126000000003</v>
      </c>
    </row>
    <row r="24" spans="1:10" x14ac:dyDescent="0.2">
      <c r="A24" s="8" t="s">
        <v>96</v>
      </c>
      <c r="B24" s="8">
        <v>2.2911910000000001E-2</v>
      </c>
      <c r="C24" s="8">
        <v>4.03982727</v>
      </c>
      <c r="D24" s="8">
        <v>10</v>
      </c>
      <c r="E24" s="8">
        <v>2.3618799999999998E-3</v>
      </c>
      <c r="F24" s="8">
        <v>2.2281388500000001</v>
      </c>
      <c r="G24" s="8">
        <v>4.1509240000000003E-2</v>
      </c>
      <c r="H24" s="8">
        <v>0.14361107000000001</v>
      </c>
      <c r="I24" s="8" t="s">
        <v>95</v>
      </c>
      <c r="J24" s="8">
        <v>0.78744126000000003</v>
      </c>
    </row>
    <row r="25" spans="1:10" x14ac:dyDescent="0.2">
      <c r="A25" s="8"/>
      <c r="B25" s="8"/>
      <c r="C25" s="8"/>
      <c r="D25" s="8"/>
      <c r="E25" s="8"/>
      <c r="F25" s="8"/>
      <c r="G25" s="8"/>
      <c r="H25" s="8"/>
      <c r="I25" s="8"/>
      <c r="J25" s="8"/>
    </row>
    <row r="26" spans="1:10" x14ac:dyDescent="0.2">
      <c r="A26" s="8" t="s">
        <v>97</v>
      </c>
      <c r="B26" s="8"/>
      <c r="C26" s="8"/>
      <c r="D26" s="8"/>
      <c r="E26" s="8" t="s">
        <v>83</v>
      </c>
      <c r="F26" s="8">
        <v>0.05</v>
      </c>
      <c r="G26" s="8"/>
      <c r="H26" s="8"/>
      <c r="I26" s="8"/>
      <c r="J26" s="8"/>
    </row>
    <row r="27" spans="1:10" x14ac:dyDescent="0.2">
      <c r="A27" s="8" t="s">
        <v>84</v>
      </c>
      <c r="B27" s="8" t="s">
        <v>85</v>
      </c>
      <c r="C27" s="8" t="s">
        <v>86</v>
      </c>
      <c r="D27" s="8" t="s">
        <v>87</v>
      </c>
      <c r="E27" s="8" t="s">
        <v>88</v>
      </c>
      <c r="F27" s="8" t="s">
        <v>89</v>
      </c>
      <c r="G27" s="8" t="s">
        <v>90</v>
      </c>
      <c r="H27" s="8" t="s">
        <v>91</v>
      </c>
      <c r="I27" s="8" t="s">
        <v>92</v>
      </c>
      <c r="J27" s="8" t="s">
        <v>93</v>
      </c>
    </row>
    <row r="28" spans="1:10" x14ac:dyDescent="0.2">
      <c r="A28" s="8" t="s">
        <v>94</v>
      </c>
      <c r="B28" s="8">
        <v>2.1255550000000002E-2</v>
      </c>
      <c r="C28" s="8">
        <v>4.3546355200000004</v>
      </c>
      <c r="D28" s="8">
        <v>9.9592427200000007</v>
      </c>
      <c r="E28" s="8">
        <v>7.2347999999999998E-4</v>
      </c>
      <c r="F28" s="8">
        <v>1.8132140699999999</v>
      </c>
      <c r="G28" s="8"/>
      <c r="H28" s="8"/>
      <c r="I28" s="8" t="s">
        <v>95</v>
      </c>
      <c r="J28" s="8">
        <v>0.80972387999999995</v>
      </c>
    </row>
    <row r="29" spans="1:10" x14ac:dyDescent="0.2">
      <c r="A29" s="8" t="s">
        <v>96</v>
      </c>
      <c r="B29" s="8">
        <v>2.1255550000000002E-2</v>
      </c>
      <c r="C29" s="8">
        <v>4.3546355200000004</v>
      </c>
      <c r="D29" s="8">
        <v>9.9592427200000007</v>
      </c>
      <c r="E29" s="8">
        <v>1.4469699999999999E-3</v>
      </c>
      <c r="F29" s="8">
        <v>2.22937546</v>
      </c>
      <c r="G29" s="8">
        <v>4.5173560000000001E-2</v>
      </c>
      <c r="H29" s="8">
        <v>0.13994673999999999</v>
      </c>
      <c r="I29" s="8" t="s">
        <v>95</v>
      </c>
      <c r="J29" s="8">
        <v>0.80972387999999995</v>
      </c>
    </row>
    <row r="30" spans="1:10" x14ac:dyDescent="0.2">
      <c r="A30" s="8"/>
      <c r="B30" s="8"/>
      <c r="C30" s="8"/>
      <c r="D30" s="8"/>
      <c r="E30" s="8"/>
      <c r="F30" s="8"/>
      <c r="G30" s="8"/>
      <c r="H30" s="8"/>
      <c r="I30" s="8"/>
      <c r="J30" s="8"/>
    </row>
    <row r="31" spans="1:10" x14ac:dyDescent="0.2">
      <c r="A31" s="8"/>
      <c r="B31" s="8"/>
      <c r="C31" s="8"/>
      <c r="D31" s="8"/>
      <c r="E31" s="8"/>
      <c r="F31" s="8"/>
      <c r="G31" s="8"/>
      <c r="H31" s="8"/>
      <c r="I31" s="8"/>
      <c r="J31" s="8"/>
    </row>
    <row r="32" spans="1:10" x14ac:dyDescent="0.2">
      <c r="A32" s="7" t="s">
        <v>66</v>
      </c>
      <c r="B32" s="8"/>
      <c r="C32" s="8"/>
      <c r="D32" s="8"/>
      <c r="E32" s="8"/>
      <c r="F32" s="8"/>
      <c r="G32" s="8"/>
      <c r="H32" s="8"/>
      <c r="I32" s="8"/>
      <c r="J32" s="8"/>
    </row>
    <row r="33" spans="1:10" x14ac:dyDescent="0.2">
      <c r="A33" s="8"/>
      <c r="B33" s="8"/>
      <c r="C33" s="8"/>
      <c r="D33" s="8"/>
      <c r="E33" s="8"/>
      <c r="F33" s="8"/>
      <c r="G33" s="8"/>
      <c r="H33" s="8"/>
      <c r="I33" s="8"/>
      <c r="J33" s="8"/>
    </row>
    <row r="34" spans="1:10" x14ac:dyDescent="0.2">
      <c r="A34" s="8" t="s">
        <v>24</v>
      </c>
      <c r="B34" s="8" t="s">
        <v>25</v>
      </c>
      <c r="C34" s="8" t="s">
        <v>26</v>
      </c>
      <c r="D34" s="8"/>
      <c r="E34" s="8"/>
      <c r="F34" s="8" t="s">
        <v>67</v>
      </c>
      <c r="G34" s="8" t="s">
        <v>68</v>
      </c>
      <c r="H34" s="8" t="s">
        <v>69</v>
      </c>
      <c r="I34" s="8"/>
      <c r="J34" s="8"/>
    </row>
    <row r="35" spans="1:10" x14ac:dyDescent="0.2">
      <c r="A35" s="8">
        <v>0.67129222</v>
      </c>
      <c r="B35" s="8">
        <v>0.47321748000000002</v>
      </c>
      <c r="C35" s="8">
        <v>0.57540046</v>
      </c>
      <c r="D35" s="8"/>
      <c r="E35" s="8" t="s">
        <v>70</v>
      </c>
      <c r="F35" s="8">
        <v>6.649832E-2</v>
      </c>
      <c r="G35" s="8">
        <v>2.5134E-2</v>
      </c>
      <c r="H35" s="8">
        <v>0.66289337999999998</v>
      </c>
      <c r="I35" s="8"/>
      <c r="J35" s="8"/>
    </row>
    <row r="36" spans="1:10" x14ac:dyDescent="0.2">
      <c r="A36" s="8">
        <v>0.52903465999999999</v>
      </c>
      <c r="B36" s="8">
        <v>0.58462621999999997</v>
      </c>
      <c r="C36" s="8">
        <v>0.62562514000000002</v>
      </c>
      <c r="D36" s="8"/>
      <c r="E36" s="8" t="s">
        <v>71</v>
      </c>
      <c r="F36" s="8">
        <v>0.1194849</v>
      </c>
      <c r="G36" s="8">
        <v>5.343527E-2</v>
      </c>
      <c r="H36" s="8">
        <v>0.67616489999999996</v>
      </c>
      <c r="I36" s="8"/>
      <c r="J36" s="8"/>
    </row>
    <row r="37" spans="1:10" x14ac:dyDescent="0.2">
      <c r="A37" s="8">
        <v>0.62079406000000004</v>
      </c>
      <c r="B37" s="8">
        <v>0.61080816000000004</v>
      </c>
      <c r="C37" s="8">
        <v>0.69873755000000004</v>
      </c>
      <c r="D37" s="8"/>
      <c r="E37" s="8" t="s">
        <v>72</v>
      </c>
      <c r="F37" s="8">
        <v>4.9098639999999999E-2</v>
      </c>
      <c r="G37" s="8">
        <v>2.004444E-2</v>
      </c>
      <c r="H37" s="8">
        <v>0.54725868</v>
      </c>
      <c r="I37" s="8"/>
      <c r="J37" s="8"/>
    </row>
    <row r="38" spans="1:10" x14ac:dyDescent="0.2">
      <c r="A38" s="8">
        <v>0.70613733999999995</v>
      </c>
      <c r="B38" s="8">
        <v>0.51386984999999996</v>
      </c>
      <c r="C38" s="8">
        <v>0.58851958999999998</v>
      </c>
      <c r="D38" s="8"/>
      <c r="E38" s="8"/>
      <c r="F38" s="8"/>
      <c r="G38" s="8"/>
      <c r="H38" s="8"/>
      <c r="I38" s="8"/>
      <c r="J38" s="8"/>
    </row>
    <row r="39" spans="1:10" x14ac:dyDescent="0.2">
      <c r="A39" s="8">
        <v>0.85356622999999998</v>
      </c>
      <c r="B39" s="8">
        <v>0.55095627000000003</v>
      </c>
      <c r="C39" s="8">
        <v>0.68799016999999996</v>
      </c>
      <c r="D39" s="8"/>
      <c r="E39" s="8"/>
      <c r="F39" s="8">
        <v>9.6691949999999999E-2</v>
      </c>
      <c r="G39" s="8"/>
      <c r="H39" s="8"/>
      <c r="I39" s="8"/>
      <c r="J39" s="8"/>
    </row>
    <row r="40" spans="1:10" x14ac:dyDescent="0.2">
      <c r="A40" s="8"/>
      <c r="B40" s="8">
        <v>0.55007410000000001</v>
      </c>
      <c r="C40" s="8">
        <v>0.71628497999999996</v>
      </c>
      <c r="D40" s="8"/>
      <c r="E40" s="8"/>
      <c r="F40" s="8"/>
      <c r="G40" s="8"/>
      <c r="H40" s="8"/>
      <c r="I40" s="8"/>
      <c r="J40" s="8"/>
    </row>
    <row r="41" spans="1:10" x14ac:dyDescent="0.2">
      <c r="A41" s="8"/>
      <c r="B41" s="8"/>
      <c r="C41" s="8">
        <v>0.74769580000000002</v>
      </c>
      <c r="D41" s="8"/>
      <c r="E41" s="8"/>
      <c r="F41" s="8"/>
      <c r="G41" s="8"/>
      <c r="H41" s="8"/>
      <c r="I41" s="8"/>
      <c r="J41" s="8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85FA0A-4016-1641-9046-9080554D6EF6}">
  <dimension ref="A2:W47"/>
  <sheetViews>
    <sheetView workbookViewId="0">
      <selection sqref="A1:X50"/>
    </sheetView>
  </sheetViews>
  <sheetFormatPr baseColWidth="10" defaultRowHeight="16" x14ac:dyDescent="0.2"/>
  <sheetData>
    <row r="2" spans="1:19" x14ac:dyDescent="0.2">
      <c r="B2" s="9" t="s">
        <v>23</v>
      </c>
      <c r="N2" s="10"/>
      <c r="O2" s="10"/>
    </row>
    <row r="3" spans="1:19" x14ac:dyDescent="0.2">
      <c r="C3" s="4" t="s">
        <v>98</v>
      </c>
    </row>
    <row r="5" spans="1:19" x14ac:dyDescent="0.2">
      <c r="D5" t="s">
        <v>24</v>
      </c>
      <c r="E5" t="s">
        <v>25</v>
      </c>
      <c r="F5" t="s">
        <v>26</v>
      </c>
    </row>
    <row r="6" spans="1:19" x14ac:dyDescent="0.2">
      <c r="D6">
        <v>0.47944690658088085</v>
      </c>
      <c r="E6">
        <v>0.39876818108046297</v>
      </c>
      <c r="F6">
        <v>0.31504437151692727</v>
      </c>
    </row>
    <row r="7" spans="1:19" x14ac:dyDescent="0.2">
      <c r="D7">
        <v>0.49457463474189634</v>
      </c>
      <c r="E7">
        <v>0.41288085597800006</v>
      </c>
      <c r="F7">
        <v>0.38978035966246771</v>
      </c>
    </row>
    <row r="8" spans="1:19" x14ac:dyDescent="0.2">
      <c r="D8">
        <v>0.42711599835238334</v>
      </c>
      <c r="E8">
        <v>0.34475174810338949</v>
      </c>
      <c r="F8">
        <v>0.33040458300241055</v>
      </c>
    </row>
    <row r="9" spans="1:19" x14ac:dyDescent="0.2">
      <c r="D9">
        <v>0.46408904120098343</v>
      </c>
      <c r="E9">
        <v>0.42820507947580427</v>
      </c>
      <c r="F9">
        <v>0.43021888716628981</v>
      </c>
    </row>
    <row r="10" spans="1:19" x14ac:dyDescent="0.2">
      <c r="D10">
        <v>0.49829552714144559</v>
      </c>
      <c r="E10">
        <v>0.32643354387908491</v>
      </c>
      <c r="F10">
        <v>0.39919640128104272</v>
      </c>
    </row>
    <row r="11" spans="1:19" x14ac:dyDescent="0.2">
      <c r="E11">
        <v>0.36594423541045135</v>
      </c>
      <c r="F11">
        <v>0.42693936454119291</v>
      </c>
    </row>
    <row r="12" spans="1:19" x14ac:dyDescent="0.2">
      <c r="F12">
        <v>0.369425913038127</v>
      </c>
    </row>
    <row r="14" spans="1:19" ht="17" thickBot="1" x14ac:dyDescent="0.25">
      <c r="A14" t="s">
        <v>99</v>
      </c>
      <c r="D14" t="s">
        <v>100</v>
      </c>
      <c r="I14" t="s">
        <v>83</v>
      </c>
      <c r="J14">
        <v>0.05</v>
      </c>
      <c r="N14" t="s">
        <v>101</v>
      </c>
      <c r="Q14" t="s">
        <v>102</v>
      </c>
      <c r="R14">
        <v>0.05</v>
      </c>
    </row>
    <row r="15" spans="1:19" ht="17" thickTop="1" x14ac:dyDescent="0.2">
      <c r="D15" s="11" t="s">
        <v>103</v>
      </c>
      <c r="E15" s="11" t="s">
        <v>77</v>
      </c>
      <c r="F15" s="11" t="s">
        <v>104</v>
      </c>
      <c r="G15" s="11" t="s">
        <v>78</v>
      </c>
      <c r="H15" s="11" t="s">
        <v>79</v>
      </c>
      <c r="I15" s="11" t="s">
        <v>105</v>
      </c>
      <c r="J15" s="11" t="s">
        <v>106</v>
      </c>
      <c r="K15" s="11" t="s">
        <v>107</v>
      </c>
      <c r="L15" s="11" t="s">
        <v>108</v>
      </c>
      <c r="N15" s="11" t="s">
        <v>109</v>
      </c>
      <c r="O15" s="11" t="s">
        <v>110</v>
      </c>
      <c r="P15" s="11" t="s">
        <v>111</v>
      </c>
      <c r="Q15" s="11" t="s">
        <v>112</v>
      </c>
      <c r="R15" s="11" t="s">
        <v>87</v>
      </c>
      <c r="S15" s="11" t="s">
        <v>113</v>
      </c>
    </row>
    <row r="16" spans="1:19" x14ac:dyDescent="0.2">
      <c r="D16" t="str">
        <f>D5</f>
        <v>Arrb2-wt</v>
      </c>
      <c r="E16">
        <f>COUNT(D6:D12)</f>
        <v>5</v>
      </c>
      <c r="F16">
        <f>SUM(D6:D12)</f>
        <v>2.3635221080175897</v>
      </c>
      <c r="G16" s="12">
        <f>AVERAGE(D6:D12)</f>
        <v>0.47270442160351794</v>
      </c>
      <c r="H16">
        <f>_xlfn.VAR.S(D6:D12)</f>
        <v>8.3280028076159504E-4</v>
      </c>
      <c r="I16">
        <f>DEVSQ(D6:D12)</f>
        <v>3.3312011230463802E-3</v>
      </c>
      <c r="J16">
        <f>SQRT(G23/E16)</f>
        <v>1.7654529628692097E-2</v>
      </c>
      <c r="K16">
        <f>G16-J16*_xlfn.T.INV.2T(J14,F23)</f>
        <v>0.43507468244937059</v>
      </c>
      <c r="L16">
        <f>G16+J16*_xlfn.T.INV.2T(J14,F23)</f>
        <v>0.51033416075766525</v>
      </c>
      <c r="N16" t="str">
        <f>D5</f>
        <v>Arrb2-wt</v>
      </c>
      <c r="O16">
        <f>AVERAGE(D6:D12)</f>
        <v>0.47270442160351794</v>
      </c>
      <c r="P16">
        <f>COUNT(D6:D12)</f>
        <v>5</v>
      </c>
      <c r="Q16">
        <f>DEVSQ(D6:D12)</f>
        <v>3.3312011230463802E-3</v>
      </c>
    </row>
    <row r="17" spans="3:23" x14ac:dyDescent="0.2">
      <c r="D17" t="str">
        <f>E5</f>
        <v>Arrb2-het</v>
      </c>
      <c r="E17">
        <f>COUNT(E6:E12)</f>
        <v>6</v>
      </c>
      <c r="F17">
        <f>SUM(E6:E12)</f>
        <v>2.2769836439271929</v>
      </c>
      <c r="G17" s="12">
        <f>AVERAGE(E6:E12)</f>
        <v>0.37949727398786548</v>
      </c>
      <c r="H17">
        <f>_xlfn.VAR.S(E6:E12)</f>
        <v>1.6129955197683233E-3</v>
      </c>
      <c r="I17">
        <f>DEVSQ(E6:E12)</f>
        <v>8.0649775988416161E-3</v>
      </c>
      <c r="J17">
        <f>SQRT(G23/E17)</f>
        <v>1.6116306866296611E-2</v>
      </c>
      <c r="K17">
        <f>G17-J17*_xlfn.T.INV.2T(J14,F23)</f>
        <v>0.34514617904159572</v>
      </c>
      <c r="L17">
        <f>G17+J17*_xlfn.T.INV.2T(J14,F23)</f>
        <v>0.41384836893413524</v>
      </c>
      <c r="N17" t="str">
        <f>E5</f>
        <v>Arrb2-het</v>
      </c>
      <c r="O17">
        <f>AVERAGE(E6:E12)</f>
        <v>0.37949727398786548</v>
      </c>
      <c r="P17">
        <f>COUNT(E6:E12)</f>
        <v>6</v>
      </c>
      <c r="Q17">
        <f>DEVSQ(E6:E12)</f>
        <v>8.0649775988416161E-3</v>
      </c>
    </row>
    <row r="18" spans="3:23" x14ac:dyDescent="0.2">
      <c r="D18" t="str">
        <f>F5</f>
        <v>Arrb2-mut</v>
      </c>
      <c r="E18">
        <f>COUNT(F6:F12)</f>
        <v>7</v>
      </c>
      <c r="F18">
        <f>SUM(F6:F12)</f>
        <v>2.6610098802084576</v>
      </c>
      <c r="G18" s="12">
        <f>AVERAGE(F6:F12)</f>
        <v>0.38014426860120826</v>
      </c>
      <c r="H18">
        <f>_xlfn.VAR.S(F6:F12)</f>
        <v>1.9966670848149772E-3</v>
      </c>
      <c r="I18">
        <f>DEVSQ(F6:F12)</f>
        <v>1.1980002508889535E-2</v>
      </c>
      <c r="J18">
        <f>SQRT(G23/E18)</f>
        <v>1.4920800830919784E-2</v>
      </c>
      <c r="K18">
        <f>G18-J18*_xlfn.T.INV.2T(J14,F23)</f>
        <v>0.34834133445075638</v>
      </c>
      <c r="L18">
        <f>G18+J18*_xlfn.T.INV.2T(J14,F23)</f>
        <v>0.41194720275166014</v>
      </c>
      <c r="N18" t="str">
        <f>F5</f>
        <v>Arrb2-mut</v>
      </c>
      <c r="O18">
        <f>AVERAGE(F6:F12)</f>
        <v>0.38014426860120826</v>
      </c>
      <c r="P18">
        <f>COUNT(F6:F12)</f>
        <v>7</v>
      </c>
      <c r="Q18">
        <f>DEVSQ(F6:F12)</f>
        <v>1.1980002508889535E-2</v>
      </c>
    </row>
    <row r="19" spans="3:23" x14ac:dyDescent="0.2">
      <c r="D19" s="13"/>
      <c r="E19" s="13"/>
      <c r="F19" s="13"/>
      <c r="G19" s="13"/>
      <c r="H19" s="13"/>
      <c r="I19" s="13"/>
      <c r="J19" s="13"/>
      <c r="K19" s="13"/>
      <c r="L19" s="13"/>
      <c r="N19" s="13"/>
      <c r="O19" s="13"/>
      <c r="P19" s="13">
        <f>SUM(P16:P18)</f>
        <v>18</v>
      </c>
      <c r="Q19" s="13">
        <f>SUM(Q16:Q18)</f>
        <v>2.3376181230777532E-2</v>
      </c>
      <c r="R19" s="13">
        <f>P19-COUNT(P16:P18)</f>
        <v>15</v>
      </c>
      <c r="S19" s="13">
        <f>[1]!QCRIT(COUNT(P16:P18),R19,R14,2)</f>
        <v>3.673</v>
      </c>
    </row>
    <row r="20" spans="3:23" ht="17" thickBot="1" x14ac:dyDescent="0.25">
      <c r="D20" t="s">
        <v>114</v>
      </c>
      <c r="N20" t="s">
        <v>115</v>
      </c>
    </row>
    <row r="21" spans="3:23" ht="17" thickTop="1" x14ac:dyDescent="0.2">
      <c r="D21" s="11" t="s">
        <v>116</v>
      </c>
      <c r="E21" s="11" t="s">
        <v>105</v>
      </c>
      <c r="F21" s="11" t="s">
        <v>87</v>
      </c>
      <c r="G21" s="11" t="s">
        <v>117</v>
      </c>
      <c r="H21" s="11" t="s">
        <v>118</v>
      </c>
      <c r="I21" s="11" t="s">
        <v>119</v>
      </c>
      <c r="J21" s="11" t="s">
        <v>120</v>
      </c>
      <c r="K21" s="11" t="s">
        <v>121</v>
      </c>
      <c r="L21" s="11" t="s">
        <v>122</v>
      </c>
      <c r="N21" s="11" t="s">
        <v>123</v>
      </c>
      <c r="O21" s="11" t="s">
        <v>124</v>
      </c>
      <c r="P21" s="11" t="s">
        <v>110</v>
      </c>
      <c r="Q21" s="11" t="s">
        <v>85</v>
      </c>
      <c r="R21" s="11" t="s">
        <v>125</v>
      </c>
      <c r="S21" s="11" t="s">
        <v>90</v>
      </c>
      <c r="T21" s="11" t="s">
        <v>91</v>
      </c>
      <c r="U21" s="11" t="s">
        <v>88</v>
      </c>
      <c r="V21" s="11" t="s">
        <v>126</v>
      </c>
      <c r="W21" s="11" t="s">
        <v>80</v>
      </c>
    </row>
    <row r="22" spans="3:23" x14ac:dyDescent="0.2">
      <c r="D22" t="s">
        <v>127</v>
      </c>
      <c r="E22">
        <f>E24-E23</f>
        <v>3.1139062201000635E-2</v>
      </c>
      <c r="F22">
        <f>COUNTA(D16:D18)-1</f>
        <v>2</v>
      </c>
      <c r="G22">
        <f>E22/F22</f>
        <v>1.5569531100500317E-2</v>
      </c>
      <c r="H22">
        <f>G22/G23</f>
        <v>9.990638085917027</v>
      </c>
      <c r="I22" s="12">
        <f>_xlfn.F.DIST.RT(H22,F22,F23)</f>
        <v>1.7454888305815481E-3</v>
      </c>
      <c r="J22">
        <f>_xlfn.F.INV.RT(J14,F22,F23)</f>
        <v>3.6823203436732408</v>
      </c>
      <c r="K22">
        <f>SQRT(DEVSQ(G16:G18)/(G23*F22))</f>
        <v>1.3584554360071468</v>
      </c>
      <c r="L22">
        <f>(E24-F24*G23)/(E24+G23)</f>
        <v>0.49973981150534336</v>
      </c>
      <c r="N22" s="14" t="str">
        <f>N16</f>
        <v>Arrb2-wt</v>
      </c>
      <c r="O22" s="14" t="str">
        <f>N17</f>
        <v>Arrb2-het</v>
      </c>
      <c r="P22" s="13">
        <f>ABS(O16-O17)</f>
        <v>9.3207147615652464E-2</v>
      </c>
      <c r="Q22" s="13">
        <f>SQRT(Q19/R19/HARMEAN(P16,P17))</f>
        <v>1.6902925241197252E-2</v>
      </c>
      <c r="R22" s="13">
        <f>P22/Q22</f>
        <v>5.5142613651558987</v>
      </c>
      <c r="S22" s="13">
        <f>P22-Q22*S$64</f>
        <v>9.3207147615652464E-2</v>
      </c>
      <c r="T22" s="13">
        <f>P22+Q22*S$64</f>
        <v>9.3207147615652464E-2</v>
      </c>
      <c r="U22" s="14">
        <f>[1]!QDIST(R22,COUNT($P$61:$P$63),R$64)</f>
        <v>5.7065463465733046E-14</v>
      </c>
      <c r="V22" s="13">
        <f>Q22*S$64</f>
        <v>0</v>
      </c>
      <c r="W22" s="13" t="e">
        <f>P22*SQRT(R$64/Q$64)</f>
        <v>#DIV/0!</v>
      </c>
    </row>
    <row r="23" spans="3:23" x14ac:dyDescent="0.2">
      <c r="D23" t="s">
        <v>128</v>
      </c>
      <c r="E23">
        <f>SUM(I16:I18)</f>
        <v>2.3376181230777532E-2</v>
      </c>
      <c r="F23">
        <f>F24-F22</f>
        <v>15</v>
      </c>
      <c r="G23">
        <f>E23/F23</f>
        <v>1.5584120820518355E-3</v>
      </c>
      <c r="N23" s="12" t="str">
        <f>N16</f>
        <v>Arrb2-wt</v>
      </c>
      <c r="O23" s="12" t="str">
        <f>N18</f>
        <v>Arrb2-mut</v>
      </c>
      <c r="P23">
        <f>ABS(O16-O18)</f>
        <v>9.2560153002309686E-2</v>
      </c>
      <c r="Q23">
        <f>SQRT(Q19/R19/HARMEAN(P16,P18))</f>
        <v>1.6344918382273182E-2</v>
      </c>
      <c r="R23">
        <f>P23/Q23</f>
        <v>5.6629314896240439</v>
      </c>
      <c r="S23">
        <f>P23-Q23*S$64</f>
        <v>9.2560153002309686E-2</v>
      </c>
      <c r="T23">
        <f>P23+Q23*S$64</f>
        <v>9.2560153002309686E-2</v>
      </c>
      <c r="U23" s="12">
        <f>[1]!QDIST(R23,COUNT($P$61:$P$63),R$64)</f>
        <v>5.7065463465733046E-14</v>
      </c>
      <c r="V23">
        <f>Q23*S$64</f>
        <v>0</v>
      </c>
      <c r="W23" t="e">
        <f>P23*SQRT(R$64/Q$64)</f>
        <v>#DIV/0!</v>
      </c>
    </row>
    <row r="24" spans="3:23" x14ac:dyDescent="0.2">
      <c r="D24" s="15" t="s">
        <v>129</v>
      </c>
      <c r="E24" s="15">
        <f>DEVSQ(D6:F12)</f>
        <v>5.4515243431778167E-2</v>
      </c>
      <c r="F24" s="15">
        <f>COUNT(D6:F12)-1</f>
        <v>17</v>
      </c>
      <c r="G24" s="15">
        <f>E24/F24</f>
        <v>3.2067790253987156E-3</v>
      </c>
      <c r="H24" s="15"/>
      <c r="I24" s="15"/>
      <c r="J24" s="15"/>
      <c r="K24" s="15"/>
      <c r="L24" s="15"/>
      <c r="N24" s="16" t="str">
        <f>N17</f>
        <v>Arrb2-het</v>
      </c>
      <c r="O24" s="16" t="str">
        <f>N18</f>
        <v>Arrb2-mut</v>
      </c>
      <c r="P24" s="15">
        <f>ABS(O17-O18)</f>
        <v>6.469946133427773E-4</v>
      </c>
      <c r="Q24" s="15">
        <f>SQRT(Q19/R19/HARMEAN(P17,P18))</f>
        <v>1.5530061887265868E-2</v>
      </c>
      <c r="R24" s="15">
        <f>P24/Q24</f>
        <v>4.1660787834547602E-2</v>
      </c>
      <c r="S24" s="15">
        <f>P24-Q24*S$64</f>
        <v>6.469946133427773E-4</v>
      </c>
      <c r="T24" s="15">
        <f>P24+Q24*S$64</f>
        <v>6.469946133427773E-4</v>
      </c>
      <c r="U24" s="16">
        <f>[1]!QDIST(R24,COUNT($P$61:$P$63),R$64)</f>
        <v>0</v>
      </c>
      <c r="V24" s="15">
        <f>Q24*S$64</f>
        <v>0</v>
      </c>
      <c r="W24" s="15" t="e">
        <f>P24*SQRT(R$64/Q$64)</f>
        <v>#DIV/0!</v>
      </c>
    </row>
    <row r="25" spans="3:23" x14ac:dyDescent="0.2">
      <c r="C25" s="10"/>
    </row>
    <row r="26" spans="3:23" x14ac:dyDescent="0.2">
      <c r="C26" s="4" t="s">
        <v>130</v>
      </c>
    </row>
    <row r="28" spans="3:23" x14ac:dyDescent="0.2">
      <c r="D28" t="s">
        <v>24</v>
      </c>
      <c r="E28" t="s">
        <v>25</v>
      </c>
      <c r="F28" t="s">
        <v>26</v>
      </c>
    </row>
    <row r="29" spans="3:23" x14ac:dyDescent="0.2">
      <c r="D29">
        <v>0.6712922222736295</v>
      </c>
      <c r="E29">
        <v>0.47321747527053459</v>
      </c>
      <c r="F29">
        <v>0.57540046055994842</v>
      </c>
      <c r="M29">
        <v>0.95</v>
      </c>
    </row>
    <row r="30" spans="3:23" x14ac:dyDescent="0.2">
      <c r="D30">
        <v>0.52903465651395165</v>
      </c>
      <c r="E30">
        <v>0.5846262192342504</v>
      </c>
      <c r="F30">
        <v>0.62562513951584764</v>
      </c>
    </row>
    <row r="31" spans="3:23" x14ac:dyDescent="0.2">
      <c r="D31">
        <v>0.6207940556723468</v>
      </c>
      <c r="E31">
        <v>0.61080815775897201</v>
      </c>
      <c r="F31">
        <v>0.69873754544977063</v>
      </c>
    </row>
    <row r="32" spans="3:23" x14ac:dyDescent="0.2">
      <c r="D32">
        <v>0.70613734339665368</v>
      </c>
      <c r="E32">
        <v>0.51386984829350457</v>
      </c>
      <c r="F32">
        <v>0.58851958890614597</v>
      </c>
    </row>
    <row r="33" spans="1:23" x14ac:dyDescent="0.2">
      <c r="D33">
        <v>0.85356623082861816</v>
      </c>
      <c r="E33">
        <v>0.55095627149430815</v>
      </c>
      <c r="F33">
        <v>0.68799017115021355</v>
      </c>
    </row>
    <row r="34" spans="1:23" x14ac:dyDescent="0.2">
      <c r="E34">
        <v>0.55007410224071962</v>
      </c>
      <c r="F34">
        <v>0.71628498139711205</v>
      </c>
    </row>
    <row r="35" spans="1:23" x14ac:dyDescent="0.2">
      <c r="F35">
        <v>0.74769580131480506</v>
      </c>
    </row>
    <row r="37" spans="1:23" ht="17" thickBot="1" x14ac:dyDescent="0.25">
      <c r="A37" t="s">
        <v>99</v>
      </c>
      <c r="D37" t="s">
        <v>100</v>
      </c>
      <c r="I37" t="s">
        <v>83</v>
      </c>
      <c r="J37">
        <v>0.05</v>
      </c>
      <c r="N37" t="s">
        <v>101</v>
      </c>
      <c r="Q37" t="s">
        <v>102</v>
      </c>
      <c r="R37">
        <v>0.05</v>
      </c>
    </row>
    <row r="38" spans="1:23" ht="17" thickTop="1" x14ac:dyDescent="0.2">
      <c r="D38" s="11" t="s">
        <v>103</v>
      </c>
      <c r="E38" s="11" t="s">
        <v>77</v>
      </c>
      <c r="F38" s="11" t="s">
        <v>104</v>
      </c>
      <c r="G38" s="11" t="s">
        <v>78</v>
      </c>
      <c r="H38" s="11" t="s">
        <v>79</v>
      </c>
      <c r="I38" s="11" t="s">
        <v>105</v>
      </c>
      <c r="J38" s="11" t="s">
        <v>106</v>
      </c>
      <c r="K38" s="11" t="s">
        <v>107</v>
      </c>
      <c r="L38" s="11" t="s">
        <v>108</v>
      </c>
      <c r="N38" s="11" t="s">
        <v>109</v>
      </c>
      <c r="O38" s="11" t="s">
        <v>110</v>
      </c>
      <c r="P38" s="11" t="s">
        <v>111</v>
      </c>
      <c r="Q38" s="11" t="s">
        <v>112</v>
      </c>
      <c r="R38" s="11" t="s">
        <v>87</v>
      </c>
      <c r="S38" s="11" t="s">
        <v>113</v>
      </c>
    </row>
    <row r="39" spans="1:23" x14ac:dyDescent="0.2">
      <c r="D39" t="str">
        <f>D28</f>
        <v>Arrb2-wt</v>
      </c>
      <c r="E39">
        <f>COUNT(D29:D35)</f>
        <v>5</v>
      </c>
      <c r="F39">
        <f>SUM(D29:D35)</f>
        <v>3.3808245086851998</v>
      </c>
      <c r="G39" s="12">
        <f>AVERAGE(D29:D35)</f>
        <v>0.67616490173703991</v>
      </c>
      <c r="H39">
        <f>_xlfn.VAR.S(D29:D35)</f>
        <v>1.4276640370244231E-2</v>
      </c>
      <c r="I39">
        <f>DEVSQ(D29:D35)</f>
        <v>5.7106561480976564E-2</v>
      </c>
      <c r="J39">
        <f>SQRT(G46/E39)</f>
        <v>3.5719668502499732E-2</v>
      </c>
      <c r="K39">
        <f>G39-J39*_xlfn.T.INV.2T(J37,F46)</f>
        <v>0.60003023053984106</v>
      </c>
      <c r="L39">
        <f>G39+J39*_xlfn.T.INV.2T(J37,F46)</f>
        <v>0.75229957293423877</v>
      </c>
      <c r="N39" t="str">
        <f>D28</f>
        <v>Arrb2-wt</v>
      </c>
      <c r="O39">
        <f>AVERAGE(D29:D35)</f>
        <v>0.67616490173703991</v>
      </c>
      <c r="P39">
        <f>COUNT(D29:D35)</f>
        <v>5</v>
      </c>
      <c r="Q39">
        <f>DEVSQ(D29:D35)</f>
        <v>5.7106561480976564E-2</v>
      </c>
    </row>
    <row r="40" spans="1:23" x14ac:dyDescent="0.2">
      <c r="D40" t="str">
        <f>E28</f>
        <v>Arrb2-het</v>
      </c>
      <c r="E40">
        <f>COUNT(E29:E35)</f>
        <v>6</v>
      </c>
      <c r="F40">
        <f>SUM(E29:E35)</f>
        <v>3.283552074292289</v>
      </c>
      <c r="G40" s="12">
        <f>AVERAGE(E29:E35)</f>
        <v>0.54725867904871484</v>
      </c>
      <c r="H40">
        <f>_xlfn.VAR.S(E29:E35)</f>
        <v>2.4106763955257836E-3</v>
      </c>
      <c r="I40">
        <f>DEVSQ(E29:E35)</f>
        <v>1.2053381977628919E-2</v>
      </c>
      <c r="J40">
        <f>SQRT(G46/E40)</f>
        <v>3.2607446975709803E-2</v>
      </c>
      <c r="K40">
        <f>G40-J40*_xlfn.T.INV.2T(J37,F46)</f>
        <v>0.47775755101047374</v>
      </c>
      <c r="L40">
        <f>G40+J40*_xlfn.T.INV.2T(J37,F46)</f>
        <v>0.61675980708695588</v>
      </c>
      <c r="N40" t="str">
        <f>E28</f>
        <v>Arrb2-het</v>
      </c>
      <c r="O40">
        <f>AVERAGE(E29:E35)</f>
        <v>0.54725867904871484</v>
      </c>
      <c r="P40">
        <f>COUNT(E29:E35)</f>
        <v>6</v>
      </c>
      <c r="Q40">
        <f>DEVSQ(E29:E35)</f>
        <v>1.2053381977628919E-2</v>
      </c>
    </row>
    <row r="41" spans="1:23" x14ac:dyDescent="0.2">
      <c r="D41" t="str">
        <f>F28</f>
        <v>Arrb2-mut</v>
      </c>
      <c r="E41">
        <f>COUNT(F29:F35)</f>
        <v>7</v>
      </c>
      <c r="F41">
        <f>SUM(F29:F35)</f>
        <v>4.6402536882938437</v>
      </c>
      <c r="G41" s="12">
        <f>AVERAGE(F29:F35)</f>
        <v>0.66289338404197762</v>
      </c>
      <c r="H41">
        <f>_xlfn.VAR.S(F29:F35)</f>
        <v>4.4220267310049778E-3</v>
      </c>
      <c r="I41">
        <f>DEVSQ(F29:F35)</f>
        <v>2.6532160386029867E-2</v>
      </c>
      <c r="J41">
        <f>SQRT(G46/E41)</f>
        <v>3.0188629812379832E-2</v>
      </c>
      <c r="K41">
        <f>G41-J41*_xlfn.T.INV.2T(J37,F46)</f>
        <v>0.59854784274730832</v>
      </c>
      <c r="L41">
        <f>G41+J41*_xlfn.T.INV.2T(J37,F46)</f>
        <v>0.72723892533664691</v>
      </c>
      <c r="N41" t="str">
        <f>F28</f>
        <v>Arrb2-mut</v>
      </c>
      <c r="O41">
        <f>AVERAGE(F29:F35)</f>
        <v>0.66289338404197762</v>
      </c>
      <c r="P41">
        <f>COUNT(F29:F35)</f>
        <v>7</v>
      </c>
      <c r="Q41">
        <f>DEVSQ(F29:F35)</f>
        <v>2.6532160386029867E-2</v>
      </c>
    </row>
    <row r="42" spans="1:23" x14ac:dyDescent="0.2">
      <c r="D42" s="13"/>
      <c r="E42" s="13"/>
      <c r="F42" s="13"/>
      <c r="G42" s="13"/>
      <c r="H42" s="13"/>
      <c r="I42" s="13"/>
      <c r="J42" s="13"/>
      <c r="K42" s="13"/>
      <c r="L42" s="13"/>
      <c r="N42" s="13"/>
      <c r="O42" s="13"/>
      <c r="P42" s="13">
        <f>SUM(P39:P41)</f>
        <v>18</v>
      </c>
      <c r="Q42" s="13">
        <f>SUM(Q39:Q41)</f>
        <v>9.5692103844635362E-2</v>
      </c>
      <c r="R42" s="13">
        <f>P42-COUNT(P39:P41)</f>
        <v>15</v>
      </c>
      <c r="S42" s="13">
        <f>[1]!QCRIT(COUNT(P39:P41),R42,R37,2)</f>
        <v>3.673</v>
      </c>
    </row>
    <row r="43" spans="1:23" ht="17" thickBot="1" x14ac:dyDescent="0.25">
      <c r="D43" t="s">
        <v>114</v>
      </c>
      <c r="N43" t="s">
        <v>115</v>
      </c>
    </row>
    <row r="44" spans="1:23" ht="17" thickTop="1" x14ac:dyDescent="0.2">
      <c r="D44" s="11" t="s">
        <v>116</v>
      </c>
      <c r="E44" s="11" t="s">
        <v>105</v>
      </c>
      <c r="F44" s="11" t="s">
        <v>87</v>
      </c>
      <c r="G44" s="11" t="s">
        <v>117</v>
      </c>
      <c r="H44" s="11" t="s">
        <v>118</v>
      </c>
      <c r="I44" s="11" t="s">
        <v>119</v>
      </c>
      <c r="J44" s="11" t="s">
        <v>120</v>
      </c>
      <c r="K44" s="11" t="s">
        <v>121</v>
      </c>
      <c r="L44" s="11" t="s">
        <v>122</v>
      </c>
      <c r="N44" s="11" t="s">
        <v>123</v>
      </c>
      <c r="O44" s="11" t="s">
        <v>124</v>
      </c>
      <c r="P44" s="11" t="s">
        <v>110</v>
      </c>
      <c r="Q44" s="11" t="s">
        <v>85</v>
      </c>
      <c r="R44" s="11" t="s">
        <v>125</v>
      </c>
      <c r="S44" s="11" t="s">
        <v>90</v>
      </c>
      <c r="T44" s="11" t="s">
        <v>91</v>
      </c>
      <c r="U44" s="11" t="s">
        <v>88</v>
      </c>
      <c r="V44" s="11" t="s">
        <v>126</v>
      </c>
      <c r="W44" s="11" t="s">
        <v>80</v>
      </c>
    </row>
    <row r="45" spans="1:23" x14ac:dyDescent="0.2">
      <c r="D45" t="s">
        <v>127</v>
      </c>
      <c r="E45">
        <f>E47-E46</f>
        <v>5.9237069930757641E-2</v>
      </c>
      <c r="F45">
        <f>COUNTA(D39:D41)-1</f>
        <v>2</v>
      </c>
      <c r="G45">
        <f>E45/F45</f>
        <v>2.961853496537882E-2</v>
      </c>
      <c r="H45">
        <f>G45/G46</f>
        <v>4.6427866734125436</v>
      </c>
      <c r="I45" s="12">
        <f>_xlfn.F.DIST.RT(H45,F45,F46)</f>
        <v>2.6950804612429036E-2</v>
      </c>
      <c r="J45">
        <f>_xlfn.F.INV.RT(J37,F45,F46)</f>
        <v>3.6823203436732408</v>
      </c>
      <c r="K45">
        <f>SQRT(DEVSQ(G39:G41)/(G46*F45))</f>
        <v>0.8877257388269062</v>
      </c>
      <c r="L45">
        <f>(E47-F47*G46)/(E47+G46)</f>
        <v>0.28813162536968456</v>
      </c>
      <c r="N45" s="14" t="str">
        <f>N39</f>
        <v>Arrb2-wt</v>
      </c>
      <c r="O45" s="14" t="str">
        <f>N40</f>
        <v>Arrb2-het</v>
      </c>
      <c r="P45" s="13">
        <f>ABS(O39-O40)</f>
        <v>0.12890622268832508</v>
      </c>
      <c r="Q45" s="13">
        <f>SQRT(Q42/R42/HARMEAN(P39,P40))</f>
        <v>3.4198978904363492E-2</v>
      </c>
      <c r="R45" s="13">
        <f>P45/Q45</f>
        <v>3.7693003363874635</v>
      </c>
      <c r="S45" s="13">
        <f>P45-Q45*S$87</f>
        <v>0.12890622268832508</v>
      </c>
      <c r="T45" s="13">
        <f>P45+Q45*S$87</f>
        <v>0.12890622268832508</v>
      </c>
      <c r="U45" s="14">
        <f>[1]!QDIST(R45,COUNT($P$84:$P$86),R$87)</f>
        <v>5.7065463465733046E-14</v>
      </c>
      <c r="V45" s="13">
        <f>Q45*S$87</f>
        <v>0</v>
      </c>
      <c r="W45" s="13" t="e">
        <f>P45*SQRT(R$87/Q$87)</f>
        <v>#DIV/0!</v>
      </c>
    </row>
    <row r="46" spans="1:23" x14ac:dyDescent="0.2">
      <c r="D46" t="s">
        <v>128</v>
      </c>
      <c r="E46">
        <f>SUM(I39:I41)</f>
        <v>9.5692103844635362E-2</v>
      </c>
      <c r="F46">
        <f>F47-F45</f>
        <v>15</v>
      </c>
      <c r="G46">
        <f>E46/F46</f>
        <v>6.3794735896423576E-3</v>
      </c>
      <c r="N46" s="3" t="str">
        <f>N39</f>
        <v>Arrb2-wt</v>
      </c>
      <c r="O46" s="3" t="str">
        <f>N41</f>
        <v>Arrb2-mut</v>
      </c>
      <c r="P46">
        <f>ABS(O39-O41)</f>
        <v>1.3271517695062296E-2</v>
      </c>
      <c r="Q46">
        <f>SQRT(Q42/R42/HARMEAN(P39,P41))</f>
        <v>3.3069987056826768E-2</v>
      </c>
      <c r="R46">
        <f>P46/Q46</f>
        <v>0.40131608374254274</v>
      </c>
      <c r="S46">
        <f>P46-Q46*S$87</f>
        <v>1.3271517695062296E-2</v>
      </c>
      <c r="T46">
        <f>P46+Q46*S$87</f>
        <v>1.3271517695062296E-2</v>
      </c>
      <c r="U46" s="17">
        <f>[1]!QDIST(R46,COUNT($P$84:$P$86),R$87)</f>
        <v>5.7065463465733046E-14</v>
      </c>
      <c r="V46">
        <f>Q46*S$87</f>
        <v>0</v>
      </c>
      <c r="W46" t="e">
        <f>P46*SQRT(R$87/Q$87)</f>
        <v>#DIV/0!</v>
      </c>
    </row>
    <row r="47" spans="1:23" x14ac:dyDescent="0.2">
      <c r="D47" s="15" t="s">
        <v>129</v>
      </c>
      <c r="E47" s="15">
        <f>DEVSQ(D29:F35)</f>
        <v>0.154929173775393</v>
      </c>
      <c r="F47" s="15">
        <f>COUNT(D29:F35)-1</f>
        <v>17</v>
      </c>
      <c r="G47" s="15">
        <f>E47/F47</f>
        <v>9.1134808103172354E-3</v>
      </c>
      <c r="H47" s="15"/>
      <c r="I47" s="15"/>
      <c r="J47" s="15"/>
      <c r="K47" s="15"/>
      <c r="L47" s="15"/>
      <c r="N47" s="18" t="str">
        <f>N40</f>
        <v>Arrb2-het</v>
      </c>
      <c r="O47" s="18" t="str">
        <f>N41</f>
        <v>Arrb2-mut</v>
      </c>
      <c r="P47" s="15">
        <f>ABS(O40-O41)</f>
        <v>0.11563470499326278</v>
      </c>
      <c r="Q47" s="15">
        <f>SQRT(Q42/R42/HARMEAN(P40,P41))</f>
        <v>3.1421322125450374E-2</v>
      </c>
      <c r="R47" s="15">
        <f>P47/Q47</f>
        <v>3.6801349265822894</v>
      </c>
      <c r="S47" s="15">
        <f>P47-Q47*S$87</f>
        <v>0.11563470499326278</v>
      </c>
      <c r="T47" s="15">
        <f>P47+Q47*S$87</f>
        <v>0.11563470499326278</v>
      </c>
      <c r="U47" s="18">
        <f>[1]!QDIST(R47,COUNT($P$84:$P$86),R$87)</f>
        <v>5.7065463465733046E-14</v>
      </c>
      <c r="V47" s="15">
        <f>Q47*S$87</f>
        <v>0</v>
      </c>
      <c r="W47" s="15" t="e">
        <f>P47*SQRT(R$87/Q$87)</f>
        <v>#DIV/0!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E8CF20-BB93-B541-815E-57188A074AA4}">
  <dimension ref="A1:L47"/>
  <sheetViews>
    <sheetView workbookViewId="0">
      <selection sqref="A1:N52"/>
    </sheetView>
  </sheetViews>
  <sheetFormatPr baseColWidth="10" defaultRowHeight="16" x14ac:dyDescent="0.2"/>
  <sheetData>
    <row r="1" spans="1:12" x14ac:dyDescent="0.2">
      <c r="G1" s="19"/>
    </row>
    <row r="2" spans="1:12" x14ac:dyDescent="0.2">
      <c r="B2" s="9" t="s">
        <v>23</v>
      </c>
    </row>
    <row r="3" spans="1:12" x14ac:dyDescent="0.2">
      <c r="C3" s="2" t="s">
        <v>98</v>
      </c>
    </row>
    <row r="5" spans="1:12" x14ac:dyDescent="0.2">
      <c r="D5" t="s">
        <v>24</v>
      </c>
      <c r="E5" t="s">
        <v>25</v>
      </c>
      <c r="F5" t="s">
        <v>26</v>
      </c>
    </row>
    <row r="6" spans="1:12" x14ac:dyDescent="0.2">
      <c r="D6">
        <v>0.47944690658088085</v>
      </c>
      <c r="E6">
        <v>0.39876818108046297</v>
      </c>
      <c r="F6">
        <v>0.31504437151692727</v>
      </c>
    </row>
    <row r="7" spans="1:12" x14ac:dyDescent="0.2">
      <c r="D7">
        <v>0.49457463474189634</v>
      </c>
      <c r="E7">
        <v>0.41288085597800006</v>
      </c>
      <c r="F7">
        <v>0.38978035966246771</v>
      </c>
    </row>
    <row r="8" spans="1:12" x14ac:dyDescent="0.2">
      <c r="D8">
        <v>0.42711599835238334</v>
      </c>
      <c r="E8">
        <v>0.34475174810338949</v>
      </c>
      <c r="F8">
        <v>0.33040458300241055</v>
      </c>
    </row>
    <row r="9" spans="1:12" x14ac:dyDescent="0.2">
      <c r="D9">
        <v>0.46408904120098343</v>
      </c>
      <c r="E9">
        <v>0.42820507947580427</v>
      </c>
      <c r="F9">
        <v>0.43021888716628981</v>
      </c>
    </row>
    <row r="10" spans="1:12" x14ac:dyDescent="0.2">
      <c r="D10">
        <v>0.49829552714144559</v>
      </c>
      <c r="E10">
        <v>0.32643354387908491</v>
      </c>
      <c r="F10">
        <v>0.39919640128104272</v>
      </c>
    </row>
    <row r="11" spans="1:12" x14ac:dyDescent="0.2">
      <c r="E11">
        <v>0.36594423541045135</v>
      </c>
      <c r="F11">
        <v>0.42693936454119291</v>
      </c>
    </row>
    <row r="12" spans="1:12" x14ac:dyDescent="0.2">
      <c r="F12">
        <v>0.369425913038127</v>
      </c>
    </row>
    <row r="14" spans="1:12" x14ac:dyDescent="0.2">
      <c r="A14" t="s">
        <v>131</v>
      </c>
      <c r="D14" t="str">
        <f>D5</f>
        <v>Arrb2-wt</v>
      </c>
      <c r="E14" t="str">
        <f>E5</f>
        <v>Arrb2-het</v>
      </c>
      <c r="F14" t="str">
        <f>F5</f>
        <v>Arrb2-mut</v>
      </c>
      <c r="I14" t="s">
        <v>132</v>
      </c>
    </row>
    <row r="15" spans="1:12" ht="17" thickBot="1" x14ac:dyDescent="0.25">
      <c r="C15" t="s">
        <v>133</v>
      </c>
      <c r="D15" s="20">
        <f>MEDIAN(D6:D12)</f>
        <v>0.47944690658088085</v>
      </c>
      <c r="E15" s="21">
        <f>MEDIAN(E6:E12)</f>
        <v>0.38235620824545713</v>
      </c>
      <c r="F15" s="22">
        <f>MEDIAN(F6:F12)</f>
        <v>0.38978035966246771</v>
      </c>
    </row>
    <row r="16" spans="1:12" ht="17" thickTop="1" x14ac:dyDescent="0.2">
      <c r="C16" t="s">
        <v>134</v>
      </c>
      <c r="D16" s="23">
        <f>[1]!RANK_SUM(D6:F12, 1,1)</f>
        <v>78</v>
      </c>
      <c r="E16">
        <f>[1]!RANK_SUM(D6:F12, 2,1)</f>
        <v>42</v>
      </c>
      <c r="F16" s="24">
        <f>[1]!RANK_SUM(D6:F12, 3,1)</f>
        <v>51</v>
      </c>
      <c r="I16" s="11" t="s">
        <v>123</v>
      </c>
      <c r="J16" s="11" t="s">
        <v>124</v>
      </c>
      <c r="K16" s="11" t="s">
        <v>88</v>
      </c>
      <c r="L16" s="11" t="s">
        <v>110</v>
      </c>
    </row>
    <row r="17" spans="3:12" x14ac:dyDescent="0.2">
      <c r="C17" t="s">
        <v>135</v>
      </c>
      <c r="D17" s="23">
        <f>COUNT(D6:D12)</f>
        <v>5</v>
      </c>
      <c r="E17">
        <f>COUNT(E6:E12)</f>
        <v>6</v>
      </c>
      <c r="F17" s="24">
        <f>COUNT(F6:F12)</f>
        <v>7</v>
      </c>
      <c r="G17" s="25">
        <f>SUM(D17:F17)</f>
        <v>18</v>
      </c>
      <c r="I17" s="12" t="str">
        <f>D5</f>
        <v>Arrb2-wt</v>
      </c>
      <c r="J17" s="12" t="str">
        <f>E5</f>
        <v>Arrb2-het</v>
      </c>
      <c r="K17" s="12">
        <f>[1]!MWTEST(D6:D12,E6:E12)</f>
        <v>1.3710830078133229E-2</v>
      </c>
      <c r="L17">
        <f>ABS(AVERAGE(D6:D12)-AVERAGE(E6:E12))</f>
        <v>9.3207147615652464E-2</v>
      </c>
    </row>
    <row r="18" spans="3:12" x14ac:dyDescent="0.2">
      <c r="C18" t="s">
        <v>136</v>
      </c>
      <c r="D18" s="26">
        <f>D16^2/D17</f>
        <v>1216.8</v>
      </c>
      <c r="E18" s="27">
        <f>E16^2/E17</f>
        <v>294</v>
      </c>
      <c r="F18" s="28">
        <f>F16^2/F17</f>
        <v>371.57142857142856</v>
      </c>
      <c r="G18" s="29">
        <f>SUM(D18:F18)</f>
        <v>1882.3714285714286</v>
      </c>
      <c r="I18" s="12" t="str">
        <f>D5</f>
        <v>Arrb2-wt</v>
      </c>
      <c r="J18" s="12" t="str">
        <f>F5</f>
        <v>Arrb2-mut</v>
      </c>
      <c r="K18" s="12">
        <f>[1]!MWTEST(D6:D12,F6:F12)</f>
        <v>9.366111633066776E-3</v>
      </c>
      <c r="L18">
        <f>ABS(AVERAGE(D6:D12)-AVERAGE(F6:F12))</f>
        <v>9.2560153002309686E-2</v>
      </c>
    </row>
    <row r="19" spans="3:12" x14ac:dyDescent="0.2">
      <c r="C19" t="s">
        <v>137</v>
      </c>
      <c r="G19" s="29">
        <f>12*G18/(G17*(G17+1))-3*(G17+1)</f>
        <v>9.0481203007518758</v>
      </c>
      <c r="I19" s="16" t="str">
        <f>E5</f>
        <v>Arrb2-het</v>
      </c>
      <c r="J19" s="16" t="str">
        <f>F5</f>
        <v>Arrb2-mut</v>
      </c>
      <c r="K19" s="16">
        <f>[1]!MWTEST(E6:E12,F6:F12)</f>
        <v>0.94305667096704293</v>
      </c>
      <c r="L19" s="15">
        <f>ABS(AVERAGE(E6:E12)-AVERAGE(F6:F12))</f>
        <v>6.469946133427773E-4</v>
      </c>
    </row>
    <row r="20" spans="3:12" x14ac:dyDescent="0.2">
      <c r="C20" t="s">
        <v>138</v>
      </c>
      <c r="G20" s="29">
        <f>G19/(1-[1]!TiesCorrection(D6:F12)/(18*(18^2-1)))</f>
        <v>9.0481203007518758</v>
      </c>
    </row>
    <row r="21" spans="3:12" x14ac:dyDescent="0.2">
      <c r="C21" t="s">
        <v>87</v>
      </c>
      <c r="G21" s="29">
        <f>COUNTA(D14:F14)-1</f>
        <v>2</v>
      </c>
    </row>
    <row r="22" spans="3:12" x14ac:dyDescent="0.2">
      <c r="C22" t="s">
        <v>88</v>
      </c>
      <c r="G22" s="30">
        <f>_xlfn.CHISQ.DIST.RT(G20,G21)</f>
        <v>1.0844902225470987E-2</v>
      </c>
    </row>
    <row r="23" spans="3:12" x14ac:dyDescent="0.2">
      <c r="C23" t="s">
        <v>102</v>
      </c>
      <c r="G23" s="29">
        <v>0.05</v>
      </c>
    </row>
    <row r="24" spans="3:12" x14ac:dyDescent="0.2">
      <c r="C24" t="s">
        <v>92</v>
      </c>
      <c r="G24" s="31" t="str">
        <f>IF(G22&lt;G23,"yes","no")</f>
        <v>yes</v>
      </c>
    </row>
    <row r="26" spans="3:12" x14ac:dyDescent="0.2">
      <c r="C26" s="2" t="s">
        <v>130</v>
      </c>
    </row>
    <row r="28" spans="3:12" x14ac:dyDescent="0.2">
      <c r="D28" t="s">
        <v>24</v>
      </c>
      <c r="E28" t="s">
        <v>25</v>
      </c>
      <c r="F28" t="s">
        <v>26</v>
      </c>
    </row>
    <row r="29" spans="3:12" x14ac:dyDescent="0.2">
      <c r="D29">
        <v>0.6712922222736295</v>
      </c>
      <c r="E29">
        <v>0.47321747527053459</v>
      </c>
      <c r="F29">
        <v>0.57540046055994842</v>
      </c>
    </row>
    <row r="30" spans="3:12" x14ac:dyDescent="0.2">
      <c r="D30">
        <v>0.52903465651395165</v>
      </c>
      <c r="E30">
        <v>0.5846262192342504</v>
      </c>
      <c r="F30">
        <v>0.62562513951584764</v>
      </c>
    </row>
    <row r="31" spans="3:12" x14ac:dyDescent="0.2">
      <c r="D31">
        <v>0.6207940556723468</v>
      </c>
      <c r="E31">
        <v>0.61080815775897201</v>
      </c>
      <c r="F31">
        <v>0.69873754544977063</v>
      </c>
    </row>
    <row r="32" spans="3:12" x14ac:dyDescent="0.2">
      <c r="D32">
        <v>0.70613734339665368</v>
      </c>
      <c r="E32">
        <v>0.51386984829350457</v>
      </c>
      <c r="F32">
        <v>0.58851958890614597</v>
      </c>
    </row>
    <row r="33" spans="1:12" x14ac:dyDescent="0.2">
      <c r="D33">
        <v>0.85356623082861816</v>
      </c>
      <c r="E33">
        <v>0.55095627149430815</v>
      </c>
      <c r="F33">
        <v>0.68799017115021355</v>
      </c>
    </row>
    <row r="34" spans="1:12" x14ac:dyDescent="0.2">
      <c r="E34">
        <v>0.55007410224071962</v>
      </c>
      <c r="F34">
        <v>0.71628498139711205</v>
      </c>
    </row>
    <row r="35" spans="1:12" x14ac:dyDescent="0.2">
      <c r="F35">
        <v>0.74769580131480506</v>
      </c>
    </row>
    <row r="37" spans="1:12" x14ac:dyDescent="0.2">
      <c r="A37" t="s">
        <v>131</v>
      </c>
      <c r="D37" t="str">
        <f>D28</f>
        <v>Arrb2-wt</v>
      </c>
      <c r="E37" t="str">
        <f>E28</f>
        <v>Arrb2-het</v>
      </c>
      <c r="F37" t="str">
        <f>F28</f>
        <v>Arrb2-mut</v>
      </c>
      <c r="I37" t="s">
        <v>132</v>
      </c>
    </row>
    <row r="38" spans="1:12" ht="17" thickBot="1" x14ac:dyDescent="0.25">
      <c r="C38" t="s">
        <v>133</v>
      </c>
      <c r="D38" s="32">
        <f>MEDIAN(D29:D35)</f>
        <v>0.6712922222736295</v>
      </c>
      <c r="E38" s="21">
        <f>MEDIAN(E29:E35)</f>
        <v>0.55051518686751388</v>
      </c>
      <c r="F38" s="22">
        <f>MEDIAN(F29:F35)</f>
        <v>0.68799017115021355</v>
      </c>
    </row>
    <row r="39" spans="1:12" ht="17" thickTop="1" x14ac:dyDescent="0.2">
      <c r="C39" t="s">
        <v>134</v>
      </c>
      <c r="D39" s="23">
        <f>[1]!RANK_SUM(D29:F35, 1,1)</f>
        <v>58</v>
      </c>
      <c r="E39">
        <f>[1]!RANK_SUM(D29:F35, 2,1)</f>
        <v>28</v>
      </c>
      <c r="F39" s="24">
        <f>[1]!RANK_SUM(D29:F35, 3,1)</f>
        <v>85</v>
      </c>
      <c r="I39" s="11" t="s">
        <v>123</v>
      </c>
      <c r="J39" s="11" t="s">
        <v>124</v>
      </c>
      <c r="K39" s="11" t="s">
        <v>88</v>
      </c>
      <c r="L39" s="11" t="s">
        <v>110</v>
      </c>
    </row>
    <row r="40" spans="1:12" x14ac:dyDescent="0.2">
      <c r="C40" t="s">
        <v>135</v>
      </c>
      <c r="D40" s="23">
        <f>COUNT(D29:D35)</f>
        <v>5</v>
      </c>
      <c r="E40">
        <f>COUNT(E29:E35)</f>
        <v>6</v>
      </c>
      <c r="F40" s="24">
        <f>COUNT(F29:F35)</f>
        <v>7</v>
      </c>
      <c r="G40" s="25">
        <f>SUM(D40:F40)</f>
        <v>18</v>
      </c>
      <c r="I40" s="17" t="str">
        <f>D28</f>
        <v>Arrb2-wt</v>
      </c>
      <c r="J40" s="17" t="str">
        <f>E28</f>
        <v>Arrb2-het</v>
      </c>
      <c r="K40" s="17">
        <f>[1]!MWTEST(D29:D35,E29:E35)</f>
        <v>5.5234253718063897E-2</v>
      </c>
      <c r="L40">
        <f>ABS(AVERAGE(D29:D35)-AVERAGE(E29:E35))</f>
        <v>0.12890622268832508</v>
      </c>
    </row>
    <row r="41" spans="1:12" x14ac:dyDescent="0.2">
      <c r="C41" t="s">
        <v>136</v>
      </c>
      <c r="D41" s="26">
        <f>D39^2/D40</f>
        <v>672.8</v>
      </c>
      <c r="E41" s="27">
        <f t="shared" ref="E41:F41" si="0">E39^2/E40</f>
        <v>130.66666666666666</v>
      </c>
      <c r="F41" s="28">
        <f t="shared" si="0"/>
        <v>1032.1428571428571</v>
      </c>
      <c r="G41" s="29">
        <f>SUM(D41:F41)</f>
        <v>1835.6095238095236</v>
      </c>
      <c r="I41" s="17" t="str">
        <f>D28</f>
        <v>Arrb2-wt</v>
      </c>
      <c r="J41" s="17" t="str">
        <f>F28</f>
        <v>Arrb2-mut</v>
      </c>
      <c r="K41" s="17">
        <f>[1]!MWTEST(D29:D35,F29:F35)</f>
        <v>1</v>
      </c>
      <c r="L41">
        <f>ABS(AVERAGE(D29:D35)-AVERAGE(F29:F35))</f>
        <v>1.3271517695062296E-2</v>
      </c>
    </row>
    <row r="42" spans="1:12" x14ac:dyDescent="0.2">
      <c r="C42" t="s">
        <v>137</v>
      </c>
      <c r="G42" s="29">
        <f>12*G41/(G40*(G40+1))-3*(G40+1)</f>
        <v>7.4073517126148545</v>
      </c>
      <c r="I42" s="18" t="str">
        <f>E28</f>
        <v>Arrb2-het</v>
      </c>
      <c r="J42" s="18" t="str">
        <f>F28</f>
        <v>Arrb2-mut</v>
      </c>
      <c r="K42" s="18">
        <f>[1]!MWTEST(E29:E35,F29:F35)</f>
        <v>1.2419330651552318E-2</v>
      </c>
      <c r="L42" s="15">
        <f>ABS(AVERAGE(E29:E35)-AVERAGE(F29:F35))</f>
        <v>0.11563470499326278</v>
      </c>
    </row>
    <row r="43" spans="1:12" x14ac:dyDescent="0.2">
      <c r="C43" t="s">
        <v>138</v>
      </c>
      <c r="G43" s="29">
        <f>G42/(1-[1]!TiesCorrection(D29:F35)/(18*(18^2-1)))</f>
        <v>7.4073517126148545</v>
      </c>
    </row>
    <row r="44" spans="1:12" x14ac:dyDescent="0.2">
      <c r="C44" t="s">
        <v>87</v>
      </c>
      <c r="G44" s="29">
        <f>COUNTA(D37:F37)-1</f>
        <v>2</v>
      </c>
    </row>
    <row r="45" spans="1:12" x14ac:dyDescent="0.2">
      <c r="C45" t="s">
        <v>88</v>
      </c>
      <c r="G45" s="30">
        <f>_xlfn.CHISQ.DIST.RT(G43,G44)</f>
        <v>2.4632813166299512E-2</v>
      </c>
    </row>
    <row r="46" spans="1:12" x14ac:dyDescent="0.2">
      <c r="C46" t="s">
        <v>102</v>
      </c>
      <c r="G46" s="29">
        <v>0.05</v>
      </c>
    </row>
    <row r="47" spans="1:12" x14ac:dyDescent="0.2">
      <c r="C47" t="s">
        <v>92</v>
      </c>
      <c r="G47" s="31" t="str">
        <f>IF(G45&lt;G46,"yes","no")</f>
        <v>yes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864E17-7F43-774C-88F1-20A746DDDB02}">
  <dimension ref="A1:Q79"/>
  <sheetViews>
    <sheetView workbookViewId="0">
      <selection sqref="A1:R81"/>
    </sheetView>
  </sheetViews>
  <sheetFormatPr baseColWidth="10" defaultRowHeight="16" x14ac:dyDescent="0.2"/>
  <sheetData>
    <row r="1" spans="1:17" x14ac:dyDescent="0.2">
      <c r="A1" s="33" t="s">
        <v>66</v>
      </c>
    </row>
    <row r="2" spans="1:17" x14ac:dyDescent="0.2">
      <c r="A2" t="s">
        <v>139</v>
      </c>
      <c r="B2" t="s">
        <v>140</v>
      </c>
      <c r="C2" t="s">
        <v>110</v>
      </c>
    </row>
    <row r="3" spans="1:17" x14ac:dyDescent="0.2">
      <c r="A3" t="s">
        <v>14</v>
      </c>
      <c r="B3" t="s">
        <v>141</v>
      </c>
      <c r="C3">
        <v>-3.1664251109920301</v>
      </c>
      <c r="E3" t="s">
        <v>142</v>
      </c>
      <c r="K3" t="s">
        <v>143</v>
      </c>
    </row>
    <row r="4" spans="1:17" x14ac:dyDescent="0.2">
      <c r="A4" t="s">
        <v>14</v>
      </c>
      <c r="B4" t="s">
        <v>141</v>
      </c>
      <c r="C4">
        <v>-2.74837514037654</v>
      </c>
    </row>
    <row r="5" spans="1:17" x14ac:dyDescent="0.2">
      <c r="A5" t="s">
        <v>14</v>
      </c>
      <c r="B5" t="s">
        <v>141</v>
      </c>
      <c r="C5">
        <v>-3.16909315321438</v>
      </c>
      <c r="E5" t="s">
        <v>144</v>
      </c>
      <c r="F5" t="s">
        <v>145</v>
      </c>
      <c r="K5" t="s">
        <v>114</v>
      </c>
      <c r="O5" t="s">
        <v>83</v>
      </c>
      <c r="P5">
        <v>0.05</v>
      </c>
    </row>
    <row r="6" spans="1:17" x14ac:dyDescent="0.2">
      <c r="A6" t="s">
        <v>14</v>
      </c>
      <c r="B6" t="s">
        <v>141</v>
      </c>
      <c r="C6">
        <v>-3.8793562700397102</v>
      </c>
      <c r="F6" t="s">
        <v>146</v>
      </c>
      <c r="G6" t="s">
        <v>141</v>
      </c>
      <c r="H6" t="s">
        <v>147</v>
      </c>
      <c r="L6" t="s">
        <v>105</v>
      </c>
      <c r="M6" t="s">
        <v>87</v>
      </c>
      <c r="N6" t="s">
        <v>117</v>
      </c>
      <c r="O6" t="s">
        <v>118</v>
      </c>
      <c r="P6" t="s">
        <v>88</v>
      </c>
      <c r="Q6" t="s">
        <v>92</v>
      </c>
    </row>
    <row r="7" spans="1:17" x14ac:dyDescent="0.2">
      <c r="A7" t="s">
        <v>14</v>
      </c>
      <c r="B7" t="s">
        <v>141</v>
      </c>
      <c r="C7">
        <v>-3.3403541005770898</v>
      </c>
      <c r="E7" t="s">
        <v>148</v>
      </c>
      <c r="F7">
        <v>6</v>
      </c>
      <c r="G7">
        <v>7</v>
      </c>
      <c r="H7">
        <v>5</v>
      </c>
      <c r="I7">
        <v>18</v>
      </c>
      <c r="K7" t="s">
        <v>149</v>
      </c>
      <c r="L7">
        <v>16.465736087135557</v>
      </c>
      <c r="M7">
        <v>1</v>
      </c>
      <c r="N7">
        <v>16.465736087135557</v>
      </c>
      <c r="O7">
        <v>103.81511240888432</v>
      </c>
      <c r="P7">
        <v>2.9531261387611011E-11</v>
      </c>
      <c r="Q7" t="s">
        <v>95</v>
      </c>
    </row>
    <row r="8" spans="1:17" x14ac:dyDescent="0.2">
      <c r="A8" t="s">
        <v>14</v>
      </c>
      <c r="B8" t="s">
        <v>141</v>
      </c>
      <c r="C8">
        <v>-3.2107887054039699</v>
      </c>
      <c r="E8" t="s">
        <v>14</v>
      </c>
      <c r="F8">
        <v>6</v>
      </c>
      <c r="G8">
        <v>7</v>
      </c>
      <c r="H8">
        <v>5</v>
      </c>
      <c r="I8">
        <v>18</v>
      </c>
      <c r="K8" t="s">
        <v>150</v>
      </c>
      <c r="L8">
        <v>1.4833205370066409</v>
      </c>
      <c r="M8">
        <v>2</v>
      </c>
      <c r="N8">
        <v>0.74166026850332045</v>
      </c>
      <c r="O8">
        <v>4.6761070222685666</v>
      </c>
      <c r="P8">
        <v>1.7071875865625571E-2</v>
      </c>
      <c r="Q8" t="s">
        <v>95</v>
      </c>
    </row>
    <row r="9" spans="1:17" x14ac:dyDescent="0.2">
      <c r="A9" t="s">
        <v>14</v>
      </c>
      <c r="B9" t="s">
        <v>141</v>
      </c>
      <c r="C9">
        <v>-2.6843111429014099</v>
      </c>
      <c r="F9">
        <v>12</v>
      </c>
      <c r="G9">
        <v>14</v>
      </c>
      <c r="H9">
        <v>10</v>
      </c>
      <c r="I9">
        <v>36</v>
      </c>
      <c r="K9" t="s">
        <v>151</v>
      </c>
      <c r="L9">
        <v>1.0526519772320029</v>
      </c>
      <c r="M9">
        <v>2</v>
      </c>
      <c r="N9">
        <v>0.52632598861600144</v>
      </c>
      <c r="O9">
        <v>3.3184420898484621</v>
      </c>
      <c r="P9">
        <v>4.9893141205640902E-2</v>
      </c>
      <c r="Q9" t="s">
        <v>95</v>
      </c>
    </row>
    <row r="10" spans="1:17" x14ac:dyDescent="0.2">
      <c r="A10" t="s">
        <v>14</v>
      </c>
      <c r="B10" t="s">
        <v>146</v>
      </c>
      <c r="C10">
        <v>-4.4890514186156301</v>
      </c>
      <c r="K10" t="s">
        <v>152</v>
      </c>
      <c r="L10">
        <v>4.7581905095716435</v>
      </c>
      <c r="M10">
        <v>30</v>
      </c>
      <c r="N10">
        <v>0.15860635031905479</v>
      </c>
    </row>
    <row r="11" spans="1:17" x14ac:dyDescent="0.2">
      <c r="A11" t="s">
        <v>14</v>
      </c>
      <c r="B11" t="s">
        <v>146</v>
      </c>
      <c r="C11">
        <v>-3.2417371819770402</v>
      </c>
      <c r="E11" t="s">
        <v>153</v>
      </c>
      <c r="K11" t="s">
        <v>129</v>
      </c>
      <c r="L11">
        <v>23.941014311521769</v>
      </c>
      <c r="M11">
        <v>35</v>
      </c>
      <c r="N11">
        <v>0.68402898032919346</v>
      </c>
    </row>
    <row r="12" spans="1:17" x14ac:dyDescent="0.2">
      <c r="A12" t="s">
        <v>14</v>
      </c>
      <c r="B12" t="s">
        <v>146</v>
      </c>
      <c r="C12">
        <v>-3.4889893405083399</v>
      </c>
      <c r="F12" t="s">
        <v>146</v>
      </c>
      <c r="G12" t="s">
        <v>141</v>
      </c>
      <c r="H12" t="s">
        <v>147</v>
      </c>
    </row>
    <row r="13" spans="1:17" x14ac:dyDescent="0.2">
      <c r="A13" t="s">
        <v>14</v>
      </c>
      <c r="B13" t="s">
        <v>146</v>
      </c>
      <c r="C13">
        <v>-4.3547870110566604</v>
      </c>
      <c r="E13" t="s">
        <v>148</v>
      </c>
      <c r="F13">
        <v>-2.1851875928397635</v>
      </c>
      <c r="G13">
        <v>-2.0919821806749885</v>
      </c>
      <c r="H13">
        <v>-2.3292889396486003</v>
      </c>
      <c r="I13">
        <v>-2.2021529043877841</v>
      </c>
    </row>
    <row r="14" spans="1:17" x14ac:dyDescent="0.2">
      <c r="A14" t="s">
        <v>14</v>
      </c>
      <c r="B14" t="s">
        <v>146</v>
      </c>
      <c r="C14">
        <v>-3.7951350086716298</v>
      </c>
      <c r="E14" t="s">
        <v>14</v>
      </c>
      <c r="F14">
        <v>-4.0256828919291747</v>
      </c>
      <c r="G14">
        <v>-3.1712433747864472</v>
      </c>
      <c r="H14">
        <v>-3.5057952743753944</v>
      </c>
      <c r="I14">
        <v>-3.5675738470303386</v>
      </c>
    </row>
    <row r="15" spans="1:17" x14ac:dyDescent="0.2">
      <c r="A15" t="s">
        <v>14</v>
      </c>
      <c r="B15" t="s">
        <v>146</v>
      </c>
      <c r="C15">
        <v>-4.7843973907457498</v>
      </c>
      <c r="F15">
        <v>-3.1054352423844689</v>
      </c>
      <c r="G15">
        <v>-2.6316127777307177</v>
      </c>
      <c r="H15">
        <v>-2.9175421070119976</v>
      </c>
      <c r="I15">
        <v>-2.8848633757090614</v>
      </c>
    </row>
    <row r="16" spans="1:17" x14ac:dyDescent="0.2">
      <c r="A16" t="s">
        <v>14</v>
      </c>
      <c r="B16" t="s">
        <v>147</v>
      </c>
      <c r="C16">
        <v>-3.8329667940001499</v>
      </c>
      <c r="N16" t="s">
        <v>154</v>
      </c>
    </row>
    <row r="17" spans="1:14" x14ac:dyDescent="0.2">
      <c r="A17" t="s">
        <v>14</v>
      </c>
      <c r="B17" t="s">
        <v>147</v>
      </c>
      <c r="C17">
        <v>-4.0670806823288101</v>
      </c>
      <c r="E17" t="s">
        <v>155</v>
      </c>
      <c r="N17" t="s">
        <v>156</v>
      </c>
    </row>
    <row r="18" spans="1:14" x14ac:dyDescent="0.2">
      <c r="A18" t="s">
        <v>14</v>
      </c>
      <c r="B18" t="s">
        <v>147</v>
      </c>
      <c r="C18">
        <v>-3.7250145019362799</v>
      </c>
      <c r="F18" t="s">
        <v>146</v>
      </c>
      <c r="G18" t="s">
        <v>141</v>
      </c>
      <c r="H18" t="s">
        <v>147</v>
      </c>
    </row>
    <row r="19" spans="1:14" x14ac:dyDescent="0.2">
      <c r="A19" t="s">
        <v>14</v>
      </c>
      <c r="B19" t="s">
        <v>147</v>
      </c>
      <c r="C19">
        <v>-2.9171457118709601</v>
      </c>
      <c r="E19" t="s">
        <v>148</v>
      </c>
      <c r="F19">
        <v>6.0361796504135867E-2</v>
      </c>
      <c r="G19">
        <v>5.9349905682957171E-2</v>
      </c>
      <c r="H19">
        <v>5.3070075210895025E-2</v>
      </c>
      <c r="I19">
        <v>6.085694358096435E-2</v>
      </c>
    </row>
    <row r="20" spans="1:14" x14ac:dyDescent="0.2">
      <c r="A20" t="s">
        <v>14</v>
      </c>
      <c r="B20" t="s">
        <v>147</v>
      </c>
      <c r="C20">
        <v>-2.9867686817407701</v>
      </c>
      <c r="E20" t="s">
        <v>14</v>
      </c>
      <c r="F20">
        <v>0.37088615484566673</v>
      </c>
      <c r="G20">
        <v>0.15792242073588861</v>
      </c>
      <c r="H20">
        <v>0.2715091233664868</v>
      </c>
      <c r="I20">
        <v>0.36821146958434986</v>
      </c>
    </row>
    <row r="21" spans="1:14" x14ac:dyDescent="0.2">
      <c r="A21" t="s">
        <v>148</v>
      </c>
      <c r="B21" t="s">
        <v>141</v>
      </c>
      <c r="C21">
        <v>-1.8219624671934</v>
      </c>
      <c r="F21">
        <v>1.1198644176963355</v>
      </c>
      <c r="G21">
        <v>0.41388080741655442</v>
      </c>
      <c r="H21">
        <v>0.52874829816002333</v>
      </c>
      <c r="I21">
        <v>0.68402898032919346</v>
      </c>
    </row>
    <row r="22" spans="1:14" x14ac:dyDescent="0.2">
      <c r="A22" t="s">
        <v>148</v>
      </c>
      <c r="B22" t="s">
        <v>141</v>
      </c>
      <c r="C22">
        <v>-1.7194525806399601</v>
      </c>
    </row>
    <row r="23" spans="1:14" x14ac:dyDescent="0.2">
      <c r="A23" t="s">
        <v>148</v>
      </c>
      <c r="B23" t="s">
        <v>141</v>
      </c>
      <c r="C23">
        <v>-2.2143643711786898</v>
      </c>
    </row>
    <row r="24" spans="1:14" x14ac:dyDescent="0.2">
      <c r="A24" t="s">
        <v>148</v>
      </c>
      <c r="B24" t="s">
        <v>141</v>
      </c>
      <c r="C24">
        <v>-2.2830771572642501</v>
      </c>
    </row>
    <row r="25" spans="1:14" x14ac:dyDescent="0.2">
      <c r="A25" t="s">
        <v>148</v>
      </c>
      <c r="B25" t="s">
        <v>141</v>
      </c>
      <c r="C25">
        <v>-2.2981307893583498</v>
      </c>
    </row>
    <row r="26" spans="1:14" x14ac:dyDescent="0.2">
      <c r="A26" t="s">
        <v>148</v>
      </c>
      <c r="B26" t="s">
        <v>141</v>
      </c>
      <c r="C26">
        <v>-2.29983972812034</v>
      </c>
    </row>
    <row r="27" spans="1:14" x14ac:dyDescent="0.2">
      <c r="A27" t="s">
        <v>148</v>
      </c>
      <c r="B27" t="s">
        <v>141</v>
      </c>
      <c r="C27">
        <v>-2.0070481709699299</v>
      </c>
    </row>
    <row r="28" spans="1:14" x14ac:dyDescent="0.2">
      <c r="A28" t="s">
        <v>148</v>
      </c>
      <c r="B28" t="s">
        <v>146</v>
      </c>
      <c r="C28">
        <v>-2.1242975786769001</v>
      </c>
    </row>
    <row r="29" spans="1:14" x14ac:dyDescent="0.2">
      <c r="A29" t="s">
        <v>148</v>
      </c>
      <c r="B29" t="s">
        <v>146</v>
      </c>
      <c r="C29">
        <v>-1.89520455245033</v>
      </c>
    </row>
    <row r="30" spans="1:14" x14ac:dyDescent="0.2">
      <c r="A30" t="s">
        <v>148</v>
      </c>
      <c r="B30" t="s">
        <v>146</v>
      </c>
      <c r="C30">
        <v>-2.1311031515165899</v>
      </c>
    </row>
    <row r="31" spans="1:14" x14ac:dyDescent="0.2">
      <c r="A31" t="s">
        <v>148</v>
      </c>
      <c r="B31" t="s">
        <v>146</v>
      </c>
      <c r="C31">
        <v>-2.2377937407222102</v>
      </c>
    </row>
    <row r="32" spans="1:14" x14ac:dyDescent="0.2">
      <c r="A32" t="s">
        <v>148</v>
      </c>
      <c r="B32" t="s">
        <v>146</v>
      </c>
      <c r="C32">
        <v>-2.09095343419524</v>
      </c>
    </row>
    <row r="33" spans="1:17" x14ac:dyDescent="0.2">
      <c r="A33" t="s">
        <v>148</v>
      </c>
      <c r="B33" t="s">
        <v>146</v>
      </c>
      <c r="C33">
        <v>-2.6317730994773099</v>
      </c>
    </row>
    <row r="34" spans="1:17" x14ac:dyDescent="0.2">
      <c r="A34" t="s">
        <v>148</v>
      </c>
      <c r="B34" t="s">
        <v>147</v>
      </c>
      <c r="C34">
        <v>-2.5730407970453899</v>
      </c>
    </row>
    <row r="35" spans="1:17" x14ac:dyDescent="0.2">
      <c r="A35" t="s">
        <v>148</v>
      </c>
      <c r="B35" t="s">
        <v>147</v>
      </c>
      <c r="C35">
        <v>-2.1516266317903501</v>
      </c>
    </row>
    <row r="36" spans="1:17" x14ac:dyDescent="0.2">
      <c r="A36" t="s">
        <v>148</v>
      </c>
      <c r="B36" t="s">
        <v>147</v>
      </c>
      <c r="C36">
        <v>-2.3124668600953302</v>
      </c>
    </row>
    <row r="37" spans="1:17" x14ac:dyDescent="0.2">
      <c r="A37" t="s">
        <v>148</v>
      </c>
      <c r="B37" t="s">
        <v>147</v>
      </c>
      <c r="C37">
        <v>-2.0599055232815</v>
      </c>
    </row>
    <row r="38" spans="1:17" x14ac:dyDescent="0.2">
      <c r="A38" t="s">
        <v>148</v>
      </c>
      <c r="B38" t="s">
        <v>147</v>
      </c>
      <c r="C38">
        <v>-2.5494048860304299</v>
      </c>
    </row>
    <row r="42" spans="1:17" x14ac:dyDescent="0.2">
      <c r="A42" s="33" t="s">
        <v>157</v>
      </c>
    </row>
    <row r="43" spans="1:17" x14ac:dyDescent="0.2">
      <c r="A43" t="s">
        <v>139</v>
      </c>
      <c r="B43" t="s">
        <v>140</v>
      </c>
      <c r="C43" t="s">
        <v>110</v>
      </c>
    </row>
    <row r="44" spans="1:17" x14ac:dyDescent="0.2">
      <c r="A44" t="s">
        <v>14</v>
      </c>
      <c r="B44" t="s">
        <v>141</v>
      </c>
      <c r="C44">
        <v>7.31842478</v>
      </c>
      <c r="E44" t="s">
        <v>142</v>
      </c>
      <c r="K44" t="s">
        <v>143</v>
      </c>
    </row>
    <row r="45" spans="1:17" x14ac:dyDescent="0.2">
      <c r="A45" t="s">
        <v>14</v>
      </c>
      <c r="B45" t="s">
        <v>141</v>
      </c>
      <c r="C45">
        <v>5.8993322600000004</v>
      </c>
    </row>
    <row r="46" spans="1:17" x14ac:dyDescent="0.2">
      <c r="A46" t="s">
        <v>14</v>
      </c>
      <c r="B46" t="s">
        <v>141</v>
      </c>
      <c r="C46">
        <v>8.1936691400000008</v>
      </c>
      <c r="E46" t="s">
        <v>144</v>
      </c>
      <c r="F46" t="s">
        <v>145</v>
      </c>
      <c r="K46" t="s">
        <v>114</v>
      </c>
      <c r="O46" t="s">
        <v>83</v>
      </c>
      <c r="P46">
        <v>0.05</v>
      </c>
    </row>
    <row r="47" spans="1:17" x14ac:dyDescent="0.2">
      <c r="A47" t="s">
        <v>14</v>
      </c>
      <c r="B47" t="s">
        <v>141</v>
      </c>
      <c r="C47">
        <v>8.1175842399999993</v>
      </c>
      <c r="F47" t="s">
        <v>146</v>
      </c>
      <c r="G47" t="s">
        <v>141</v>
      </c>
      <c r="H47" t="s">
        <v>147</v>
      </c>
      <c r="L47" t="s">
        <v>105</v>
      </c>
      <c r="M47" t="s">
        <v>87</v>
      </c>
      <c r="N47" t="s">
        <v>117</v>
      </c>
      <c r="O47" t="s">
        <v>118</v>
      </c>
      <c r="P47" t="s">
        <v>88</v>
      </c>
      <c r="Q47" t="s">
        <v>92</v>
      </c>
    </row>
    <row r="48" spans="1:17" x14ac:dyDescent="0.2">
      <c r="A48" t="s">
        <v>14</v>
      </c>
      <c r="B48" t="s">
        <v>141</v>
      </c>
      <c r="C48">
        <v>7.1237033900000002</v>
      </c>
      <c r="E48" t="s">
        <v>148</v>
      </c>
      <c r="F48">
        <v>6</v>
      </c>
      <c r="G48">
        <v>7</v>
      </c>
      <c r="H48">
        <v>5</v>
      </c>
      <c r="I48">
        <v>18</v>
      </c>
      <c r="K48" t="s">
        <v>149</v>
      </c>
      <c r="L48">
        <v>158.62990157164052</v>
      </c>
      <c r="M48">
        <v>1</v>
      </c>
      <c r="N48">
        <v>158.62990157164052</v>
      </c>
      <c r="O48">
        <v>340.8936605708281</v>
      </c>
      <c r="P48">
        <v>6.2368754380891076E-18</v>
      </c>
      <c r="Q48" t="s">
        <v>95</v>
      </c>
    </row>
    <row r="49" spans="1:17" x14ac:dyDescent="0.2">
      <c r="A49" t="s">
        <v>14</v>
      </c>
      <c r="B49" t="s">
        <v>141</v>
      </c>
      <c r="C49">
        <v>6.28630333</v>
      </c>
      <c r="E49" t="s">
        <v>14</v>
      </c>
      <c r="F49">
        <v>6</v>
      </c>
      <c r="G49">
        <v>7</v>
      </c>
      <c r="H49">
        <v>5</v>
      </c>
      <c r="I49">
        <v>18</v>
      </c>
      <c r="K49" t="s">
        <v>150</v>
      </c>
      <c r="L49">
        <v>0.69271949762446638</v>
      </c>
      <c r="M49">
        <v>2</v>
      </c>
      <c r="N49">
        <v>0.34635974881223319</v>
      </c>
      <c r="O49">
        <v>0.74432273787720304</v>
      </c>
      <c r="P49">
        <v>0.48362543258007951</v>
      </c>
      <c r="Q49" t="s">
        <v>158</v>
      </c>
    </row>
    <row r="50" spans="1:17" x14ac:dyDescent="0.2">
      <c r="A50" t="s">
        <v>14</v>
      </c>
      <c r="B50" t="s">
        <v>141</v>
      </c>
      <c r="C50">
        <v>6.4092919300000002</v>
      </c>
      <c r="F50">
        <v>12</v>
      </c>
      <c r="G50">
        <v>14</v>
      </c>
      <c r="H50">
        <v>10</v>
      </c>
      <c r="I50">
        <v>36</v>
      </c>
      <c r="K50" t="s">
        <v>151</v>
      </c>
      <c r="L50">
        <v>1.4924720693782945</v>
      </c>
      <c r="M50">
        <v>2</v>
      </c>
      <c r="N50">
        <v>0.74623603468914723</v>
      </c>
      <c r="O50">
        <v>1.6036518398780977</v>
      </c>
      <c r="P50">
        <v>0.21792879318840175</v>
      </c>
      <c r="Q50" t="s">
        <v>158</v>
      </c>
    </row>
    <row r="51" spans="1:17" x14ac:dyDescent="0.2">
      <c r="A51" t="s">
        <v>14</v>
      </c>
      <c r="B51" t="s">
        <v>146</v>
      </c>
      <c r="C51">
        <v>6.7539588300000002</v>
      </c>
      <c r="K51" t="s">
        <v>152</v>
      </c>
      <c r="L51">
        <v>13.96006320323006</v>
      </c>
      <c r="M51">
        <v>30</v>
      </c>
      <c r="N51">
        <v>0.4653354401076687</v>
      </c>
    </row>
    <row r="52" spans="1:17" x14ac:dyDescent="0.2">
      <c r="A52" t="s">
        <v>14</v>
      </c>
      <c r="B52" t="s">
        <v>146</v>
      </c>
      <c r="C52">
        <v>5.92921298</v>
      </c>
      <c r="E52" t="s">
        <v>153</v>
      </c>
      <c r="K52" t="s">
        <v>129</v>
      </c>
      <c r="L52">
        <v>180.87668426252242</v>
      </c>
      <c r="M52">
        <v>35</v>
      </c>
      <c r="N52">
        <v>5.1679052646434975</v>
      </c>
    </row>
    <row r="53" spans="1:17" x14ac:dyDescent="0.2">
      <c r="A53" t="s">
        <v>14</v>
      </c>
      <c r="B53" t="s">
        <v>146</v>
      </c>
      <c r="C53">
        <v>7.83216102</v>
      </c>
      <c r="F53" t="s">
        <v>146</v>
      </c>
      <c r="G53" t="s">
        <v>141</v>
      </c>
      <c r="H53" t="s">
        <v>147</v>
      </c>
    </row>
    <row r="54" spans="1:17" x14ac:dyDescent="0.2">
      <c r="A54" t="s">
        <v>14</v>
      </c>
      <c r="B54" t="s">
        <v>146</v>
      </c>
      <c r="C54">
        <v>7.7588985299999997</v>
      </c>
      <c r="E54" t="s">
        <v>148</v>
      </c>
      <c r="F54">
        <v>2.8317529733333333</v>
      </c>
      <c r="G54">
        <v>2.6714317014285713</v>
      </c>
      <c r="H54">
        <v>3.2720200040000003</v>
      </c>
      <c r="I54">
        <v>2.925068226253968</v>
      </c>
    </row>
    <row r="55" spans="1:17" x14ac:dyDescent="0.2">
      <c r="A55" t="s">
        <v>14</v>
      </c>
      <c r="B55" t="s">
        <v>146</v>
      </c>
      <c r="C55">
        <v>8.1447240300000008</v>
      </c>
      <c r="E55" t="s">
        <v>14</v>
      </c>
      <c r="F55">
        <v>7.5126383216666666</v>
      </c>
      <c r="G55">
        <v>7.0497584385714296</v>
      </c>
      <c r="H55">
        <v>6.9270292280000003</v>
      </c>
      <c r="I55">
        <v>7.1631419960793652</v>
      </c>
    </row>
    <row r="56" spans="1:17" x14ac:dyDescent="0.2">
      <c r="A56" t="s">
        <v>14</v>
      </c>
      <c r="B56" t="s">
        <v>146</v>
      </c>
      <c r="C56">
        <v>8.6568745400000005</v>
      </c>
      <c r="F56">
        <v>5.1721956474999997</v>
      </c>
      <c r="G56">
        <v>4.8605950700000005</v>
      </c>
      <c r="H56">
        <v>5.0995246160000001</v>
      </c>
      <c r="I56">
        <v>5.044105111166667</v>
      </c>
    </row>
    <row r="57" spans="1:17" x14ac:dyDescent="0.2">
      <c r="A57" t="s">
        <v>14</v>
      </c>
      <c r="B57" t="s">
        <v>147</v>
      </c>
      <c r="C57">
        <v>7.4354540199999999</v>
      </c>
    </row>
    <row r="58" spans="1:17" x14ac:dyDescent="0.2">
      <c r="A58" t="s">
        <v>14</v>
      </c>
      <c r="B58" t="s">
        <v>147</v>
      </c>
      <c r="C58">
        <v>5.9202934000000003</v>
      </c>
      <c r="E58" t="s">
        <v>155</v>
      </c>
    </row>
    <row r="59" spans="1:17" x14ac:dyDescent="0.2">
      <c r="A59" t="s">
        <v>14</v>
      </c>
      <c r="B59" t="s">
        <v>147</v>
      </c>
      <c r="C59">
        <v>6.6307882500000002</v>
      </c>
      <c r="F59" t="s">
        <v>146</v>
      </c>
      <c r="G59" t="s">
        <v>141</v>
      </c>
      <c r="H59" t="s">
        <v>147</v>
      </c>
    </row>
    <row r="60" spans="1:17" x14ac:dyDescent="0.2">
      <c r="A60" t="s">
        <v>14</v>
      </c>
      <c r="B60" t="s">
        <v>147</v>
      </c>
      <c r="C60">
        <v>7.7261712600000001</v>
      </c>
      <c r="E60" t="s">
        <v>148</v>
      </c>
      <c r="F60">
        <v>0.11348293386086254</v>
      </c>
      <c r="G60">
        <v>0.17823723843560893</v>
      </c>
      <c r="H60">
        <v>0.1318629754637908</v>
      </c>
      <c r="I60">
        <v>0.19109972167199671</v>
      </c>
    </row>
    <row r="61" spans="1:17" x14ac:dyDescent="0.2">
      <c r="A61" t="s">
        <v>14</v>
      </c>
      <c r="B61" t="s">
        <v>147</v>
      </c>
      <c r="C61">
        <v>6.9224392100000003</v>
      </c>
      <c r="E61" t="s">
        <v>14</v>
      </c>
      <c r="F61">
        <v>0.99087561893829845</v>
      </c>
      <c r="G61">
        <v>0.80716242294093377</v>
      </c>
      <c r="H61">
        <v>0.49960514227995345</v>
      </c>
      <c r="I61">
        <v>0.75862114716521234</v>
      </c>
    </row>
    <row r="62" spans="1:17" x14ac:dyDescent="0.2">
      <c r="A62" t="s">
        <v>148</v>
      </c>
      <c r="B62" t="s">
        <v>141</v>
      </c>
      <c r="C62">
        <v>2.3056285399999998</v>
      </c>
      <c r="F62">
        <v>6.4776232451564306</v>
      </c>
      <c r="G62">
        <v>5.6158850406453364</v>
      </c>
      <c r="H62">
        <v>3.9915115044208531</v>
      </c>
      <c r="I62">
        <v>5.1679052646434975</v>
      </c>
    </row>
    <row r="63" spans="1:17" x14ac:dyDescent="0.2">
      <c r="A63" t="s">
        <v>148</v>
      </c>
      <c r="B63" t="s">
        <v>141</v>
      </c>
      <c r="C63">
        <v>2.2994438499999998</v>
      </c>
    </row>
    <row r="64" spans="1:17" x14ac:dyDescent="0.2">
      <c r="A64" t="s">
        <v>148</v>
      </c>
      <c r="B64" t="s">
        <v>141</v>
      </c>
      <c r="C64">
        <v>2.7072258300000001</v>
      </c>
    </row>
    <row r="65" spans="1:3" x14ac:dyDescent="0.2">
      <c r="A65" t="s">
        <v>148</v>
      </c>
      <c r="B65" t="s">
        <v>141</v>
      </c>
      <c r="C65">
        <v>3.4923380599999998</v>
      </c>
    </row>
    <row r="66" spans="1:3" x14ac:dyDescent="0.2">
      <c r="A66" t="s">
        <v>148</v>
      </c>
      <c r="B66" t="s">
        <v>141</v>
      </c>
      <c r="C66">
        <v>2.8437567600000002</v>
      </c>
    </row>
    <row r="67" spans="1:3" x14ac:dyDescent="0.2">
      <c r="A67" t="s">
        <v>148</v>
      </c>
      <c r="B67" t="s">
        <v>141</v>
      </c>
      <c r="C67">
        <v>2.6838703499999998</v>
      </c>
    </row>
    <row r="68" spans="1:3" x14ac:dyDescent="0.2">
      <c r="A68" t="s">
        <v>148</v>
      </c>
      <c r="B68" t="s">
        <v>141</v>
      </c>
      <c r="C68">
        <v>2.3677585200000002</v>
      </c>
    </row>
    <row r="69" spans="1:3" x14ac:dyDescent="0.2">
      <c r="A69" t="s">
        <v>148</v>
      </c>
      <c r="B69" t="s">
        <v>146</v>
      </c>
      <c r="C69">
        <v>2.6932638799999999</v>
      </c>
    </row>
    <row r="70" spans="1:3" x14ac:dyDescent="0.2">
      <c r="A70" t="s">
        <v>148</v>
      </c>
      <c r="B70" t="s">
        <v>146</v>
      </c>
      <c r="C70">
        <v>2.44805853</v>
      </c>
    </row>
    <row r="71" spans="1:3" x14ac:dyDescent="0.2">
      <c r="A71" t="s">
        <v>148</v>
      </c>
      <c r="B71" t="s">
        <v>146</v>
      </c>
      <c r="C71">
        <v>2.7001512000000001</v>
      </c>
    </row>
    <row r="72" spans="1:3" x14ac:dyDescent="0.2">
      <c r="A72" t="s">
        <v>148</v>
      </c>
      <c r="B72" t="s">
        <v>146</v>
      </c>
      <c r="C72">
        <v>3.3223997600000001</v>
      </c>
    </row>
    <row r="73" spans="1:3" x14ac:dyDescent="0.2">
      <c r="A73" t="s">
        <v>148</v>
      </c>
      <c r="B73" t="s">
        <v>146</v>
      </c>
      <c r="C73">
        <v>2.6587111299999999</v>
      </c>
    </row>
    <row r="74" spans="1:3" x14ac:dyDescent="0.2">
      <c r="A74" t="s">
        <v>148</v>
      </c>
      <c r="B74" t="s">
        <v>146</v>
      </c>
      <c r="C74">
        <v>3.1679333399999998</v>
      </c>
    </row>
    <row r="75" spans="1:3" x14ac:dyDescent="0.2">
      <c r="A75" t="s">
        <v>148</v>
      </c>
      <c r="B75" t="s">
        <v>147</v>
      </c>
      <c r="C75">
        <v>3.56490543</v>
      </c>
    </row>
    <row r="76" spans="1:3" x14ac:dyDescent="0.2">
      <c r="A76" t="s">
        <v>148</v>
      </c>
      <c r="B76" t="s">
        <v>147</v>
      </c>
      <c r="C76">
        <v>2.92802695</v>
      </c>
    </row>
    <row r="77" spans="1:3" x14ac:dyDescent="0.2">
      <c r="A77" t="s">
        <v>148</v>
      </c>
      <c r="B77" t="s">
        <v>147</v>
      </c>
      <c r="C77">
        <v>2.8321157399999999</v>
      </c>
    </row>
    <row r="78" spans="1:3" x14ac:dyDescent="0.2">
      <c r="A78" t="s">
        <v>148</v>
      </c>
      <c r="B78" t="s">
        <v>147</v>
      </c>
      <c r="C78">
        <v>3.58563141</v>
      </c>
    </row>
    <row r="79" spans="1:3" x14ac:dyDescent="0.2">
      <c r="A79" t="s">
        <v>148</v>
      </c>
      <c r="B79" t="s">
        <v>147</v>
      </c>
      <c r="C79">
        <v>3.4494204900000001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166F5F-3973-8E4E-A8EB-368CFA7DFEA2}">
  <dimension ref="A1:N43"/>
  <sheetViews>
    <sheetView tabSelected="1" workbookViewId="0">
      <selection sqref="A1:N43"/>
    </sheetView>
  </sheetViews>
  <sheetFormatPr baseColWidth="10" defaultRowHeight="16" x14ac:dyDescent="0.2"/>
  <sheetData>
    <row r="1" spans="1:14" x14ac:dyDescent="0.2">
      <c r="A1" s="34" t="s">
        <v>54</v>
      </c>
      <c r="B1" s="35"/>
      <c r="C1" s="35"/>
      <c r="D1" s="35"/>
      <c r="E1" s="35"/>
      <c r="F1" s="35"/>
      <c r="G1" s="35"/>
      <c r="H1" s="34" t="s">
        <v>66</v>
      </c>
      <c r="I1" s="35"/>
      <c r="J1" s="35"/>
      <c r="K1" s="35"/>
      <c r="L1" s="35"/>
      <c r="M1" s="35"/>
      <c r="N1" s="35"/>
    </row>
    <row r="2" spans="1:14" x14ac:dyDescent="0.2">
      <c r="A2" s="36" t="s">
        <v>159</v>
      </c>
      <c r="B2" s="36" t="s">
        <v>160</v>
      </c>
      <c r="C2" s="36" t="s">
        <v>161</v>
      </c>
      <c r="D2" s="36" t="s">
        <v>162</v>
      </c>
      <c r="E2" s="35"/>
      <c r="F2" s="35"/>
      <c r="G2" s="35"/>
      <c r="H2" s="36" t="s">
        <v>159</v>
      </c>
      <c r="I2" s="36" t="s">
        <v>160</v>
      </c>
      <c r="J2" s="36" t="s">
        <v>161</v>
      </c>
      <c r="K2" s="36" t="s">
        <v>162</v>
      </c>
      <c r="L2" s="35"/>
      <c r="M2" s="35"/>
      <c r="N2" s="35"/>
    </row>
    <row r="3" spans="1:14" x14ac:dyDescent="0.2">
      <c r="A3" s="35">
        <v>0</v>
      </c>
      <c r="B3" s="35">
        <v>5.0000000000000044E-2</v>
      </c>
      <c r="C3" s="35">
        <v>0.38014426860120826</v>
      </c>
      <c r="D3" s="35">
        <v>0</v>
      </c>
      <c r="E3" s="35">
        <v>0.38014426860120826</v>
      </c>
      <c r="F3" s="35" t="s">
        <v>163</v>
      </c>
      <c r="G3" s="35"/>
      <c r="H3" s="35">
        <v>0</v>
      </c>
      <c r="I3" s="35">
        <v>5.0000000000000044E-2</v>
      </c>
      <c r="J3" s="35">
        <v>0.66289338404197762</v>
      </c>
      <c r="K3" s="35">
        <v>0</v>
      </c>
      <c r="L3" s="35">
        <v>0.66289338404197762</v>
      </c>
      <c r="M3" s="35" t="s">
        <v>163</v>
      </c>
      <c r="N3" s="35"/>
    </row>
    <row r="4" spans="1:14" x14ac:dyDescent="0.2">
      <c r="A4" s="35">
        <v>0.05</v>
      </c>
      <c r="B4" s="35">
        <v>5.8785842769966568E-2</v>
      </c>
      <c r="C4" s="35">
        <v>0.37826362131716729</v>
      </c>
      <c r="D4" s="35">
        <v>4.9471935772201769E-3</v>
      </c>
      <c r="E4" s="35">
        <v>0.47270442160351794</v>
      </c>
      <c r="F4" s="35" t="s">
        <v>164</v>
      </c>
      <c r="G4" s="35"/>
      <c r="H4" s="35">
        <v>0.05</v>
      </c>
      <c r="I4" s="35">
        <v>5.8785842769966568E-2</v>
      </c>
      <c r="J4" s="35">
        <v>0.65805878644997873</v>
      </c>
      <c r="K4" s="35">
        <v>7.293175204917679E-3</v>
      </c>
      <c r="L4" s="35">
        <v>0.67616490173703991</v>
      </c>
      <c r="M4" s="35" t="s">
        <v>164</v>
      </c>
      <c r="N4" s="35"/>
    </row>
    <row r="5" spans="1:14" x14ac:dyDescent="0.2">
      <c r="A5" s="35">
        <v>0.1</v>
      </c>
      <c r="B5" s="35">
        <v>6.8736433890936532E-2</v>
      </c>
      <c r="C5" s="35">
        <v>0.37638297403312632</v>
      </c>
      <c r="D5" s="35">
        <v>9.8943871544404649E-3</v>
      </c>
      <c r="E5" s="35">
        <v>3.7612945680819604E-2</v>
      </c>
      <c r="F5" s="35" t="s">
        <v>165</v>
      </c>
      <c r="G5" s="35"/>
      <c r="H5" s="35">
        <v>0.1</v>
      </c>
      <c r="I5" s="35">
        <v>6.8736433890936532E-2</v>
      </c>
      <c r="J5" s="35">
        <v>0.65322418885797984</v>
      </c>
      <c r="K5" s="35">
        <v>1.4586350409835247E-2</v>
      </c>
      <c r="L5" s="35">
        <v>9.6691951839977891E-2</v>
      </c>
      <c r="M5" s="35" t="s">
        <v>165</v>
      </c>
      <c r="N5" s="35"/>
    </row>
    <row r="6" spans="1:14" x14ac:dyDescent="0.2">
      <c r="A6" s="35">
        <v>0.15000000000000002</v>
      </c>
      <c r="B6" s="35">
        <v>7.993427815892995E-2</v>
      </c>
      <c r="C6" s="35">
        <v>0.37450232674908529</v>
      </c>
      <c r="D6" s="35">
        <v>1.4841580731660753E-2</v>
      </c>
      <c r="E6" s="35"/>
      <c r="F6" s="35"/>
      <c r="G6" s="35"/>
      <c r="H6" s="35">
        <v>0.15000000000000002</v>
      </c>
      <c r="I6" s="35">
        <v>7.993427815892995E-2</v>
      </c>
      <c r="J6" s="35">
        <v>0.64838959126598095</v>
      </c>
      <c r="K6" s="35">
        <v>2.1879525614752926E-2</v>
      </c>
      <c r="L6" s="35"/>
      <c r="M6" s="35"/>
      <c r="N6" s="35"/>
    </row>
    <row r="7" spans="1:14" x14ac:dyDescent="0.2">
      <c r="A7" s="35">
        <v>0.2</v>
      </c>
      <c r="B7" s="35">
        <v>9.2455385447136718E-2</v>
      </c>
      <c r="C7" s="35">
        <v>0.37262167946504432</v>
      </c>
      <c r="D7" s="35">
        <v>1.978877430888093E-2</v>
      </c>
      <c r="E7" s="35"/>
      <c r="F7" s="35"/>
      <c r="G7" s="35"/>
      <c r="H7" s="35">
        <v>0.2</v>
      </c>
      <c r="I7" s="35">
        <v>9.2455385447136718E-2</v>
      </c>
      <c r="J7" s="35">
        <v>0.64355499367398206</v>
      </c>
      <c r="K7" s="35">
        <v>2.9172700819670494E-2</v>
      </c>
      <c r="L7" s="35"/>
      <c r="M7" s="35"/>
      <c r="N7" s="35"/>
    </row>
    <row r="8" spans="1:14" x14ac:dyDescent="0.2">
      <c r="A8" s="35">
        <v>0.25</v>
      </c>
      <c r="B8" s="35">
        <v>0.10636696701808579</v>
      </c>
      <c r="C8" s="35">
        <v>0.37074103218100335</v>
      </c>
      <c r="D8" s="35">
        <v>2.4735967886101218E-2</v>
      </c>
      <c r="E8" s="35"/>
      <c r="F8" s="35"/>
      <c r="G8" s="35"/>
      <c r="H8" s="35">
        <v>0.25</v>
      </c>
      <c r="I8" s="35">
        <v>0.10636696701808579</v>
      </c>
      <c r="J8" s="35">
        <v>0.63872039608198317</v>
      </c>
      <c r="K8" s="35">
        <v>3.6465876024588173E-2</v>
      </c>
      <c r="L8" s="35"/>
      <c r="M8" s="35"/>
      <c r="N8" s="35"/>
    </row>
    <row r="9" spans="1:14" x14ac:dyDescent="0.2">
      <c r="A9" s="35">
        <v>0.3</v>
      </c>
      <c r="B9" s="35">
        <v>0.12172509983560564</v>
      </c>
      <c r="C9" s="35">
        <v>0.36886038489696238</v>
      </c>
      <c r="D9" s="35">
        <v>2.9683161463321395E-2</v>
      </c>
      <c r="E9" s="35"/>
      <c r="F9" s="35"/>
      <c r="G9" s="35"/>
      <c r="H9" s="35">
        <v>0.3</v>
      </c>
      <c r="I9" s="35">
        <v>0.12172509983560564</v>
      </c>
      <c r="J9" s="35">
        <v>0.63388579848998428</v>
      </c>
      <c r="K9" s="35">
        <v>4.3759051229505741E-2</v>
      </c>
      <c r="L9" s="35"/>
      <c r="M9" s="35"/>
      <c r="N9" s="35"/>
    </row>
    <row r="10" spans="1:14" x14ac:dyDescent="0.2">
      <c r="A10" s="35">
        <v>0.35</v>
      </c>
      <c r="B10" s="35">
        <v>0.13857243290700927</v>
      </c>
      <c r="C10" s="35">
        <v>0.36697973761292141</v>
      </c>
      <c r="D10" s="35">
        <v>3.4630355040541572E-2</v>
      </c>
      <c r="E10" s="35"/>
      <c r="F10" s="35"/>
      <c r="G10" s="35"/>
      <c r="H10" s="35">
        <v>0.35</v>
      </c>
      <c r="I10" s="35">
        <v>0.13857243290700927</v>
      </c>
      <c r="J10" s="35">
        <v>0.62905120089798539</v>
      </c>
      <c r="K10" s="35">
        <v>5.105222643442342E-2</v>
      </c>
      <c r="L10" s="35"/>
      <c r="M10" s="35"/>
      <c r="N10" s="35"/>
    </row>
    <row r="11" spans="1:14" x14ac:dyDescent="0.2">
      <c r="A11" s="35">
        <v>0.39999999999999997</v>
      </c>
      <c r="B11" s="35">
        <v>0.15693601596870099</v>
      </c>
      <c r="C11" s="35">
        <v>0.36509909032888044</v>
      </c>
      <c r="D11" s="35">
        <v>3.9577548617761749E-2</v>
      </c>
      <c r="E11" s="35"/>
      <c r="F11" s="35"/>
      <c r="G11" s="35"/>
      <c r="H11" s="35">
        <v>0.39999999999999997</v>
      </c>
      <c r="I11" s="35">
        <v>0.15693601596870099</v>
      </c>
      <c r="J11" s="35">
        <v>0.62421660330598649</v>
      </c>
      <c r="K11" s="35">
        <v>5.8345401639340988E-2</v>
      </c>
      <c r="L11" s="35"/>
      <c r="M11" s="35"/>
      <c r="N11" s="35"/>
    </row>
    <row r="12" spans="1:14" x14ac:dyDescent="0.2">
      <c r="A12" s="35">
        <v>0.44999999999999996</v>
      </c>
      <c r="B12" s="35">
        <v>0.17682533404813983</v>
      </c>
      <c r="C12" s="35">
        <v>0.36321844304483941</v>
      </c>
      <c r="D12" s="35">
        <v>4.4524742194982148E-2</v>
      </c>
      <c r="E12" s="35"/>
      <c r="F12" s="35"/>
      <c r="G12" s="35"/>
      <c r="H12" s="35">
        <v>0.44999999999999996</v>
      </c>
      <c r="I12" s="35">
        <v>0.17682533404813983</v>
      </c>
      <c r="J12" s="35">
        <v>0.6193820057139876</v>
      </c>
      <c r="K12" s="35">
        <v>6.5638576844258667E-2</v>
      </c>
      <c r="L12" s="35"/>
      <c r="M12" s="35"/>
      <c r="N12" s="35"/>
    </row>
    <row r="13" spans="1:14" x14ac:dyDescent="0.2">
      <c r="A13" s="35">
        <v>0.49999999999999994</v>
      </c>
      <c r="B13" s="35">
        <v>0.19823063111856543</v>
      </c>
      <c r="C13" s="35">
        <v>0.36133779576079844</v>
      </c>
      <c r="D13" s="35">
        <v>4.9471935772202325E-2</v>
      </c>
      <c r="E13" s="35"/>
      <c r="F13" s="35"/>
      <c r="G13" s="35"/>
      <c r="H13" s="35">
        <v>0.49999999999999994</v>
      </c>
      <c r="I13" s="35">
        <v>0.19823063111856543</v>
      </c>
      <c r="J13" s="35">
        <v>0.61454740812198871</v>
      </c>
      <c r="K13" s="35">
        <v>7.2931752049176235E-2</v>
      </c>
      <c r="L13" s="35"/>
      <c r="M13" s="35"/>
      <c r="N13" s="35"/>
    </row>
    <row r="14" spans="1:14" x14ac:dyDescent="0.2">
      <c r="A14" s="35">
        <v>0.54999999999999993</v>
      </c>
      <c r="B14" s="35">
        <v>0.22112160190039498</v>
      </c>
      <c r="C14" s="35">
        <v>0.35945714847675747</v>
      </c>
      <c r="D14" s="35">
        <v>5.4419129349422612E-2</v>
      </c>
      <c r="E14" s="35"/>
      <c r="F14" s="35"/>
      <c r="G14" s="35"/>
      <c r="H14" s="35">
        <v>0.54999999999999993</v>
      </c>
      <c r="I14" s="35">
        <v>0.22112160190039498</v>
      </c>
      <c r="J14" s="35">
        <v>0.60971281052998982</v>
      </c>
      <c r="K14" s="35">
        <v>8.0224927254093914E-2</v>
      </c>
      <c r="L14" s="35"/>
      <c r="M14" s="35"/>
      <c r="N14" s="35"/>
    </row>
    <row r="15" spans="1:14" x14ac:dyDescent="0.2">
      <c r="A15" s="35">
        <v>0.6</v>
      </c>
      <c r="B15" s="35">
        <v>0.24544652274407641</v>
      </c>
      <c r="C15" s="35">
        <v>0.3575765011927165</v>
      </c>
      <c r="D15" s="35">
        <v>5.9366322926642789E-2</v>
      </c>
      <c r="E15" s="35"/>
      <c r="F15" s="35"/>
      <c r="G15" s="35"/>
      <c r="H15" s="35">
        <v>0.6</v>
      </c>
      <c r="I15" s="35">
        <v>0.24544652274407641</v>
      </c>
      <c r="J15" s="35">
        <v>0.60487821293799093</v>
      </c>
      <c r="K15" s="35">
        <v>8.7518102459011593E-2</v>
      </c>
      <c r="L15" s="35"/>
      <c r="M15" s="35"/>
      <c r="N15" s="35"/>
    </row>
    <row r="16" spans="1:14" x14ac:dyDescent="0.2">
      <c r="A16" s="35">
        <v>0.65</v>
      </c>
      <c r="B16" s="35">
        <v>0.27113188056563819</v>
      </c>
      <c r="C16" s="35">
        <v>0.35569585390867553</v>
      </c>
      <c r="D16" s="35">
        <v>6.4313516503862966E-2</v>
      </c>
      <c r="E16" s="35"/>
      <c r="F16" s="35"/>
      <c r="G16" s="35"/>
      <c r="H16" s="35">
        <v>0.65</v>
      </c>
      <c r="I16" s="35">
        <v>0.27113188056563819</v>
      </c>
      <c r="J16" s="35">
        <v>0.60004361534599204</v>
      </c>
      <c r="K16" s="35">
        <v>9.4811277663929161E-2</v>
      </c>
      <c r="L16" s="35"/>
      <c r="M16" s="35"/>
      <c r="N16" s="35"/>
    </row>
    <row r="17" spans="1:14" x14ac:dyDescent="0.2">
      <c r="A17" s="35">
        <v>0.70000000000000007</v>
      </c>
      <c r="B17" s="35">
        <v>0.29808254334333895</v>
      </c>
      <c r="C17" s="35">
        <v>0.3538152066246345</v>
      </c>
      <c r="D17" s="35">
        <v>6.9260710081083365E-2</v>
      </c>
      <c r="E17" s="35"/>
      <c r="F17" s="35"/>
      <c r="G17" s="35"/>
      <c r="H17" s="35">
        <v>0.70000000000000007</v>
      </c>
      <c r="I17" s="35">
        <v>0.29808254334333895</v>
      </c>
      <c r="J17" s="35">
        <v>0.59520901775399304</v>
      </c>
      <c r="K17" s="35">
        <v>0.10210445286884695</v>
      </c>
      <c r="L17" s="35"/>
      <c r="M17" s="35"/>
      <c r="N17" s="35"/>
    </row>
    <row r="18" spans="1:14" x14ac:dyDescent="0.2">
      <c r="A18" s="35">
        <v>0.75000000000000011</v>
      </c>
      <c r="B18" s="35">
        <v>0.32618249729366655</v>
      </c>
      <c r="C18" s="35">
        <v>0.35193455934059353</v>
      </c>
      <c r="D18" s="35">
        <v>7.4207903658303542E-2</v>
      </c>
      <c r="E18" s="35"/>
      <c r="F18" s="35"/>
      <c r="G18" s="35"/>
      <c r="H18" s="35">
        <v>0.75000000000000011</v>
      </c>
      <c r="I18" s="35">
        <v>0.32618249729366655</v>
      </c>
      <c r="J18" s="35">
        <v>0.59037442016199415</v>
      </c>
      <c r="K18" s="35">
        <v>0.10939762807376463</v>
      </c>
      <c r="L18" s="35"/>
      <c r="M18" s="35"/>
      <c r="N18" s="35"/>
    </row>
    <row r="19" spans="1:14" x14ac:dyDescent="0.2">
      <c r="A19" s="35">
        <v>0.80000000000000016</v>
      </c>
      <c r="B19" s="35">
        <v>0.35529615530415692</v>
      </c>
      <c r="C19" s="35">
        <v>0.35005391205655256</v>
      </c>
      <c r="D19" s="35">
        <v>7.9155097235523719E-2</v>
      </c>
      <c r="E19" s="35"/>
      <c r="F19" s="35"/>
      <c r="G19" s="35"/>
      <c r="H19" s="35">
        <v>0.80000000000000016</v>
      </c>
      <c r="I19" s="35">
        <v>0.35529615530415692</v>
      </c>
      <c r="J19" s="35">
        <v>0.58553982256999526</v>
      </c>
      <c r="K19" s="35">
        <v>0.1166908032786822</v>
      </c>
      <c r="L19" s="35"/>
      <c r="M19" s="35"/>
      <c r="N19" s="35"/>
    </row>
    <row r="20" spans="1:14" x14ac:dyDescent="0.2">
      <c r="A20" s="35">
        <v>0.8500000000000002</v>
      </c>
      <c r="B20" s="35">
        <v>0.38527021945207185</v>
      </c>
      <c r="C20" s="35">
        <v>0.34817326477251159</v>
      </c>
      <c r="D20" s="35">
        <v>8.4102290812743896E-2</v>
      </c>
      <c r="E20" s="35"/>
      <c r="F20" s="35"/>
      <c r="G20" s="35"/>
      <c r="H20" s="35">
        <v>0.8500000000000002</v>
      </c>
      <c r="I20" s="35">
        <v>0.38527021945207185</v>
      </c>
      <c r="J20" s="35">
        <v>0.58070522497799637</v>
      </c>
      <c r="K20" s="35">
        <v>0.12398397848359988</v>
      </c>
      <c r="L20" s="35"/>
      <c r="M20" s="35"/>
      <c r="N20" s="35"/>
    </row>
    <row r="21" spans="1:14" x14ac:dyDescent="0.2">
      <c r="A21" s="35">
        <v>0.90000000000000024</v>
      </c>
      <c r="B21" s="35">
        <v>0.41593605853940274</v>
      </c>
      <c r="C21" s="35">
        <v>0.34629261748847062</v>
      </c>
      <c r="D21" s="35">
        <v>8.9049484389964184E-2</v>
      </c>
      <c r="E21" s="35"/>
      <c r="F21" s="35"/>
      <c r="G21" s="35"/>
      <c r="H21" s="35">
        <v>0.90000000000000024</v>
      </c>
      <c r="I21" s="35">
        <v>0.41593605853940274</v>
      </c>
      <c r="J21" s="35">
        <v>0.57587062738599748</v>
      </c>
      <c r="K21" s="35">
        <v>0.13127715368851745</v>
      </c>
      <c r="L21" s="35"/>
      <c r="M21" s="35"/>
      <c r="N21" s="35"/>
    </row>
    <row r="22" spans="1:14" x14ac:dyDescent="0.2">
      <c r="A22" s="35">
        <v>0.95000000000000029</v>
      </c>
      <c r="B22" s="35">
        <v>0.44711254063557149</v>
      </c>
      <c r="C22" s="35">
        <v>0.3444119702044296</v>
      </c>
      <c r="D22" s="35">
        <v>9.3996677967184472E-2</v>
      </c>
      <c r="E22" s="35"/>
      <c r="F22" s="35"/>
      <c r="G22" s="35"/>
      <c r="H22" s="35">
        <v>0.95000000000000029</v>
      </c>
      <c r="I22" s="35">
        <v>0.44711254063557149</v>
      </c>
      <c r="J22" s="35">
        <v>0.57103602979399859</v>
      </c>
      <c r="K22" s="35">
        <v>0.13857032889343512</v>
      </c>
      <c r="L22" s="35"/>
      <c r="M22" s="35"/>
      <c r="N22" s="35"/>
    </row>
    <row r="23" spans="1:14" x14ac:dyDescent="0.2">
      <c r="A23" s="35">
        <v>1.0000000000000002</v>
      </c>
      <c r="B23" s="35">
        <v>0.47860924173269359</v>
      </c>
      <c r="C23" s="35">
        <v>0.34253132292038863</v>
      </c>
      <c r="D23" s="35">
        <v>9.894387154440476E-2</v>
      </c>
      <c r="E23" s="35"/>
      <c r="F23" s="35"/>
      <c r="G23" s="35"/>
      <c r="H23" s="35">
        <v>1.0000000000000002</v>
      </c>
      <c r="I23" s="35">
        <v>0.47860924173269359</v>
      </c>
      <c r="J23" s="35">
        <v>0.5662014322019997</v>
      </c>
      <c r="K23" s="35">
        <v>0.14586350409835269</v>
      </c>
      <c r="L23" s="35"/>
      <c r="M23" s="35"/>
      <c r="N23" s="35"/>
    </row>
    <row r="24" spans="1:14" x14ac:dyDescent="0.2">
      <c r="A24" s="35">
        <v>1.0500000000000003</v>
      </c>
      <c r="B24" s="35">
        <v>0.51022993579150633</v>
      </c>
      <c r="C24" s="35">
        <v>0.34065067563634766</v>
      </c>
      <c r="D24" s="35">
        <v>0.10389106512162494</v>
      </c>
      <c r="E24" s="35"/>
      <c r="F24" s="35"/>
      <c r="G24" s="35"/>
      <c r="H24" s="35">
        <v>1.0500000000000003</v>
      </c>
      <c r="I24" s="35">
        <v>0.51022993579150633</v>
      </c>
      <c r="J24" s="35">
        <v>0.56136683461000081</v>
      </c>
      <c r="K24" s="35">
        <v>0.15315667930327037</v>
      </c>
      <c r="L24" s="35"/>
      <c r="M24" s="35"/>
      <c r="N24" s="35"/>
    </row>
    <row r="25" spans="1:14" x14ac:dyDescent="0.2">
      <c r="A25" s="35">
        <v>1.1000000000000003</v>
      </c>
      <c r="B25" s="35">
        <v>0.54177625954439934</v>
      </c>
      <c r="C25" s="35">
        <v>0.33877002835230668</v>
      </c>
      <c r="D25" s="35">
        <v>0.10883825869884511</v>
      </c>
      <c r="E25" s="35"/>
      <c r="F25" s="35"/>
      <c r="G25" s="35"/>
      <c r="H25" s="35">
        <v>1.1000000000000003</v>
      </c>
      <c r="I25" s="35">
        <v>0.54177625954439934</v>
      </c>
      <c r="J25" s="35">
        <v>0.55653223701800192</v>
      </c>
      <c r="K25" s="35">
        <v>0.16044985450818805</v>
      </c>
      <c r="L25" s="35"/>
      <c r="M25" s="35"/>
      <c r="N25" s="35"/>
    </row>
    <row r="26" spans="1:14" x14ac:dyDescent="0.2">
      <c r="A26" s="35">
        <v>1.1500000000000004</v>
      </c>
      <c r="B26" s="35">
        <v>0.57305143807275627</v>
      </c>
      <c r="C26" s="35">
        <v>0.33688938106826571</v>
      </c>
      <c r="D26" s="35">
        <v>0.11378545227606529</v>
      </c>
      <c r="E26" s="35"/>
      <c r="F26" s="35"/>
      <c r="G26" s="35"/>
      <c r="H26" s="35">
        <v>1.1500000000000004</v>
      </c>
      <c r="I26" s="35">
        <v>0.57305143807275627</v>
      </c>
      <c r="J26" s="35">
        <v>0.55169763942600303</v>
      </c>
      <c r="K26" s="35">
        <v>0.16774302971310562</v>
      </c>
      <c r="L26" s="35"/>
      <c r="M26" s="35"/>
      <c r="N26" s="35"/>
    </row>
    <row r="27" spans="1:14" x14ac:dyDescent="0.2">
      <c r="A27" s="35">
        <v>1.2000000000000004</v>
      </c>
      <c r="B27" s="35">
        <v>0.6038639547852197</v>
      </c>
      <c r="C27" s="35">
        <v>0.33500873378422469</v>
      </c>
      <c r="D27" s="35">
        <v>0.11873264585328569</v>
      </c>
      <c r="E27" s="35"/>
      <c r="F27" s="35"/>
      <c r="G27" s="35"/>
      <c r="H27" s="35">
        <v>1.2000000000000004</v>
      </c>
      <c r="I27" s="35">
        <v>0.6038639547852197</v>
      </c>
      <c r="J27" s="35">
        <v>0.54686304183400414</v>
      </c>
      <c r="K27" s="35">
        <v>0.1750362049180233</v>
      </c>
      <c r="L27" s="35"/>
      <c r="M27" s="35"/>
      <c r="N27" s="35"/>
    </row>
    <row r="28" spans="1:14" x14ac:dyDescent="0.2">
      <c r="A28" s="35">
        <v>1.2500000000000004</v>
      </c>
      <c r="B28" s="35">
        <v>0.63403105211076682</v>
      </c>
      <c r="C28" s="35">
        <v>0.33312808650018372</v>
      </c>
      <c r="D28" s="35">
        <v>0.12367983943050587</v>
      </c>
      <c r="E28" s="35"/>
      <c r="F28" s="35"/>
      <c r="G28" s="35"/>
      <c r="H28" s="35">
        <v>1.2500000000000004</v>
      </c>
      <c r="I28" s="35">
        <v>0.63403105211076682</v>
      </c>
      <c r="J28" s="35">
        <v>0.54202844424200525</v>
      </c>
      <c r="K28" s="35">
        <v>0.18232938012294087</v>
      </c>
      <c r="L28" s="35"/>
      <c r="M28" s="35"/>
      <c r="N28" s="35"/>
    </row>
    <row r="29" spans="1:14" x14ac:dyDescent="0.2">
      <c r="A29" s="35">
        <v>1.3000000000000005</v>
      </c>
      <c r="B29" s="35">
        <v>0.66338195682050216</v>
      </c>
      <c r="C29" s="35">
        <v>0.33124743921614275</v>
      </c>
      <c r="D29" s="35">
        <v>0.12862703300772604</v>
      </c>
      <c r="E29" s="35"/>
      <c r="F29" s="35"/>
      <c r="G29" s="35"/>
      <c r="H29" s="35">
        <v>1.3000000000000005</v>
      </c>
      <c r="I29" s="35">
        <v>0.66338195682050216</v>
      </c>
      <c r="J29" s="35">
        <v>0.53719384665000636</v>
      </c>
      <c r="K29" s="35">
        <v>0.18962255532785854</v>
      </c>
      <c r="L29" s="35"/>
      <c r="M29" s="35"/>
      <c r="N29" s="35"/>
    </row>
    <row r="30" spans="1:14" x14ac:dyDescent="0.2">
      <c r="A30" s="35">
        <v>1.3500000000000005</v>
      </c>
      <c r="B30" s="35">
        <v>0.69176073596792698</v>
      </c>
      <c r="C30" s="35">
        <v>0.32936679193210178</v>
      </c>
      <c r="D30" s="35">
        <v>0.13357422658494633</v>
      </c>
      <c r="E30" s="35"/>
      <c r="F30" s="35"/>
      <c r="G30" s="35"/>
      <c r="H30" s="35">
        <v>1.3500000000000005</v>
      </c>
      <c r="I30" s="35">
        <v>0.69176073596792698</v>
      </c>
      <c r="J30" s="35">
        <v>0.53235924905800736</v>
      </c>
      <c r="K30" s="35">
        <v>0.19691573053277633</v>
      </c>
      <c r="L30" s="35"/>
      <c r="M30" s="35"/>
      <c r="N30" s="35"/>
    </row>
    <row r="31" spans="1:14" x14ac:dyDescent="0.2">
      <c r="A31" s="35">
        <v>1.4000000000000006</v>
      </c>
      <c r="B31" s="35">
        <v>0.71902870531073115</v>
      </c>
      <c r="C31" s="35">
        <v>0.32748614464806081</v>
      </c>
      <c r="D31" s="35">
        <v>0.13852142016216651</v>
      </c>
      <c r="E31" s="35"/>
      <c r="F31" s="35"/>
      <c r="G31" s="35"/>
      <c r="H31" s="35">
        <v>1.4000000000000006</v>
      </c>
      <c r="I31" s="35">
        <v>0.71902870531073115</v>
      </c>
      <c r="J31" s="35">
        <v>0.52752465146600858</v>
      </c>
      <c r="K31" s="35">
        <v>0.20420890573769379</v>
      </c>
      <c r="L31" s="35"/>
      <c r="M31" s="35"/>
      <c r="N31" s="35"/>
    </row>
    <row r="32" spans="1:14" x14ac:dyDescent="0.2">
      <c r="A32" s="35">
        <v>1.4500000000000006</v>
      </c>
      <c r="B32" s="35">
        <v>0.74506633087459539</v>
      </c>
      <c r="C32" s="35">
        <v>0.32560549736401978</v>
      </c>
      <c r="D32" s="35">
        <v>0.14346861373938691</v>
      </c>
      <c r="E32" s="35"/>
      <c r="F32" s="35"/>
      <c r="G32" s="35"/>
      <c r="H32" s="35">
        <v>1.4500000000000006</v>
      </c>
      <c r="I32" s="35">
        <v>0.74506633087459539</v>
      </c>
      <c r="J32" s="35">
        <v>0.52269005387400957</v>
      </c>
      <c r="K32" s="35">
        <v>0.21150208094261158</v>
      </c>
      <c r="L32" s="35"/>
      <c r="M32" s="35"/>
      <c r="N32" s="35"/>
    </row>
    <row r="33" spans="1:14" x14ac:dyDescent="0.2">
      <c r="A33" s="35">
        <v>1.5000000000000007</v>
      </c>
      <c r="B33" s="35">
        <v>0.76977458503129192</v>
      </c>
      <c r="C33" s="35">
        <v>0.32372485007997881</v>
      </c>
      <c r="D33" s="35">
        <v>0.14841580731660708</v>
      </c>
      <c r="E33" s="35"/>
      <c r="F33" s="35"/>
      <c r="G33" s="35"/>
      <c r="H33" s="35">
        <v>1.5000000000000007</v>
      </c>
      <c r="I33" s="35">
        <v>0.76977458503129192</v>
      </c>
      <c r="J33" s="35">
        <v>0.51785545628201068</v>
      </c>
      <c r="K33" s="35">
        <v>0.21879525614752915</v>
      </c>
      <c r="L33" s="35"/>
      <c r="M33" s="35"/>
      <c r="N33" s="35"/>
    </row>
    <row r="34" spans="1:14" x14ac:dyDescent="0.2">
      <c r="A34" s="35">
        <v>1.5500000000000007</v>
      </c>
      <c r="B34" s="35">
        <v>0.7930757400091849</v>
      </c>
      <c r="C34" s="35">
        <v>0.32184420279593784</v>
      </c>
      <c r="D34" s="35">
        <v>0.15336300089382726</v>
      </c>
      <c r="E34" s="35"/>
      <c r="F34" s="35"/>
      <c r="G34" s="35"/>
      <c r="H34" s="35">
        <v>1.5500000000000007</v>
      </c>
      <c r="I34" s="35">
        <v>0.7930757400091849</v>
      </c>
      <c r="J34" s="35">
        <v>0.51302085869001179</v>
      </c>
      <c r="K34" s="35">
        <v>0.22608843135244683</v>
      </c>
      <c r="L34" s="35"/>
      <c r="M34" s="35"/>
      <c r="N34" s="35"/>
    </row>
    <row r="35" spans="1:14" x14ac:dyDescent="0.2">
      <c r="A35" s="35">
        <v>1.6000000000000008</v>
      </c>
      <c r="B35" s="35">
        <v>0.8149136030515074</v>
      </c>
      <c r="C35" s="35">
        <v>0.31996355551189687</v>
      </c>
      <c r="D35" s="35">
        <v>0.15831019447104744</v>
      </c>
      <c r="E35" s="35"/>
      <c r="F35" s="35"/>
      <c r="G35" s="35"/>
      <c r="H35" s="35">
        <v>1.6000000000000008</v>
      </c>
      <c r="I35" s="35">
        <v>0.8149136030515074</v>
      </c>
      <c r="J35" s="35">
        <v>0.5081862610980129</v>
      </c>
      <c r="K35" s="35">
        <v>0.2333816065573644</v>
      </c>
      <c r="L35" s="35"/>
      <c r="M35" s="35"/>
      <c r="N35" s="35"/>
    </row>
    <row r="36" spans="1:14" x14ac:dyDescent="0.2">
      <c r="A36" s="35">
        <v>1.6500000000000008</v>
      </c>
      <c r="B36" s="35">
        <v>0.83525321746742898</v>
      </c>
      <c r="C36" s="35">
        <v>0.3180829082278559</v>
      </c>
      <c r="D36" s="35">
        <v>0.16325738804826773</v>
      </c>
      <c r="E36" s="35"/>
      <c r="F36" s="35"/>
      <c r="G36" s="35"/>
      <c r="H36" s="35">
        <v>1.6500000000000008</v>
      </c>
      <c r="I36" s="35">
        <v>0.83525321746742898</v>
      </c>
      <c r="J36" s="35">
        <v>0.50335166350601401</v>
      </c>
      <c r="K36" s="35">
        <v>0.24067478176228208</v>
      </c>
      <c r="L36" s="35"/>
      <c r="M36" s="35"/>
      <c r="N36" s="35"/>
    </row>
    <row r="37" spans="1:14" x14ac:dyDescent="0.2">
      <c r="A37" s="35">
        <v>1.7000000000000008</v>
      </c>
      <c r="B37" s="35">
        <v>0.854080071685696</v>
      </c>
      <c r="C37" s="35">
        <v>0.31620226094381487</v>
      </c>
      <c r="D37" s="35">
        <v>0.16820458162548801</v>
      </c>
      <c r="E37" s="35"/>
      <c r="F37" s="35"/>
      <c r="G37" s="35"/>
      <c r="H37" s="35">
        <v>1.7000000000000008</v>
      </c>
      <c r="I37" s="35">
        <v>0.854080071685696</v>
      </c>
      <c r="J37" s="35">
        <v>0.49851706591401512</v>
      </c>
      <c r="K37" s="35">
        <v>0.24796795696719975</v>
      </c>
      <c r="L37" s="35"/>
      <c r="M37" s="35"/>
      <c r="N37" s="35"/>
    </row>
    <row r="38" spans="1:14" x14ac:dyDescent="0.2">
      <c r="A38" s="35">
        <v>1.7500000000000009</v>
      </c>
      <c r="B38" s="35">
        <v>0.87139887339233835</v>
      </c>
      <c r="C38" s="35">
        <v>0.3143216136597739</v>
      </c>
      <c r="D38" s="35">
        <v>0.1731517752027083</v>
      </c>
      <c r="E38" s="35"/>
      <c r="F38" s="35"/>
      <c r="G38" s="35"/>
      <c r="H38" s="35">
        <v>1.7500000000000009</v>
      </c>
      <c r="I38" s="35">
        <v>0.87139887339233835</v>
      </c>
      <c r="J38" s="35">
        <v>0.49368246832201623</v>
      </c>
      <c r="K38" s="35">
        <v>0.25526113217211732</v>
      </c>
      <c r="L38" s="35"/>
      <c r="M38" s="35"/>
      <c r="N38" s="35"/>
    </row>
    <row r="39" spans="1:14" x14ac:dyDescent="0.2">
      <c r="A39" s="35">
        <v>1.8000000000000009</v>
      </c>
      <c r="B39" s="35">
        <v>0.88723195738678862</v>
      </c>
      <c r="C39" s="35">
        <v>0.31244096637573293</v>
      </c>
      <c r="D39" s="35">
        <v>0.17809896877992848</v>
      </c>
      <c r="E39" s="35"/>
      <c r="F39" s="35"/>
      <c r="G39" s="35"/>
      <c r="H39" s="35">
        <v>1.8000000000000009</v>
      </c>
      <c r="I39" s="35">
        <v>0.88723195738678862</v>
      </c>
      <c r="J39" s="35">
        <v>0.48884787073001734</v>
      </c>
      <c r="K39" s="35">
        <v>0.262554307377035</v>
      </c>
      <c r="L39" s="35"/>
      <c r="M39" s="35"/>
      <c r="N39" s="35"/>
    </row>
    <row r="40" spans="1:14" x14ac:dyDescent="0.2">
      <c r="A40" s="35">
        <v>1.850000000000001</v>
      </c>
      <c r="B40" s="35">
        <v>0.90161740361913545</v>
      </c>
      <c r="C40" s="35">
        <v>0.31056031909169196</v>
      </c>
      <c r="D40" s="35">
        <v>0.18304616235714866</v>
      </c>
      <c r="E40" s="35"/>
      <c r="F40" s="35"/>
      <c r="G40" s="35"/>
      <c r="H40" s="35">
        <v>1.850000000000001</v>
      </c>
      <c r="I40" s="35">
        <v>0.90161740361913545</v>
      </c>
      <c r="J40" s="35">
        <v>0.48401327313801845</v>
      </c>
      <c r="K40" s="35">
        <v>0.26984748258195257</v>
      </c>
      <c r="L40" s="35"/>
      <c r="M40" s="35"/>
      <c r="N40" s="35"/>
    </row>
    <row r="41" spans="1:14" x14ac:dyDescent="0.2">
      <c r="A41" s="35">
        <v>1.900000000000001</v>
      </c>
      <c r="B41" s="35">
        <v>0.91460694589193281</v>
      </c>
      <c r="C41" s="35">
        <v>0.30867967180765099</v>
      </c>
      <c r="D41" s="35">
        <v>0.18799335593436883</v>
      </c>
      <c r="E41" s="35"/>
      <c r="F41" s="35"/>
      <c r="G41" s="35"/>
      <c r="H41" s="35">
        <v>1.900000000000001</v>
      </c>
      <c r="I41" s="35">
        <v>0.91460694589193281</v>
      </c>
      <c r="J41" s="35">
        <v>0.47917867554601956</v>
      </c>
      <c r="K41" s="35">
        <v>0.27714065778687025</v>
      </c>
      <c r="L41" s="35"/>
      <c r="M41" s="35"/>
      <c r="N41" s="35"/>
    </row>
    <row r="42" spans="1:14" x14ac:dyDescent="0.2">
      <c r="A42" s="35">
        <v>1.9500000000000011</v>
      </c>
      <c r="B42" s="35">
        <v>0.92626375204962819</v>
      </c>
      <c r="C42" s="35">
        <v>0.30679902452360996</v>
      </c>
      <c r="D42" s="35">
        <v>0.19294054951158923</v>
      </c>
      <c r="E42" s="35"/>
      <c r="F42" s="35"/>
      <c r="G42" s="35"/>
      <c r="H42" s="35">
        <v>1.9500000000000011</v>
      </c>
      <c r="I42" s="35">
        <v>0.92626375204962819</v>
      </c>
      <c r="J42" s="35">
        <v>0.47434407795402062</v>
      </c>
      <c r="K42" s="35">
        <v>0.28443383299178793</v>
      </c>
      <c r="L42" s="35"/>
      <c r="M42" s="35"/>
      <c r="N42" s="35"/>
    </row>
    <row r="43" spans="1:14" x14ac:dyDescent="0.2">
      <c r="A43" s="35">
        <v>2.0000000000000009</v>
      </c>
      <c r="B43" s="35">
        <v>0.93666015344864517</v>
      </c>
      <c r="C43" s="35">
        <v>0.30491837723956905</v>
      </c>
      <c r="D43" s="35">
        <v>0.1978877430888093</v>
      </c>
      <c r="E43" s="35"/>
      <c r="F43" s="35"/>
      <c r="G43" s="35"/>
      <c r="H43" s="35">
        <v>2.0000000000000009</v>
      </c>
      <c r="I43" s="35">
        <v>0.93666015344864517</v>
      </c>
      <c r="J43" s="35">
        <v>0.46950948036202178</v>
      </c>
      <c r="K43" s="35">
        <v>0.2917270081967055</v>
      </c>
      <c r="L43" s="35"/>
      <c r="M43" s="35"/>
      <c r="N43" s="3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(Raehal &amp; Bohn 2005) Power Calc</vt:lpstr>
      <vt:lpstr>Shapiro-Wilks</vt:lpstr>
      <vt:lpstr>95% CI</vt:lpstr>
      <vt:lpstr>t Test</vt:lpstr>
      <vt:lpstr>One-Way ANOVA</vt:lpstr>
      <vt:lpstr>Kruskal-Wallis</vt:lpstr>
      <vt:lpstr>Two-Way ANOVA</vt:lpstr>
      <vt:lpstr>Power Analysis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Kevin Yackle</dc:creator>
  <cp:lastModifiedBy>Kevin Yackle</cp:lastModifiedBy>
  <dcterms:created xsi:type="dcterms:W3CDTF">2021-04-28T16:17:02Z</dcterms:created>
  <dcterms:modified xsi:type="dcterms:W3CDTF">2021-04-28T16:19:14Z</dcterms:modified>
</cp:coreProperties>
</file>