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evinyackle/Box/MS_Arrb2_2020/REVISON/TO SUBMIT/"/>
    </mc:Choice>
  </mc:AlternateContent>
  <xr:revisionPtr revIDLastSave="0" documentId="13_ncr:1_{1BC2AA40-538A-4F49-9685-B02917F7C587}" xr6:coauthVersionLast="46" xr6:coauthVersionMax="46" xr10:uidLastSave="{00000000-0000-0000-0000-000000000000}"/>
  <bookViews>
    <workbookView xWindow="6480" yWindow="2860" windowWidth="38860" windowHeight="23200" activeTab="3" xr2:uid="{89308A16-7CEF-499D-8CF1-2888104F1268}"/>
  </bookViews>
  <sheets>
    <sheet name="Normalized to Baseline" sheetId="1" r:id="rId1"/>
    <sheet name="Shapiro-Wilks - to baseline" sheetId="5" r:id="rId2"/>
    <sheet name="Kruskal Wallis - to baseline" sheetId="4" r:id="rId3"/>
    <sheet name="Raw" sheetId="2" r:id="rId4"/>
    <sheet name="Shapiro-Wilks-Raw" sheetId="6" r:id="rId5"/>
    <sheet name="One Way ANOVA - Raw" sheetId="8" r:id="rId6"/>
    <sheet name="Kruskal Wallis - Raw" sheetId="7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97" i="4" l="1"/>
  <c r="O97" i="4"/>
  <c r="P97" i="4"/>
  <c r="N97" i="4"/>
  <c r="V96" i="4"/>
  <c r="P96" i="4"/>
  <c r="O96" i="4"/>
  <c r="N96" i="4"/>
  <c r="R94" i="4"/>
  <c r="V92" i="4"/>
  <c r="U92" i="4"/>
  <c r="T92" i="4"/>
  <c r="S92" i="4"/>
  <c r="R92" i="4"/>
  <c r="Q92" i="4"/>
  <c r="O92" i="4"/>
  <c r="P92" i="4"/>
  <c r="N92" i="4"/>
  <c r="V91" i="4"/>
  <c r="U91" i="4"/>
  <c r="R91" i="4"/>
  <c r="Q91" i="4"/>
  <c r="P91" i="4"/>
  <c r="O91" i="4"/>
  <c r="N91" i="4"/>
  <c r="Q87" i="4"/>
  <c r="P87" i="4"/>
  <c r="P86" i="4"/>
  <c r="O86" i="4"/>
  <c r="N86" i="4"/>
  <c r="P85" i="4"/>
  <c r="O85" i="4"/>
  <c r="N85" i="4"/>
  <c r="M86" i="4"/>
  <c r="M85" i="4"/>
  <c r="W69" i="4"/>
  <c r="T69" i="4"/>
  <c r="S69" i="4"/>
  <c r="W68" i="4"/>
  <c r="T68" i="4"/>
  <c r="S68" i="4"/>
  <c r="W67" i="4"/>
  <c r="T67" i="4"/>
  <c r="S67" i="4"/>
  <c r="Q73" i="4"/>
  <c r="Q69" i="4"/>
  <c r="O69" i="4"/>
  <c r="P69" i="4"/>
  <c r="N69" i="4"/>
  <c r="O67" i="4"/>
  <c r="P67" i="4"/>
  <c r="N67" i="4"/>
  <c r="O66" i="4"/>
  <c r="P66" i="4"/>
  <c r="N66" i="4"/>
  <c r="W30" i="4"/>
  <c r="T30" i="4"/>
  <c r="S30" i="4"/>
  <c r="W29" i="4"/>
  <c r="T29" i="4"/>
  <c r="S29" i="4"/>
  <c r="W28" i="4"/>
  <c r="T28" i="4"/>
  <c r="S28" i="4"/>
  <c r="Q34" i="4"/>
  <c r="Q30" i="4"/>
  <c r="O30" i="4"/>
  <c r="P30" i="4"/>
  <c r="N30" i="4"/>
  <c r="O28" i="4"/>
  <c r="P28" i="4"/>
  <c r="N28" i="4"/>
  <c r="O27" i="4"/>
  <c r="P27" i="4"/>
  <c r="N27" i="4"/>
  <c r="J95" i="4"/>
  <c r="C95" i="4"/>
  <c r="D95" i="4"/>
  <c r="B95" i="4"/>
  <c r="J94" i="4"/>
  <c r="D94" i="4"/>
  <c r="C94" i="4"/>
  <c r="B94" i="4"/>
  <c r="F92" i="4"/>
  <c r="J90" i="4"/>
  <c r="I90" i="4"/>
  <c r="H90" i="4"/>
  <c r="G90" i="4"/>
  <c r="F90" i="4"/>
  <c r="E90" i="4"/>
  <c r="C90" i="4"/>
  <c r="D90" i="4"/>
  <c r="B90" i="4"/>
  <c r="J89" i="4"/>
  <c r="I89" i="4"/>
  <c r="F89" i="4"/>
  <c r="E89" i="4"/>
  <c r="D89" i="4"/>
  <c r="C89" i="4"/>
  <c r="B89" i="4"/>
  <c r="E85" i="4"/>
  <c r="D85" i="4"/>
  <c r="D84" i="4"/>
  <c r="C84" i="4"/>
  <c r="B84" i="4"/>
  <c r="D83" i="4"/>
  <c r="C83" i="4"/>
  <c r="B83" i="4"/>
  <c r="A84" i="4"/>
  <c r="A83" i="4"/>
  <c r="K69" i="4"/>
  <c r="H69" i="4"/>
  <c r="G69" i="4"/>
  <c r="K68" i="4"/>
  <c r="H68" i="4"/>
  <c r="G68" i="4"/>
  <c r="K67" i="4"/>
  <c r="H67" i="4"/>
  <c r="G67" i="4"/>
  <c r="E73" i="4"/>
  <c r="E69" i="4"/>
  <c r="C69" i="4"/>
  <c r="D69" i="4"/>
  <c r="B69" i="4"/>
  <c r="C67" i="4"/>
  <c r="D67" i="4"/>
  <c r="B67" i="4"/>
  <c r="C66" i="4"/>
  <c r="D66" i="4"/>
  <c r="B66" i="4"/>
  <c r="J97" i="7"/>
  <c r="C97" i="7"/>
  <c r="D97" i="7"/>
  <c r="B97" i="7"/>
  <c r="J96" i="7"/>
  <c r="D96" i="7"/>
  <c r="C96" i="7"/>
  <c r="B96" i="7"/>
  <c r="F94" i="7"/>
  <c r="J92" i="7"/>
  <c r="I92" i="7"/>
  <c r="H92" i="7"/>
  <c r="G92" i="7"/>
  <c r="F92" i="7"/>
  <c r="E92" i="7"/>
  <c r="C92" i="7"/>
  <c r="D92" i="7"/>
  <c r="B92" i="7"/>
  <c r="J91" i="7"/>
  <c r="I91" i="7"/>
  <c r="F91" i="7"/>
  <c r="E91" i="7"/>
  <c r="D91" i="7"/>
  <c r="C91" i="7"/>
  <c r="B91" i="7"/>
  <c r="E87" i="7"/>
  <c r="D87" i="7"/>
  <c r="D86" i="7"/>
  <c r="C86" i="7"/>
  <c r="B86" i="7"/>
  <c r="D85" i="7"/>
  <c r="C85" i="7"/>
  <c r="B85" i="7"/>
  <c r="A86" i="7"/>
  <c r="A85" i="7"/>
  <c r="J56" i="8"/>
  <c r="C56" i="8"/>
  <c r="D56" i="8"/>
  <c r="B56" i="8"/>
  <c r="J55" i="8"/>
  <c r="D55" i="8"/>
  <c r="C55" i="8"/>
  <c r="B55" i="8"/>
  <c r="F53" i="8"/>
  <c r="J51" i="8"/>
  <c r="I51" i="8"/>
  <c r="H51" i="8"/>
  <c r="G51" i="8"/>
  <c r="F51" i="8"/>
  <c r="E51" i="8"/>
  <c r="C51" i="8"/>
  <c r="D51" i="8"/>
  <c r="B51" i="8"/>
  <c r="J50" i="8"/>
  <c r="I50" i="8"/>
  <c r="F50" i="8"/>
  <c r="E50" i="8"/>
  <c r="D50" i="8"/>
  <c r="C50" i="8"/>
  <c r="B50" i="8"/>
  <c r="E46" i="8"/>
  <c r="D46" i="8"/>
  <c r="D45" i="8"/>
  <c r="C45" i="8"/>
  <c r="B45" i="8"/>
  <c r="D44" i="8"/>
  <c r="C44" i="8"/>
  <c r="B44" i="8"/>
  <c r="A45" i="8"/>
  <c r="A44" i="8"/>
  <c r="K70" i="7"/>
  <c r="H70" i="7"/>
  <c r="G70" i="7"/>
  <c r="K69" i="7"/>
  <c r="H69" i="7"/>
  <c r="G69" i="7"/>
  <c r="K68" i="7"/>
  <c r="H68" i="7"/>
  <c r="G68" i="7"/>
  <c r="E74" i="7"/>
  <c r="E70" i="7"/>
  <c r="C70" i="7"/>
  <c r="D70" i="7"/>
  <c r="B70" i="7"/>
  <c r="C68" i="7"/>
  <c r="D68" i="7"/>
  <c r="B68" i="7"/>
  <c r="C67" i="7"/>
  <c r="D67" i="7"/>
  <c r="B67" i="7"/>
  <c r="K29" i="7"/>
  <c r="H29" i="7"/>
  <c r="G29" i="7"/>
  <c r="K28" i="7"/>
  <c r="H28" i="7"/>
  <c r="G28" i="7"/>
  <c r="K27" i="7"/>
  <c r="H27" i="7"/>
  <c r="G27" i="7"/>
  <c r="E33" i="7"/>
  <c r="E29" i="7"/>
  <c r="C29" i="7"/>
  <c r="D29" i="7"/>
  <c r="B29" i="7"/>
  <c r="C27" i="7"/>
  <c r="D27" i="7"/>
  <c r="B27" i="7"/>
  <c r="C26" i="7"/>
  <c r="D26" i="7"/>
  <c r="B26" i="7"/>
  <c r="O34" i="8"/>
  <c r="T34" i="8"/>
  <c r="O35" i="8"/>
  <c r="T35" i="8"/>
  <c r="T33" i="8"/>
  <c r="O33" i="8"/>
  <c r="N35" i="8"/>
  <c r="M35" i="8"/>
  <c r="L35" i="8"/>
  <c r="K35" i="8"/>
  <c r="N34" i="8"/>
  <c r="M34" i="8"/>
  <c r="L34" i="8"/>
  <c r="K34" i="8"/>
  <c r="N33" i="8"/>
  <c r="M33" i="8"/>
  <c r="L33" i="8"/>
  <c r="K33" i="8"/>
  <c r="O30" i="8"/>
  <c r="N30" i="8"/>
  <c r="M30" i="8"/>
  <c r="N29" i="8"/>
  <c r="M29" i="8"/>
  <c r="L29" i="8"/>
  <c r="K29" i="8"/>
  <c r="N28" i="8"/>
  <c r="M28" i="8"/>
  <c r="L28" i="8"/>
  <c r="K28" i="8"/>
  <c r="N27" i="8"/>
  <c r="M27" i="8"/>
  <c r="L27" i="8"/>
  <c r="K27" i="8"/>
  <c r="D37" i="8"/>
  <c r="C37" i="8"/>
  <c r="B37" i="8"/>
  <c r="B35" i="8" s="1"/>
  <c r="C36" i="8"/>
  <c r="D36" i="8" s="1"/>
  <c r="B36" i="8"/>
  <c r="C35" i="8"/>
  <c r="F31" i="8"/>
  <c r="E31" i="8"/>
  <c r="D31" i="8"/>
  <c r="C31" i="8"/>
  <c r="B31" i="8"/>
  <c r="A31" i="8"/>
  <c r="F30" i="8"/>
  <c r="E30" i="8"/>
  <c r="D30" i="8"/>
  <c r="C30" i="8"/>
  <c r="B30" i="8"/>
  <c r="A30" i="8"/>
  <c r="F29" i="8"/>
  <c r="E29" i="8"/>
  <c r="D29" i="8"/>
  <c r="C29" i="8"/>
  <c r="B29" i="8"/>
  <c r="A29" i="8"/>
  <c r="K30" i="4"/>
  <c r="H30" i="4"/>
  <c r="G30" i="4"/>
  <c r="K29" i="4"/>
  <c r="H29" i="4"/>
  <c r="G29" i="4"/>
  <c r="K28" i="4"/>
  <c r="H28" i="4"/>
  <c r="G28" i="4"/>
  <c r="C30" i="4"/>
  <c r="D30" i="4"/>
  <c r="B30" i="4"/>
  <c r="C28" i="4"/>
  <c r="D28" i="4"/>
  <c r="B28" i="4"/>
  <c r="C27" i="4"/>
  <c r="D27" i="4"/>
  <c r="B27" i="4"/>
  <c r="E34" i="4" s="1"/>
  <c r="B28" i="7"/>
  <c r="J68" i="7"/>
  <c r="F50" i="5" a="1"/>
  <c r="J69" i="7"/>
  <c r="V29" i="4"/>
  <c r="V28" i="4"/>
  <c r="F55" i="8"/>
  <c r="C75" i="6" a="1"/>
  <c r="D28" i="7"/>
  <c r="R33" i="8"/>
  <c r="J28" i="4"/>
  <c r="B29" i="4"/>
  <c r="V67" i="4"/>
  <c r="C24" i="6" a="1"/>
  <c r="F96" i="7"/>
  <c r="D69" i="7"/>
  <c r="C49" i="6" a="1"/>
  <c r="E97" i="7"/>
  <c r="E24" i="5" a="1"/>
  <c r="E50" i="5" a="1"/>
  <c r="I29" i="4"/>
  <c r="J29" i="7"/>
  <c r="I68" i="4"/>
  <c r="V69" i="4"/>
  <c r="I28" i="4"/>
  <c r="B75" i="6" a="1"/>
  <c r="V68" i="4"/>
  <c r="U68" i="4"/>
  <c r="E55" i="8"/>
  <c r="J28" i="7"/>
  <c r="F56" i="8"/>
  <c r="P29" i="4"/>
  <c r="G50" i="5" a="1"/>
  <c r="N68" i="4"/>
  <c r="P30" i="8"/>
  <c r="C68" i="4"/>
  <c r="C28" i="7"/>
  <c r="F24" i="5" a="1"/>
  <c r="F97" i="7"/>
  <c r="R35" i="8"/>
  <c r="B24" i="6" a="1"/>
  <c r="I69" i="4"/>
  <c r="Q97" i="4"/>
  <c r="C29" i="4"/>
  <c r="F95" i="4"/>
  <c r="D29" i="4"/>
  <c r="E95" i="4"/>
  <c r="J68" i="4"/>
  <c r="I29" i="7"/>
  <c r="B68" i="4"/>
  <c r="R97" i="4"/>
  <c r="U69" i="4"/>
  <c r="V30" i="4"/>
  <c r="R96" i="4"/>
  <c r="I68" i="7"/>
  <c r="A49" i="6" a="1"/>
  <c r="J67" i="4"/>
  <c r="U67" i="4"/>
  <c r="J70" i="7"/>
  <c r="G24" i="5" a="1"/>
  <c r="E96" i="7"/>
  <c r="E94" i="4"/>
  <c r="J27" i="7"/>
  <c r="O29" i="4"/>
  <c r="I69" i="7"/>
  <c r="N29" i="4"/>
  <c r="A24" i="6" a="1"/>
  <c r="J69" i="4"/>
  <c r="U30" i="4"/>
  <c r="P68" i="4"/>
  <c r="I70" i="7"/>
  <c r="B69" i="7"/>
  <c r="J30" i="4"/>
  <c r="I27" i="7"/>
  <c r="I28" i="7"/>
  <c r="D68" i="4"/>
  <c r="U28" i="4"/>
  <c r="O68" i="4"/>
  <c r="E56" i="8"/>
  <c r="I30" i="4"/>
  <c r="U29" i="4"/>
  <c r="J29" i="4"/>
  <c r="C69" i="7"/>
  <c r="I67" i="4"/>
  <c r="R34" i="8"/>
  <c r="Q96" i="4"/>
  <c r="A75" i="6" a="1"/>
  <c r="B49" i="6" a="1"/>
  <c r="F94" i="4"/>
  <c r="C71" i="7" l="1"/>
  <c r="C70" i="4"/>
  <c r="G95" i="4"/>
  <c r="H95" i="4"/>
  <c r="O70" i="4"/>
  <c r="T97" i="4"/>
  <c r="S97" i="4"/>
  <c r="P34" i="8"/>
  <c r="P33" i="8"/>
  <c r="Q34" i="8"/>
  <c r="P35" i="8"/>
  <c r="S34" i="8"/>
  <c r="Q35" i="8"/>
  <c r="S33" i="8"/>
  <c r="S35" i="8"/>
  <c r="Q33" i="8"/>
  <c r="B30" i="7"/>
  <c r="D71" i="7"/>
  <c r="I56" i="8"/>
  <c r="I97" i="7"/>
  <c r="D70" i="4"/>
  <c r="I94" i="4"/>
  <c r="N31" i="4"/>
  <c r="P70" i="4"/>
  <c r="U96" i="4"/>
  <c r="C30" i="7"/>
  <c r="H56" i="8"/>
  <c r="G56" i="8"/>
  <c r="H97" i="7"/>
  <c r="G97" i="7"/>
  <c r="O31" i="4"/>
  <c r="D30" i="7"/>
  <c r="B71" i="7"/>
  <c r="I55" i="8"/>
  <c r="I96" i="7"/>
  <c r="B70" i="4"/>
  <c r="I95" i="4"/>
  <c r="P31" i="4"/>
  <c r="N70" i="4"/>
  <c r="U97" i="4"/>
  <c r="E30" i="4"/>
  <c r="E50" i="5"/>
  <c r="G50" i="5"/>
  <c r="F50" i="5"/>
  <c r="G24" i="5"/>
  <c r="E24" i="5"/>
  <c r="F24" i="5"/>
  <c r="G31" i="8"/>
  <c r="I31" i="8" s="1"/>
  <c r="H35" i="8"/>
  <c r="G29" i="8"/>
  <c r="I29" i="8" s="1"/>
  <c r="G30" i="8"/>
  <c r="H30" i="8" s="1"/>
  <c r="G35" i="8"/>
  <c r="D35" i="8"/>
  <c r="E35" i="8" s="1"/>
  <c r="F35" i="8" s="1"/>
  <c r="I35" i="8"/>
  <c r="H29" i="8"/>
  <c r="H31" i="8"/>
  <c r="A75" i="6"/>
  <c r="B75" i="6"/>
  <c r="C75" i="6"/>
  <c r="A49" i="6"/>
  <c r="B49" i="6"/>
  <c r="C49" i="6"/>
  <c r="C24" i="6"/>
  <c r="B24" i="6"/>
  <c r="A24" i="6"/>
  <c r="B31" i="4"/>
  <c r="C31" i="4"/>
  <c r="D31" i="4"/>
  <c r="E70" i="4" l="1"/>
  <c r="E71" i="4" s="1"/>
  <c r="E71" i="7"/>
  <c r="E72" i="7" s="1"/>
  <c r="Q70" i="4"/>
  <c r="Q71" i="4" s="1"/>
  <c r="Q31" i="4"/>
  <c r="Q32" i="4" s="1"/>
  <c r="E30" i="7"/>
  <c r="E31" i="7" s="1"/>
  <c r="I30" i="8"/>
  <c r="E31" i="4"/>
  <c r="E32" i="4" s="1"/>
  <c r="Q33" i="4"/>
  <c r="Q72" i="4"/>
  <c r="E33" i="4"/>
  <c r="E72" i="4"/>
  <c r="E73" i="7"/>
  <c r="E32" i="7"/>
  <c r="E75" i="7" l="1"/>
  <c r="E77" i="7" s="1"/>
  <c r="E74" i="4"/>
  <c r="E76" i="4" s="1"/>
  <c r="Q35" i="4"/>
  <c r="Q37" i="4" s="1"/>
  <c r="Q74" i="4"/>
  <c r="Q76" i="4" s="1"/>
  <c r="E34" i="7"/>
  <c r="E36" i="7" s="1"/>
  <c r="E35" i="4"/>
  <c r="E37" i="4" s="1"/>
  <c r="A24" i="5" l="1" a="1"/>
  <c r="B50" i="5" a="1"/>
  <c r="C50" i="5" a="1"/>
  <c r="B24" i="5" a="1"/>
  <c r="C24" i="5" a="1"/>
  <c r="A50" i="5" a="1"/>
  <c r="A50" i="5" l="1"/>
  <c r="C24" i="5"/>
  <c r="B24" i="5"/>
  <c r="C50" i="5"/>
  <c r="B50" i="5"/>
  <c r="A24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<sst xmlns="http://schemas.openxmlformats.org/spreadsheetml/2006/main" count="829" uniqueCount="116">
  <si>
    <t>recid</t>
  </si>
  <si>
    <t>chid</t>
  </si>
  <si>
    <t>doses</t>
  </si>
  <si>
    <t>avg_freq</t>
  </si>
  <si>
    <t>avg_instfreq</t>
  </si>
  <si>
    <t>avg_amp</t>
  </si>
  <si>
    <t>rec01</t>
  </si>
  <si>
    <t>c003_IN_2</t>
  </si>
  <si>
    <t>rec03</t>
  </si>
  <si>
    <t>c003_IN_5</t>
  </si>
  <si>
    <t>rec05</t>
  </si>
  <si>
    <t>c002_IN_2</t>
  </si>
  <si>
    <t>rec08</t>
  </si>
  <si>
    <t>rec10</t>
  </si>
  <si>
    <t>c002_IN_0</t>
  </si>
  <si>
    <t>rec13</t>
  </si>
  <si>
    <t>rec16</t>
  </si>
  <si>
    <t>rec17</t>
  </si>
  <si>
    <t>rec18</t>
  </si>
  <si>
    <t>rec20</t>
  </si>
  <si>
    <t>rec23</t>
  </si>
  <si>
    <t>rec28</t>
  </si>
  <si>
    <t>rec30</t>
  </si>
  <si>
    <t>rec31</t>
  </si>
  <si>
    <t>rec32</t>
  </si>
  <si>
    <t>rec33</t>
  </si>
  <si>
    <t>rec34</t>
  </si>
  <si>
    <t>rec36</t>
  </si>
  <si>
    <t>rec41</t>
  </si>
  <si>
    <t>rec42</t>
  </si>
  <si>
    <t>rec09</t>
  </si>
  <si>
    <t>rec11</t>
  </si>
  <si>
    <t>rec35</t>
  </si>
  <si>
    <t>rec37</t>
  </si>
  <si>
    <t>rec39</t>
  </si>
  <si>
    <t>rec40</t>
  </si>
  <si>
    <t>rec12</t>
  </si>
  <si>
    <t>rec15</t>
  </si>
  <si>
    <t>rec22</t>
  </si>
  <si>
    <t>rec27</t>
  </si>
  <si>
    <t>rec29</t>
  </si>
  <si>
    <t>Genotype</t>
  </si>
  <si>
    <t>Arrb2-het</t>
  </si>
  <si>
    <t>Arrb2-wt</t>
  </si>
  <si>
    <t>Arrb2-ko</t>
  </si>
  <si>
    <t>HET</t>
  </si>
  <si>
    <t>WT</t>
  </si>
  <si>
    <t>KO</t>
  </si>
  <si>
    <t>ANOVA: Single Factor</t>
  </si>
  <si>
    <t>DESCRIPTION</t>
  </si>
  <si>
    <t>Alpha</t>
  </si>
  <si>
    <t>Group</t>
  </si>
  <si>
    <t>Count</t>
  </si>
  <si>
    <t>Sum</t>
  </si>
  <si>
    <t>Mean</t>
  </si>
  <si>
    <t>Variance</t>
  </si>
  <si>
    <t>SS</t>
  </si>
  <si>
    <t>Std Err</t>
  </si>
  <si>
    <t>Lower</t>
  </si>
  <si>
    <t>Upper</t>
  </si>
  <si>
    <t>ANOVA</t>
  </si>
  <si>
    <t>Sources</t>
  </si>
  <si>
    <t>df</t>
  </si>
  <si>
    <t>MS</t>
  </si>
  <si>
    <t>F</t>
  </si>
  <si>
    <t>P value</t>
  </si>
  <si>
    <t>Eta-sq</t>
  </si>
  <si>
    <t>RMSSE</t>
  </si>
  <si>
    <t>Omega Sq</t>
  </si>
  <si>
    <t>Between Groups</t>
  </si>
  <si>
    <t>Within Groups</t>
  </si>
  <si>
    <t>Total</t>
  </si>
  <si>
    <t>TUKEY HSD/KRAMER</t>
  </si>
  <si>
    <t>alpha</t>
  </si>
  <si>
    <t>group</t>
  </si>
  <si>
    <t>mean</t>
  </si>
  <si>
    <t>n</t>
  </si>
  <si>
    <t>ss</t>
  </si>
  <si>
    <t>q-crit</t>
  </si>
  <si>
    <t>Q TEST</t>
  </si>
  <si>
    <t>group 1</t>
  </si>
  <si>
    <t>group 2</t>
  </si>
  <si>
    <t>std err</t>
  </si>
  <si>
    <t>q-stat</t>
  </si>
  <si>
    <t>lower</t>
  </si>
  <si>
    <t>upper</t>
  </si>
  <si>
    <t>p-value</t>
  </si>
  <si>
    <t>mean-crit</t>
  </si>
  <si>
    <t>Cohen d</t>
  </si>
  <si>
    <t>20 nM DAMGO</t>
  </si>
  <si>
    <t>50nM DAMGO</t>
  </si>
  <si>
    <t>Kruskal-Wallis Test</t>
  </si>
  <si>
    <t>median</t>
  </si>
  <si>
    <t>rank sum</t>
  </si>
  <si>
    <t>count</t>
  </si>
  <si>
    <t>r^2/n</t>
  </si>
  <si>
    <t>H-stat</t>
  </si>
  <si>
    <t>H-ties</t>
  </si>
  <si>
    <t>sig</t>
  </si>
  <si>
    <t>Pairwise Mann-Whitney tests</t>
  </si>
  <si>
    <t>U-stat</t>
  </si>
  <si>
    <t>0nM DAMGO</t>
  </si>
  <si>
    <t>20nM DAMGO</t>
  </si>
  <si>
    <t>T Test: Two Independent Samples</t>
  </si>
  <si>
    <t>SUMMARY</t>
  </si>
  <si>
    <t>Hyp Mean Diff</t>
  </si>
  <si>
    <t>Groups</t>
  </si>
  <si>
    <t>Pooled</t>
  </si>
  <si>
    <t>T TEST: Equal Variances</t>
  </si>
  <si>
    <t xml:space="preserve"> </t>
  </si>
  <si>
    <t>t-stat</t>
  </si>
  <si>
    <t>t-crit</t>
  </si>
  <si>
    <t>effect r</t>
  </si>
  <si>
    <t>One Tail</t>
  </si>
  <si>
    <t>Two Tail</t>
  </si>
  <si>
    <t>T TEST: Unequal Variances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</si>
</sst>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0" fillId="2" borderId="0" xfId="0" applyFill="1"/>
    <xf numFmtId="0" fontId="0" fillId="3" borderId="0" xfId="0" applyFill="1"/>
    <xf numFmtId="0" fontId="2" fillId="2" borderId="0" xfId="0" applyFont="1" applyFill="1"/>
    <xf numFmtId="0" fontId="2" fillId="3" borderId="0" xfId="0" applyFont="1" applyFill="1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horizontal="right"/>
    </xf>
    <xf numFmtId="0" fontId="0" fillId="2" borderId="13" xfId="0" applyFill="1" applyBorder="1"/>
    <xf numFmtId="0" fontId="0" fillId="3" borderId="13" xfId="0" applyFill="1" applyBorder="1"/>
    <xf numFmtId="0" fontId="0" fillId="2" borderId="3" xfId="0" applyFill="1" applyBorder="1"/>
    <xf numFmtId="0" fontId="0" fillId="2" borderId="2" xfId="0" applyFill="1" applyBorder="1"/>
    <xf numFmtId="0" fontId="0" fillId="2" borderId="0" xfId="0" applyFill="1" applyBorder="1"/>
    <xf numFmtId="0" fontId="2" fillId="0" borderId="0" xfId="0" applyFont="1" applyFill="1"/>
    <xf numFmtId="0" fontId="0" fillId="0" borderId="0" xfId="0" applyAlignment="1">
      <alignment horizont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4" borderId="0" xfId="0" applyFill="1"/>
    <xf numFmtId="0" fontId="0" fillId="4" borderId="3" xfId="0" applyFill="1" applyBorder="1"/>
    <xf numFmtId="0" fontId="0" fillId="4" borderId="1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evinyackle/Documents/XRealStats-Mac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Sig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Prime"/>
    </sheetNames>
    <definedNames>
      <definedName name="MANN"/>
      <definedName name="MWTEST"/>
      <definedName name="QCRIT"/>
      <definedName name="QDIST"/>
      <definedName name="RANK_SUM"/>
      <definedName name="SWTEST"/>
      <definedName name="T_DIST_2T"/>
      <definedName name="T_DIST_RT"/>
      <definedName name="T_INV"/>
      <definedName name="T_INV_2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D8595-ED23-42A9-B3D7-107833BB6447}">
  <dimension ref="A1:I95"/>
  <sheetViews>
    <sheetView zoomScale="134" zoomScaleNormal="134" workbookViewId="0">
      <selection activeCell="G38" sqref="G38"/>
    </sheetView>
  </sheetViews>
  <sheetFormatPr baseColWidth="10" defaultColWidth="8.83203125" defaultRowHeight="15" x14ac:dyDescent="0.2"/>
  <cols>
    <col min="7" max="7" width="17.5" bestFit="1" customWidth="1"/>
  </cols>
  <sheetData>
    <row r="1" spans="1:9" x14ac:dyDescent="0.2">
      <c r="A1" t="s">
        <v>41</v>
      </c>
      <c r="B1" t="s">
        <v>0</v>
      </c>
      <c r="C1" t="s">
        <v>2</v>
      </c>
      <c r="D1" t="s">
        <v>3</v>
      </c>
      <c r="E1" t="s">
        <v>4</v>
      </c>
      <c r="F1" t="s">
        <v>5</v>
      </c>
      <c r="G1" s="27"/>
    </row>
    <row r="2" spans="1:9" x14ac:dyDescent="0.2">
      <c r="A2" t="s">
        <v>42</v>
      </c>
      <c r="B2" t="s">
        <v>6</v>
      </c>
      <c r="C2">
        <v>0</v>
      </c>
      <c r="D2">
        <v>1</v>
      </c>
      <c r="E2">
        <v>1</v>
      </c>
      <c r="F2">
        <v>1</v>
      </c>
      <c r="G2" s="27"/>
      <c r="H2" s="9"/>
      <c r="I2" s="9"/>
    </row>
    <row r="3" spans="1:9" x14ac:dyDescent="0.2">
      <c r="A3" t="s">
        <v>42</v>
      </c>
      <c r="B3" t="s">
        <v>8</v>
      </c>
      <c r="C3">
        <v>0</v>
      </c>
      <c r="D3">
        <v>1</v>
      </c>
      <c r="E3">
        <v>1</v>
      </c>
      <c r="F3">
        <v>1</v>
      </c>
      <c r="G3" s="27"/>
      <c r="H3" s="9"/>
      <c r="I3" s="9"/>
    </row>
    <row r="4" spans="1:9" x14ac:dyDescent="0.2">
      <c r="A4" t="s">
        <v>42</v>
      </c>
      <c r="B4" t="s">
        <v>10</v>
      </c>
      <c r="C4">
        <v>0</v>
      </c>
      <c r="D4">
        <v>1</v>
      </c>
      <c r="E4">
        <v>1</v>
      </c>
      <c r="F4">
        <v>1</v>
      </c>
      <c r="G4" s="27"/>
      <c r="H4" s="9"/>
      <c r="I4" s="9"/>
    </row>
    <row r="5" spans="1:9" x14ac:dyDescent="0.2">
      <c r="A5" t="s">
        <v>42</v>
      </c>
      <c r="B5" t="s">
        <v>12</v>
      </c>
      <c r="C5">
        <v>0</v>
      </c>
      <c r="D5">
        <v>1</v>
      </c>
      <c r="E5">
        <v>1</v>
      </c>
      <c r="F5">
        <v>1</v>
      </c>
      <c r="G5" s="27"/>
      <c r="H5" s="9"/>
      <c r="I5" s="9"/>
    </row>
    <row r="6" spans="1:9" x14ac:dyDescent="0.2">
      <c r="A6" t="s">
        <v>42</v>
      </c>
      <c r="B6" t="s">
        <v>13</v>
      </c>
      <c r="C6">
        <v>0</v>
      </c>
      <c r="D6">
        <v>1</v>
      </c>
      <c r="E6">
        <v>1</v>
      </c>
      <c r="F6">
        <v>1</v>
      </c>
      <c r="G6" s="27"/>
      <c r="H6" s="9"/>
      <c r="I6" s="9"/>
    </row>
    <row r="7" spans="1:9" x14ac:dyDescent="0.2">
      <c r="A7" t="s">
        <v>42</v>
      </c>
      <c r="B7" t="s">
        <v>15</v>
      </c>
      <c r="C7">
        <v>0</v>
      </c>
      <c r="D7">
        <v>1</v>
      </c>
      <c r="E7">
        <v>1</v>
      </c>
      <c r="F7">
        <v>1</v>
      </c>
      <c r="G7" s="27"/>
      <c r="H7" s="9"/>
      <c r="I7" s="9"/>
    </row>
    <row r="8" spans="1:9" x14ac:dyDescent="0.2">
      <c r="A8" t="s">
        <v>42</v>
      </c>
      <c r="B8" t="s">
        <v>16</v>
      </c>
      <c r="C8">
        <v>0</v>
      </c>
      <c r="D8">
        <v>1</v>
      </c>
      <c r="E8">
        <v>1</v>
      </c>
      <c r="F8">
        <v>1</v>
      </c>
      <c r="G8" s="27"/>
    </row>
    <row r="9" spans="1:9" x14ac:dyDescent="0.2">
      <c r="A9" t="s">
        <v>42</v>
      </c>
      <c r="B9" t="s">
        <v>17</v>
      </c>
      <c r="C9">
        <v>0</v>
      </c>
      <c r="D9">
        <v>1</v>
      </c>
      <c r="E9">
        <v>1</v>
      </c>
      <c r="F9">
        <v>1</v>
      </c>
      <c r="G9" s="27"/>
    </row>
    <row r="10" spans="1:9" x14ac:dyDescent="0.2">
      <c r="A10" t="s">
        <v>42</v>
      </c>
      <c r="B10" t="s">
        <v>18</v>
      </c>
      <c r="C10">
        <v>0</v>
      </c>
      <c r="D10">
        <v>1</v>
      </c>
      <c r="E10">
        <v>1</v>
      </c>
      <c r="F10">
        <v>1</v>
      </c>
      <c r="G10" s="27"/>
    </row>
    <row r="11" spans="1:9" x14ac:dyDescent="0.2">
      <c r="A11" t="s">
        <v>42</v>
      </c>
      <c r="B11" t="s">
        <v>19</v>
      </c>
      <c r="C11">
        <v>0</v>
      </c>
      <c r="D11">
        <v>1</v>
      </c>
      <c r="E11">
        <v>1</v>
      </c>
      <c r="F11">
        <v>1</v>
      </c>
      <c r="G11" s="27"/>
    </row>
    <row r="12" spans="1:9" x14ac:dyDescent="0.2">
      <c r="A12" t="s">
        <v>42</v>
      </c>
      <c r="B12" t="s">
        <v>20</v>
      </c>
      <c r="C12">
        <v>0</v>
      </c>
      <c r="D12">
        <v>1</v>
      </c>
      <c r="E12">
        <v>1</v>
      </c>
      <c r="F12">
        <v>1</v>
      </c>
      <c r="G12" s="27"/>
    </row>
    <row r="13" spans="1:9" x14ac:dyDescent="0.2">
      <c r="A13" t="s">
        <v>42</v>
      </c>
      <c r="B13" t="s">
        <v>21</v>
      </c>
      <c r="C13">
        <v>0</v>
      </c>
      <c r="D13">
        <v>1</v>
      </c>
      <c r="E13">
        <v>1</v>
      </c>
      <c r="F13">
        <v>1</v>
      </c>
      <c r="G13" s="27"/>
    </row>
    <row r="14" spans="1:9" x14ac:dyDescent="0.2">
      <c r="A14" t="s">
        <v>42</v>
      </c>
      <c r="B14" t="s">
        <v>22</v>
      </c>
      <c r="C14">
        <v>0</v>
      </c>
      <c r="D14">
        <v>1</v>
      </c>
      <c r="E14">
        <v>1</v>
      </c>
      <c r="F14">
        <v>1</v>
      </c>
      <c r="G14" s="27"/>
    </row>
    <row r="15" spans="1:9" x14ac:dyDescent="0.2">
      <c r="A15" t="s">
        <v>42</v>
      </c>
      <c r="B15" t="s">
        <v>23</v>
      </c>
      <c r="C15">
        <v>0</v>
      </c>
      <c r="D15">
        <v>1</v>
      </c>
      <c r="E15">
        <v>1</v>
      </c>
      <c r="F15">
        <v>1</v>
      </c>
      <c r="G15" s="27"/>
    </row>
    <row r="16" spans="1:9" x14ac:dyDescent="0.2">
      <c r="A16" t="s">
        <v>42</v>
      </c>
      <c r="B16" t="s">
        <v>24</v>
      </c>
      <c r="C16">
        <v>0</v>
      </c>
      <c r="D16">
        <v>1</v>
      </c>
      <c r="E16">
        <v>1</v>
      </c>
      <c r="F16">
        <v>1</v>
      </c>
      <c r="G16" s="27"/>
    </row>
    <row r="17" spans="1:7" x14ac:dyDescent="0.2">
      <c r="A17" t="s">
        <v>42</v>
      </c>
      <c r="B17" t="s">
        <v>25</v>
      </c>
      <c r="C17">
        <v>0</v>
      </c>
      <c r="D17">
        <v>1</v>
      </c>
      <c r="E17">
        <v>1</v>
      </c>
      <c r="F17">
        <v>1</v>
      </c>
      <c r="G17" s="27"/>
    </row>
    <row r="18" spans="1:7" x14ac:dyDescent="0.2">
      <c r="A18" t="s">
        <v>42</v>
      </c>
      <c r="B18" t="s">
        <v>26</v>
      </c>
      <c r="C18">
        <v>0</v>
      </c>
      <c r="D18">
        <v>1</v>
      </c>
      <c r="E18">
        <v>1</v>
      </c>
      <c r="F18">
        <v>1</v>
      </c>
      <c r="G18" s="27"/>
    </row>
    <row r="19" spans="1:7" x14ac:dyDescent="0.2">
      <c r="A19" t="s">
        <v>42</v>
      </c>
      <c r="B19" t="s">
        <v>27</v>
      </c>
      <c r="C19">
        <v>0</v>
      </c>
      <c r="D19">
        <v>1</v>
      </c>
      <c r="E19">
        <v>1</v>
      </c>
      <c r="F19">
        <v>1</v>
      </c>
      <c r="G19" s="27"/>
    </row>
    <row r="20" spans="1:7" x14ac:dyDescent="0.2">
      <c r="A20" t="s">
        <v>42</v>
      </c>
      <c r="B20" t="s">
        <v>28</v>
      </c>
      <c r="C20">
        <v>0</v>
      </c>
      <c r="D20">
        <v>1</v>
      </c>
      <c r="E20">
        <v>1</v>
      </c>
      <c r="F20">
        <v>1</v>
      </c>
      <c r="G20" s="27"/>
    </row>
    <row r="21" spans="1:7" x14ac:dyDescent="0.2">
      <c r="A21" t="s">
        <v>42</v>
      </c>
      <c r="B21" t="s">
        <v>29</v>
      </c>
      <c r="C21">
        <v>0</v>
      </c>
      <c r="D21">
        <v>1</v>
      </c>
      <c r="E21">
        <v>1</v>
      </c>
      <c r="F21">
        <v>1</v>
      </c>
      <c r="G21" s="27"/>
    </row>
    <row r="22" spans="1:7" x14ac:dyDescent="0.2">
      <c r="A22" t="s">
        <v>44</v>
      </c>
      <c r="B22" t="s">
        <v>30</v>
      </c>
      <c r="C22">
        <v>0</v>
      </c>
      <c r="D22">
        <v>1</v>
      </c>
      <c r="E22">
        <v>1</v>
      </c>
      <c r="F22">
        <v>1</v>
      </c>
      <c r="G22" s="27"/>
    </row>
    <row r="23" spans="1:7" x14ac:dyDescent="0.2">
      <c r="A23" t="s">
        <v>44</v>
      </c>
      <c r="B23" t="s">
        <v>31</v>
      </c>
      <c r="C23">
        <v>0</v>
      </c>
      <c r="D23">
        <v>1</v>
      </c>
      <c r="E23">
        <v>1</v>
      </c>
      <c r="F23">
        <v>1</v>
      </c>
      <c r="G23" s="27"/>
    </row>
    <row r="24" spans="1:7" x14ac:dyDescent="0.2">
      <c r="A24" t="s">
        <v>44</v>
      </c>
      <c r="B24" t="s">
        <v>32</v>
      </c>
      <c r="C24">
        <v>0</v>
      </c>
      <c r="D24">
        <v>1</v>
      </c>
      <c r="E24">
        <v>1</v>
      </c>
      <c r="F24">
        <v>1</v>
      </c>
      <c r="G24" s="27"/>
    </row>
    <row r="25" spans="1:7" x14ac:dyDescent="0.2">
      <c r="A25" t="s">
        <v>44</v>
      </c>
      <c r="B25" t="s">
        <v>33</v>
      </c>
      <c r="C25">
        <v>0</v>
      </c>
      <c r="D25">
        <v>1</v>
      </c>
      <c r="E25">
        <v>1</v>
      </c>
      <c r="F25">
        <v>1</v>
      </c>
      <c r="G25" s="27"/>
    </row>
    <row r="26" spans="1:7" x14ac:dyDescent="0.2">
      <c r="A26" t="s">
        <v>44</v>
      </c>
      <c r="B26" t="s">
        <v>34</v>
      </c>
      <c r="C26">
        <v>0</v>
      </c>
      <c r="D26">
        <v>1</v>
      </c>
      <c r="E26">
        <v>1</v>
      </c>
      <c r="F26">
        <v>1</v>
      </c>
      <c r="G26" s="27"/>
    </row>
    <row r="27" spans="1:7" x14ac:dyDescent="0.2">
      <c r="A27" t="s">
        <v>44</v>
      </c>
      <c r="B27" t="s">
        <v>35</v>
      </c>
      <c r="C27">
        <v>0</v>
      </c>
      <c r="D27">
        <v>1</v>
      </c>
      <c r="E27">
        <v>1</v>
      </c>
      <c r="F27">
        <v>1</v>
      </c>
      <c r="G27" s="27"/>
    </row>
    <row r="28" spans="1:7" x14ac:dyDescent="0.2">
      <c r="A28" t="s">
        <v>43</v>
      </c>
      <c r="B28" t="s">
        <v>36</v>
      </c>
      <c r="C28">
        <v>0</v>
      </c>
      <c r="D28">
        <v>1</v>
      </c>
      <c r="E28">
        <v>1</v>
      </c>
      <c r="F28">
        <v>1</v>
      </c>
      <c r="G28" s="27"/>
    </row>
    <row r="29" spans="1:7" x14ac:dyDescent="0.2">
      <c r="A29" t="s">
        <v>43</v>
      </c>
      <c r="B29" t="s">
        <v>37</v>
      </c>
      <c r="C29">
        <v>0</v>
      </c>
      <c r="D29">
        <v>1</v>
      </c>
      <c r="E29">
        <v>1</v>
      </c>
      <c r="F29">
        <v>1</v>
      </c>
      <c r="G29" s="27"/>
    </row>
    <row r="30" spans="1:7" x14ac:dyDescent="0.2">
      <c r="A30" t="s">
        <v>43</v>
      </c>
      <c r="B30" t="s">
        <v>38</v>
      </c>
      <c r="C30">
        <v>0</v>
      </c>
      <c r="D30">
        <v>1</v>
      </c>
      <c r="E30">
        <v>1</v>
      </c>
      <c r="F30">
        <v>1</v>
      </c>
      <c r="G30" s="27"/>
    </row>
    <row r="31" spans="1:7" x14ac:dyDescent="0.2">
      <c r="A31" t="s">
        <v>43</v>
      </c>
      <c r="B31" t="s">
        <v>39</v>
      </c>
      <c r="C31">
        <v>0</v>
      </c>
      <c r="D31">
        <v>1</v>
      </c>
      <c r="E31">
        <v>1</v>
      </c>
      <c r="F31">
        <v>1</v>
      </c>
      <c r="G31" s="27"/>
    </row>
    <row r="32" spans="1:7" x14ac:dyDescent="0.2">
      <c r="A32" t="s">
        <v>43</v>
      </c>
      <c r="B32" t="s">
        <v>40</v>
      </c>
      <c r="C32">
        <v>0</v>
      </c>
      <c r="D32">
        <v>1</v>
      </c>
      <c r="E32">
        <v>1</v>
      </c>
      <c r="F32">
        <v>1</v>
      </c>
      <c r="G32" s="27"/>
    </row>
    <row r="33" spans="1:7" x14ac:dyDescent="0.2">
      <c r="A33" t="s">
        <v>42</v>
      </c>
      <c r="B33" t="s">
        <v>6</v>
      </c>
      <c r="C33">
        <v>20</v>
      </c>
      <c r="D33">
        <v>6.8966E-2</v>
      </c>
      <c r="E33">
        <v>1.2476</v>
      </c>
      <c r="F33">
        <v>2.4842</v>
      </c>
      <c r="G33" s="27"/>
    </row>
    <row r="34" spans="1:7" x14ac:dyDescent="0.2">
      <c r="A34" t="s">
        <v>42</v>
      </c>
      <c r="B34" t="s">
        <v>8</v>
      </c>
      <c r="C34">
        <v>20</v>
      </c>
      <c r="D34">
        <v>0.54347999999999996</v>
      </c>
      <c r="E34">
        <v>1.0570999999999999</v>
      </c>
      <c r="F34">
        <v>0.78163000000000005</v>
      </c>
      <c r="G34" s="27"/>
    </row>
    <row r="35" spans="1:7" x14ac:dyDescent="0.2">
      <c r="A35" t="s">
        <v>42</v>
      </c>
      <c r="B35" t="s">
        <v>10</v>
      </c>
      <c r="C35">
        <v>20</v>
      </c>
      <c r="D35">
        <v>0.25</v>
      </c>
      <c r="E35">
        <v>0.18631</v>
      </c>
      <c r="F35">
        <v>0.86173</v>
      </c>
      <c r="G35" s="27"/>
    </row>
    <row r="36" spans="1:7" x14ac:dyDescent="0.2">
      <c r="A36" t="s">
        <v>42</v>
      </c>
      <c r="B36" t="s">
        <v>12</v>
      </c>
      <c r="C36">
        <v>20</v>
      </c>
      <c r="D36">
        <v>9.0909000000000004E-2</v>
      </c>
      <c r="E36">
        <v>0.19597000000000001</v>
      </c>
      <c r="F36">
        <v>1.1911</v>
      </c>
      <c r="G36" s="27"/>
    </row>
    <row r="37" spans="1:7" x14ac:dyDescent="0.2">
      <c r="A37" t="s">
        <v>42</v>
      </c>
      <c r="B37" t="s">
        <v>13</v>
      </c>
      <c r="C37">
        <v>20</v>
      </c>
      <c r="D37">
        <v>0.44</v>
      </c>
      <c r="E37">
        <v>0.41082000000000002</v>
      </c>
      <c r="F37">
        <v>0.90956000000000004</v>
      </c>
      <c r="G37" s="27"/>
    </row>
    <row r="38" spans="1:7" x14ac:dyDescent="0.2">
      <c r="A38" t="s">
        <v>42</v>
      </c>
      <c r="B38" t="s">
        <v>15</v>
      </c>
      <c r="C38">
        <v>20</v>
      </c>
      <c r="D38">
        <v>0</v>
      </c>
      <c r="E38">
        <v>0</v>
      </c>
      <c r="F38">
        <v>0</v>
      </c>
      <c r="G38" s="27"/>
    </row>
    <row r="39" spans="1:7" x14ac:dyDescent="0.2">
      <c r="A39" t="s">
        <v>42</v>
      </c>
      <c r="B39" t="s">
        <v>16</v>
      </c>
      <c r="C39">
        <v>20</v>
      </c>
      <c r="D39">
        <v>2.9412000000000001E-2</v>
      </c>
      <c r="E39">
        <v>4.4001999999999999E-2</v>
      </c>
      <c r="F39">
        <v>1.0973999999999999</v>
      </c>
      <c r="G39" s="27"/>
    </row>
    <row r="40" spans="1:7" x14ac:dyDescent="0.2">
      <c r="A40" t="s">
        <v>42</v>
      </c>
      <c r="B40" t="s">
        <v>17</v>
      </c>
      <c r="C40">
        <v>20</v>
      </c>
      <c r="D40">
        <v>0.30303000000000002</v>
      </c>
      <c r="E40">
        <v>0.52458000000000005</v>
      </c>
      <c r="F40">
        <v>0.99682000000000004</v>
      </c>
      <c r="G40" s="27"/>
    </row>
    <row r="41" spans="1:7" x14ac:dyDescent="0.2">
      <c r="A41" t="s">
        <v>42</v>
      </c>
      <c r="B41" t="s">
        <v>18</v>
      </c>
      <c r="C41">
        <v>20</v>
      </c>
      <c r="D41">
        <v>0.52778000000000003</v>
      </c>
      <c r="E41">
        <v>0.49301</v>
      </c>
      <c r="F41">
        <v>1.0528</v>
      </c>
      <c r="G41" s="27"/>
    </row>
    <row r="42" spans="1:7" x14ac:dyDescent="0.2">
      <c r="A42" t="s">
        <v>42</v>
      </c>
      <c r="B42" t="s">
        <v>19</v>
      </c>
      <c r="C42">
        <v>20</v>
      </c>
      <c r="D42">
        <v>0.125</v>
      </c>
      <c r="E42">
        <v>0.25333</v>
      </c>
      <c r="F42">
        <v>1.0221</v>
      </c>
      <c r="G42" s="27"/>
    </row>
    <row r="43" spans="1:7" x14ac:dyDescent="0.2">
      <c r="A43" t="s">
        <v>42</v>
      </c>
      <c r="B43" t="s">
        <v>20</v>
      </c>
      <c r="C43">
        <v>20</v>
      </c>
      <c r="D43">
        <v>5.5556000000000001E-2</v>
      </c>
      <c r="E43">
        <v>2.358E-2</v>
      </c>
      <c r="F43">
        <v>1.0387999999999999</v>
      </c>
      <c r="G43" s="27"/>
    </row>
    <row r="44" spans="1:7" x14ac:dyDescent="0.2">
      <c r="A44" t="s">
        <v>42</v>
      </c>
      <c r="B44" t="s">
        <v>21</v>
      </c>
      <c r="C44">
        <v>20</v>
      </c>
      <c r="D44">
        <v>0.48</v>
      </c>
      <c r="E44">
        <v>0.34794000000000003</v>
      </c>
      <c r="F44">
        <v>1.0291999999999999</v>
      </c>
      <c r="G44" s="27"/>
    </row>
    <row r="45" spans="1:7" x14ac:dyDescent="0.2">
      <c r="A45" t="s">
        <v>42</v>
      </c>
      <c r="B45" t="s">
        <v>22</v>
      </c>
      <c r="C45">
        <v>20</v>
      </c>
      <c r="D45">
        <v>0.55262999999999995</v>
      </c>
      <c r="E45">
        <v>0.6764</v>
      </c>
      <c r="F45">
        <v>1.024</v>
      </c>
      <c r="G45" s="27"/>
    </row>
    <row r="46" spans="1:7" x14ac:dyDescent="0.2">
      <c r="A46" t="s">
        <v>42</v>
      </c>
      <c r="B46" t="s">
        <v>23</v>
      </c>
      <c r="C46">
        <v>20</v>
      </c>
      <c r="D46">
        <v>0.34615000000000001</v>
      </c>
      <c r="E46">
        <v>0.52698999999999996</v>
      </c>
      <c r="F46">
        <v>1.1364000000000001</v>
      </c>
      <c r="G46" s="27"/>
    </row>
    <row r="47" spans="1:7" x14ac:dyDescent="0.2">
      <c r="A47" t="s">
        <v>42</v>
      </c>
      <c r="B47" t="s">
        <v>24</v>
      </c>
      <c r="C47">
        <v>20</v>
      </c>
      <c r="D47">
        <v>0.44828000000000001</v>
      </c>
      <c r="E47">
        <v>0.89078999999999997</v>
      </c>
      <c r="F47">
        <v>1.0149999999999999</v>
      </c>
      <c r="G47" s="27"/>
    </row>
    <row r="48" spans="1:7" x14ac:dyDescent="0.2">
      <c r="A48" t="s">
        <v>42</v>
      </c>
      <c r="B48" t="s">
        <v>25</v>
      </c>
      <c r="C48">
        <v>20</v>
      </c>
      <c r="D48">
        <v>0</v>
      </c>
      <c r="E48">
        <v>0</v>
      </c>
      <c r="F48">
        <v>0</v>
      </c>
      <c r="G48" s="27"/>
    </row>
    <row r="49" spans="1:7" x14ac:dyDescent="0.2">
      <c r="A49" t="s">
        <v>42</v>
      </c>
      <c r="B49" t="s">
        <v>26</v>
      </c>
      <c r="C49">
        <v>20</v>
      </c>
      <c r="D49">
        <v>0.70587999999999995</v>
      </c>
      <c r="E49">
        <v>1.1073999999999999</v>
      </c>
      <c r="F49">
        <v>0.59041999999999994</v>
      </c>
      <c r="G49" s="27"/>
    </row>
    <row r="50" spans="1:7" x14ac:dyDescent="0.2">
      <c r="A50" t="s">
        <v>42</v>
      </c>
      <c r="B50" t="s">
        <v>27</v>
      </c>
      <c r="C50">
        <v>20</v>
      </c>
      <c r="D50">
        <v>0.67647000000000002</v>
      </c>
      <c r="E50">
        <v>0.82969999999999999</v>
      </c>
      <c r="F50">
        <v>0.91069999999999995</v>
      </c>
      <c r="G50" s="27"/>
    </row>
    <row r="51" spans="1:7" x14ac:dyDescent="0.2">
      <c r="A51" t="s">
        <v>42</v>
      </c>
      <c r="B51" t="s">
        <v>28</v>
      </c>
      <c r="C51">
        <v>20</v>
      </c>
      <c r="D51">
        <v>0.52632000000000001</v>
      </c>
      <c r="E51">
        <v>0.27215</v>
      </c>
      <c r="F51">
        <v>0.90053000000000005</v>
      </c>
      <c r="G51" s="27"/>
    </row>
    <row r="52" spans="1:7" x14ac:dyDescent="0.2">
      <c r="A52" t="s">
        <v>42</v>
      </c>
      <c r="B52" t="s">
        <v>29</v>
      </c>
      <c r="C52">
        <v>20</v>
      </c>
      <c r="D52">
        <v>0.16667000000000001</v>
      </c>
      <c r="E52">
        <v>0.10997</v>
      </c>
      <c r="F52">
        <v>1.1702999999999999</v>
      </c>
      <c r="G52" s="27"/>
    </row>
    <row r="53" spans="1:7" x14ac:dyDescent="0.2">
      <c r="A53" t="s">
        <v>44</v>
      </c>
      <c r="B53" t="s">
        <v>30</v>
      </c>
      <c r="C53">
        <v>20</v>
      </c>
      <c r="D53">
        <v>0</v>
      </c>
      <c r="E53">
        <v>0</v>
      </c>
      <c r="F53">
        <v>0</v>
      </c>
      <c r="G53" s="27"/>
    </row>
    <row r="54" spans="1:7" x14ac:dyDescent="0.2">
      <c r="A54" t="s">
        <v>44</v>
      </c>
      <c r="B54" t="s">
        <v>31</v>
      </c>
      <c r="C54">
        <v>20</v>
      </c>
      <c r="D54">
        <v>0.19444</v>
      </c>
      <c r="E54">
        <v>0.42785000000000001</v>
      </c>
      <c r="F54">
        <v>1.0412999999999999</v>
      </c>
      <c r="G54" s="27"/>
    </row>
    <row r="55" spans="1:7" x14ac:dyDescent="0.2">
      <c r="A55" t="s">
        <v>44</v>
      </c>
      <c r="B55" t="s">
        <v>32</v>
      </c>
      <c r="C55">
        <v>20</v>
      </c>
      <c r="D55">
        <v>0</v>
      </c>
      <c r="E55">
        <v>0</v>
      </c>
      <c r="F55">
        <v>0</v>
      </c>
      <c r="G55" s="27"/>
    </row>
    <row r="56" spans="1:7" x14ac:dyDescent="0.2">
      <c r="A56" t="s">
        <v>44</v>
      </c>
      <c r="B56" t="s">
        <v>33</v>
      </c>
      <c r="C56">
        <v>20</v>
      </c>
      <c r="D56">
        <v>0</v>
      </c>
      <c r="E56">
        <v>0</v>
      </c>
      <c r="F56">
        <v>0</v>
      </c>
      <c r="G56" s="27"/>
    </row>
    <row r="57" spans="1:7" x14ac:dyDescent="0.2">
      <c r="A57" t="s">
        <v>44</v>
      </c>
      <c r="B57" t="s">
        <v>34</v>
      </c>
      <c r="C57">
        <v>20</v>
      </c>
      <c r="D57">
        <v>0</v>
      </c>
      <c r="E57">
        <v>0</v>
      </c>
      <c r="F57">
        <v>0</v>
      </c>
      <c r="G57" s="27"/>
    </row>
    <row r="58" spans="1:7" x14ac:dyDescent="0.2">
      <c r="A58" t="s">
        <v>44</v>
      </c>
      <c r="B58" t="s">
        <v>35</v>
      </c>
      <c r="C58">
        <v>20</v>
      </c>
      <c r="D58">
        <v>0.22727</v>
      </c>
      <c r="E58">
        <v>0.31585000000000002</v>
      </c>
      <c r="F58">
        <v>0.84565999999999997</v>
      </c>
      <c r="G58" s="27"/>
    </row>
    <row r="59" spans="1:7" x14ac:dyDescent="0.2">
      <c r="A59" t="s">
        <v>43</v>
      </c>
      <c r="B59" t="s">
        <v>36</v>
      </c>
      <c r="C59">
        <v>20</v>
      </c>
      <c r="D59">
        <v>0.25</v>
      </c>
      <c r="E59">
        <v>0.38746999999999998</v>
      </c>
      <c r="F59">
        <v>0.73943000000000003</v>
      </c>
      <c r="G59" s="27"/>
    </row>
    <row r="60" spans="1:7" x14ac:dyDescent="0.2">
      <c r="A60" t="s">
        <v>43</v>
      </c>
      <c r="B60" t="s">
        <v>37</v>
      </c>
      <c r="C60">
        <v>20</v>
      </c>
      <c r="D60">
        <v>0</v>
      </c>
      <c r="E60">
        <v>0</v>
      </c>
      <c r="F60">
        <v>0</v>
      </c>
      <c r="G60" s="27"/>
    </row>
    <row r="61" spans="1:7" x14ac:dyDescent="0.2">
      <c r="A61" t="s">
        <v>43</v>
      </c>
      <c r="B61" t="s">
        <v>38</v>
      </c>
      <c r="C61">
        <v>20</v>
      </c>
      <c r="D61">
        <v>0.45882000000000001</v>
      </c>
      <c r="E61">
        <v>0.44552999999999998</v>
      </c>
      <c r="F61">
        <v>0.55379</v>
      </c>
      <c r="G61" s="27"/>
    </row>
    <row r="62" spans="1:7" x14ac:dyDescent="0.2">
      <c r="A62" t="s">
        <v>43</v>
      </c>
      <c r="B62" t="s">
        <v>39</v>
      </c>
      <c r="C62">
        <v>20</v>
      </c>
      <c r="D62">
        <v>2.7026999999999999E-2</v>
      </c>
      <c r="E62">
        <v>1.0090999999999999E-2</v>
      </c>
      <c r="F62">
        <v>0.77314000000000005</v>
      </c>
      <c r="G62" s="27"/>
    </row>
    <row r="63" spans="1:7" x14ac:dyDescent="0.2">
      <c r="A63" t="s">
        <v>43</v>
      </c>
      <c r="B63" t="s">
        <v>40</v>
      </c>
      <c r="C63">
        <v>20</v>
      </c>
      <c r="D63">
        <v>0.51851999999999998</v>
      </c>
      <c r="E63">
        <v>0.53659999999999997</v>
      </c>
      <c r="F63">
        <v>1.1443000000000001</v>
      </c>
      <c r="G63" s="27"/>
    </row>
    <row r="64" spans="1:7" x14ac:dyDescent="0.2">
      <c r="A64" t="s">
        <v>42</v>
      </c>
      <c r="B64" t="s">
        <v>6</v>
      </c>
      <c r="C64">
        <v>50</v>
      </c>
      <c r="D64">
        <v>3.4483E-2</v>
      </c>
      <c r="E64">
        <v>3.5546000000000001E-2</v>
      </c>
      <c r="F64">
        <v>2.7012</v>
      </c>
      <c r="G64" s="27"/>
    </row>
    <row r="65" spans="1:7" x14ac:dyDescent="0.2">
      <c r="A65" t="s">
        <v>42</v>
      </c>
      <c r="B65" t="s">
        <v>8</v>
      </c>
      <c r="C65">
        <v>50</v>
      </c>
      <c r="D65">
        <v>2.1739000000000001E-2</v>
      </c>
      <c r="E65">
        <v>1.1894E-2</v>
      </c>
      <c r="F65">
        <v>0.40467999999999998</v>
      </c>
      <c r="G65" s="27"/>
    </row>
    <row r="66" spans="1:7" x14ac:dyDescent="0.2">
      <c r="A66" t="s">
        <v>42</v>
      </c>
      <c r="B66" t="s">
        <v>10</v>
      </c>
      <c r="C66">
        <v>50</v>
      </c>
      <c r="D66">
        <v>0</v>
      </c>
      <c r="E66">
        <v>0</v>
      </c>
      <c r="F66">
        <v>0</v>
      </c>
      <c r="G66" s="27"/>
    </row>
    <row r="67" spans="1:7" x14ac:dyDescent="0.2">
      <c r="A67" t="s">
        <v>42</v>
      </c>
      <c r="B67" t="s">
        <v>12</v>
      </c>
      <c r="C67">
        <v>50</v>
      </c>
      <c r="D67">
        <v>0.18182000000000001</v>
      </c>
      <c r="E67">
        <v>0.63458000000000003</v>
      </c>
      <c r="F67">
        <v>1.0696000000000001</v>
      </c>
      <c r="G67" s="27"/>
    </row>
    <row r="68" spans="1:7" x14ac:dyDescent="0.2">
      <c r="A68" t="s">
        <v>42</v>
      </c>
      <c r="B68" t="s">
        <v>13</v>
      </c>
      <c r="C68">
        <v>50</v>
      </c>
      <c r="D68">
        <v>0</v>
      </c>
      <c r="E68">
        <v>0</v>
      </c>
      <c r="F68">
        <v>0</v>
      </c>
      <c r="G68" s="27"/>
    </row>
    <row r="69" spans="1:7" x14ac:dyDescent="0.2">
      <c r="A69" t="s">
        <v>42</v>
      </c>
      <c r="B69" t="s">
        <v>15</v>
      </c>
      <c r="C69">
        <v>50</v>
      </c>
      <c r="D69">
        <v>2.1277000000000001E-2</v>
      </c>
      <c r="E69">
        <v>1.0581999999999999E-2</v>
      </c>
      <c r="F69">
        <v>0.61804999999999999</v>
      </c>
      <c r="G69" s="27"/>
    </row>
    <row r="70" spans="1:7" x14ac:dyDescent="0.2">
      <c r="A70" t="s">
        <v>42</v>
      </c>
      <c r="B70" t="s">
        <v>16</v>
      </c>
      <c r="C70">
        <v>50</v>
      </c>
      <c r="D70">
        <v>0</v>
      </c>
      <c r="E70">
        <v>0</v>
      </c>
      <c r="F70">
        <v>0</v>
      </c>
      <c r="G70" s="27"/>
    </row>
    <row r="71" spans="1:7" x14ac:dyDescent="0.2">
      <c r="A71" t="s">
        <v>42</v>
      </c>
      <c r="B71" t="s">
        <v>17</v>
      </c>
      <c r="C71">
        <v>50</v>
      </c>
      <c r="D71">
        <v>3.0303E-2</v>
      </c>
      <c r="E71">
        <v>1.222E-2</v>
      </c>
      <c r="F71">
        <v>0.97711000000000003</v>
      </c>
      <c r="G71" s="27"/>
    </row>
    <row r="72" spans="1:7" x14ac:dyDescent="0.2">
      <c r="A72" t="s">
        <v>42</v>
      </c>
      <c r="B72" t="s">
        <v>18</v>
      </c>
      <c r="C72">
        <v>50</v>
      </c>
      <c r="D72">
        <v>0</v>
      </c>
      <c r="E72">
        <v>0</v>
      </c>
      <c r="F72">
        <v>0</v>
      </c>
      <c r="G72" s="27"/>
    </row>
    <row r="73" spans="1:7" x14ac:dyDescent="0.2">
      <c r="A73" t="s">
        <v>42</v>
      </c>
      <c r="B73" t="s">
        <v>19</v>
      </c>
      <c r="C73">
        <v>50</v>
      </c>
      <c r="D73">
        <v>0</v>
      </c>
      <c r="E73">
        <v>0</v>
      </c>
      <c r="F73">
        <v>0</v>
      </c>
      <c r="G73" s="27"/>
    </row>
    <row r="74" spans="1:7" x14ac:dyDescent="0.2">
      <c r="A74" t="s">
        <v>42</v>
      </c>
      <c r="B74" t="s">
        <v>20</v>
      </c>
      <c r="C74">
        <v>50</v>
      </c>
      <c r="D74">
        <v>0</v>
      </c>
      <c r="E74">
        <v>0</v>
      </c>
      <c r="F74">
        <v>0</v>
      </c>
      <c r="G74" s="27"/>
    </row>
    <row r="75" spans="1:7" x14ac:dyDescent="0.2">
      <c r="A75" t="s">
        <v>42</v>
      </c>
      <c r="B75" t="s">
        <v>21</v>
      </c>
      <c r="C75">
        <v>50</v>
      </c>
      <c r="D75">
        <v>0</v>
      </c>
      <c r="E75">
        <v>0</v>
      </c>
      <c r="F75">
        <v>0</v>
      </c>
      <c r="G75" s="27"/>
    </row>
    <row r="76" spans="1:7" x14ac:dyDescent="0.2">
      <c r="A76" t="s">
        <v>42</v>
      </c>
      <c r="B76" t="s">
        <v>22</v>
      </c>
      <c r="C76">
        <v>50</v>
      </c>
      <c r="D76">
        <v>7.8947000000000003E-2</v>
      </c>
      <c r="E76">
        <v>0.41009000000000001</v>
      </c>
      <c r="F76">
        <v>0.87499000000000005</v>
      </c>
      <c r="G76" s="27"/>
    </row>
    <row r="77" spans="1:7" x14ac:dyDescent="0.2">
      <c r="A77" t="s">
        <v>42</v>
      </c>
      <c r="B77" t="s">
        <v>23</v>
      </c>
      <c r="C77">
        <v>50</v>
      </c>
      <c r="D77">
        <v>0.19231000000000001</v>
      </c>
      <c r="E77">
        <v>1.4699</v>
      </c>
      <c r="F77">
        <v>1.1337999999999999</v>
      </c>
      <c r="G77" s="27"/>
    </row>
    <row r="78" spans="1:7" x14ac:dyDescent="0.2">
      <c r="A78" t="s">
        <v>42</v>
      </c>
      <c r="B78" t="s">
        <v>24</v>
      </c>
      <c r="C78">
        <v>50</v>
      </c>
      <c r="D78">
        <v>6.8966E-2</v>
      </c>
      <c r="E78">
        <v>0.23149</v>
      </c>
      <c r="F78">
        <v>0.74904000000000004</v>
      </c>
      <c r="G78" s="27"/>
    </row>
    <row r="79" spans="1:7" x14ac:dyDescent="0.2">
      <c r="A79" t="s">
        <v>42</v>
      </c>
      <c r="B79" t="s">
        <v>25</v>
      </c>
      <c r="C79">
        <v>50</v>
      </c>
      <c r="D79">
        <v>0.30435000000000001</v>
      </c>
      <c r="E79">
        <v>1.4697</v>
      </c>
      <c r="F79">
        <v>1.2776000000000001</v>
      </c>
      <c r="G79" s="27"/>
    </row>
    <row r="80" spans="1:7" x14ac:dyDescent="0.2">
      <c r="A80" t="s">
        <v>42</v>
      </c>
      <c r="B80" t="s">
        <v>26</v>
      </c>
      <c r="C80">
        <v>50</v>
      </c>
      <c r="D80">
        <v>0</v>
      </c>
      <c r="E80">
        <v>0</v>
      </c>
      <c r="F80">
        <v>0</v>
      </c>
      <c r="G80" s="27"/>
    </row>
    <row r="81" spans="1:7" x14ac:dyDescent="0.2">
      <c r="A81" t="s">
        <v>42</v>
      </c>
      <c r="B81" t="s">
        <v>27</v>
      </c>
      <c r="C81">
        <v>50</v>
      </c>
      <c r="D81">
        <v>8.8234999999999994E-2</v>
      </c>
      <c r="E81">
        <v>0.13655999999999999</v>
      </c>
      <c r="F81">
        <v>0.86656</v>
      </c>
      <c r="G81" s="27"/>
    </row>
    <row r="82" spans="1:7" x14ac:dyDescent="0.2">
      <c r="A82" t="s">
        <v>42</v>
      </c>
      <c r="B82" t="s">
        <v>28</v>
      </c>
      <c r="C82">
        <v>50</v>
      </c>
      <c r="D82">
        <v>0.26316000000000001</v>
      </c>
      <c r="E82">
        <v>0.26285999999999998</v>
      </c>
      <c r="F82">
        <v>0.81020999999999999</v>
      </c>
      <c r="G82" s="27"/>
    </row>
    <row r="83" spans="1:7" x14ac:dyDescent="0.2">
      <c r="A83" t="s">
        <v>42</v>
      </c>
      <c r="B83" t="s">
        <v>29</v>
      </c>
      <c r="C83">
        <v>50</v>
      </c>
      <c r="D83">
        <v>0</v>
      </c>
      <c r="E83">
        <v>0</v>
      </c>
      <c r="F83">
        <v>0</v>
      </c>
      <c r="G83" s="27"/>
    </row>
    <row r="84" spans="1:7" x14ac:dyDescent="0.2">
      <c r="A84" t="s">
        <v>44</v>
      </c>
      <c r="B84" t="s">
        <v>30</v>
      </c>
      <c r="C84">
        <v>50</v>
      </c>
      <c r="D84">
        <v>5.2631999999999998E-2</v>
      </c>
      <c r="E84">
        <v>2.2471999999999999E-2</v>
      </c>
      <c r="F84">
        <v>0.73987999999999998</v>
      </c>
      <c r="G84" s="27"/>
    </row>
    <row r="85" spans="1:7" x14ac:dyDescent="0.2">
      <c r="A85" t="s">
        <v>44</v>
      </c>
      <c r="B85" t="s">
        <v>31</v>
      </c>
      <c r="C85">
        <v>50</v>
      </c>
      <c r="D85">
        <v>0</v>
      </c>
      <c r="E85">
        <v>0</v>
      </c>
      <c r="F85">
        <v>0</v>
      </c>
      <c r="G85" s="27"/>
    </row>
    <row r="86" spans="1:7" x14ac:dyDescent="0.2">
      <c r="A86" t="s">
        <v>44</v>
      </c>
      <c r="B86" t="s">
        <v>32</v>
      </c>
      <c r="C86">
        <v>50</v>
      </c>
      <c r="D86">
        <v>0.11765</v>
      </c>
      <c r="E86">
        <v>3.4624000000000002E-2</v>
      </c>
      <c r="F86">
        <v>0.82601999999999998</v>
      </c>
      <c r="G86" s="27"/>
    </row>
    <row r="87" spans="1:7" x14ac:dyDescent="0.2">
      <c r="A87" t="s">
        <v>44</v>
      </c>
      <c r="B87" t="s">
        <v>33</v>
      </c>
      <c r="C87">
        <v>50</v>
      </c>
      <c r="D87">
        <v>8.8234999999999994E-2</v>
      </c>
      <c r="E87">
        <v>1.4379999999999999</v>
      </c>
      <c r="F87">
        <v>1.3974</v>
      </c>
      <c r="G87" s="27"/>
    </row>
    <row r="88" spans="1:7" x14ac:dyDescent="0.2">
      <c r="A88" t="s">
        <v>44</v>
      </c>
      <c r="B88" t="s">
        <v>34</v>
      </c>
      <c r="C88">
        <v>50</v>
      </c>
      <c r="D88">
        <v>8.8234999999999994E-2</v>
      </c>
      <c r="E88">
        <v>0.70501999999999998</v>
      </c>
      <c r="F88">
        <v>0.55047999999999997</v>
      </c>
      <c r="G88" s="27"/>
    </row>
    <row r="89" spans="1:7" x14ac:dyDescent="0.2">
      <c r="A89" t="s">
        <v>44</v>
      </c>
      <c r="B89" t="s">
        <v>35</v>
      </c>
      <c r="C89">
        <v>50</v>
      </c>
      <c r="D89">
        <v>0</v>
      </c>
      <c r="E89">
        <v>0</v>
      </c>
      <c r="F89">
        <v>0</v>
      </c>
      <c r="G89" s="27"/>
    </row>
    <row r="90" spans="1:7" x14ac:dyDescent="0.2">
      <c r="A90" t="s">
        <v>43</v>
      </c>
      <c r="B90" t="s">
        <v>36</v>
      </c>
      <c r="C90">
        <v>50</v>
      </c>
      <c r="D90">
        <v>0.16667000000000001</v>
      </c>
      <c r="E90">
        <v>0.11456</v>
      </c>
      <c r="F90">
        <v>0.69020999999999999</v>
      </c>
      <c r="G90" s="27"/>
    </row>
    <row r="91" spans="1:7" x14ac:dyDescent="0.2">
      <c r="A91" t="s">
        <v>43</v>
      </c>
      <c r="B91" t="s">
        <v>37</v>
      </c>
      <c r="C91">
        <v>50</v>
      </c>
      <c r="D91">
        <v>0.16667000000000001</v>
      </c>
      <c r="E91">
        <v>0.74783999999999995</v>
      </c>
      <c r="F91">
        <v>0.61487000000000003</v>
      </c>
      <c r="G91" s="27"/>
    </row>
    <row r="92" spans="1:7" x14ac:dyDescent="0.2">
      <c r="A92" t="s">
        <v>43</v>
      </c>
      <c r="B92" t="s">
        <v>38</v>
      </c>
      <c r="C92">
        <v>50</v>
      </c>
      <c r="D92">
        <v>0</v>
      </c>
      <c r="E92">
        <v>0</v>
      </c>
      <c r="F92">
        <v>0</v>
      </c>
      <c r="G92" s="27"/>
    </row>
    <row r="93" spans="1:7" x14ac:dyDescent="0.2">
      <c r="A93" t="s">
        <v>43</v>
      </c>
      <c r="B93" t="s">
        <v>39</v>
      </c>
      <c r="C93">
        <v>50</v>
      </c>
      <c r="D93">
        <v>0</v>
      </c>
      <c r="E93">
        <v>0</v>
      </c>
      <c r="F93">
        <v>0</v>
      </c>
      <c r="G93" s="27"/>
    </row>
    <row r="94" spans="1:7" x14ac:dyDescent="0.2">
      <c r="A94" t="s">
        <v>43</v>
      </c>
      <c r="B94" t="s">
        <v>40</v>
      </c>
      <c r="C94">
        <v>50</v>
      </c>
      <c r="D94">
        <v>7.4074000000000001E-2</v>
      </c>
      <c r="E94">
        <v>6.0804999999999998E-2</v>
      </c>
      <c r="F94">
        <v>0.88563999999999998</v>
      </c>
      <c r="G94" s="27"/>
    </row>
    <row r="95" spans="1:7" x14ac:dyDescent="0.2">
      <c r="A95" t="s">
        <v>42</v>
      </c>
      <c r="B95" t="s">
        <v>28</v>
      </c>
      <c r="C95">
        <v>70</v>
      </c>
      <c r="D95">
        <v>0.36842000000000003</v>
      </c>
      <c r="E95">
        <v>0.36926999999999999</v>
      </c>
      <c r="F95">
        <v>0.87653000000000003</v>
      </c>
      <c r="G95" s="27"/>
    </row>
  </sheetData>
  <sortState xmlns:xlrd2="http://schemas.microsoft.com/office/spreadsheetml/2017/richdata2" ref="A2:F95">
    <sortCondition ref="C2:C95"/>
    <sortCondition ref="A2:A95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F6DE5-01EB-2D42-A1B9-3D6C1F829327}">
  <dimension ref="A1:G50"/>
  <sheetViews>
    <sheetView workbookViewId="0">
      <selection activeCell="F29" sqref="F29:F34"/>
    </sheetView>
  </sheetViews>
  <sheetFormatPr baseColWidth="10" defaultRowHeight="15" x14ac:dyDescent="0.2"/>
  <sheetData>
    <row r="1" spans="1:7" x14ac:dyDescent="0.2">
      <c r="A1" s="9" t="s">
        <v>89</v>
      </c>
    </row>
    <row r="2" spans="1:7" x14ac:dyDescent="0.2">
      <c r="A2" t="s">
        <v>45</v>
      </c>
      <c r="B2" t="s">
        <v>46</v>
      </c>
      <c r="C2" t="s">
        <v>47</v>
      </c>
      <c r="E2" t="s">
        <v>45</v>
      </c>
      <c r="F2" t="s">
        <v>47</v>
      </c>
      <c r="G2" t="s">
        <v>46</v>
      </c>
    </row>
    <row r="3" spans="1:7" x14ac:dyDescent="0.2">
      <c r="A3">
        <v>6.8966E-2</v>
      </c>
      <c r="B3">
        <v>0.25</v>
      </c>
      <c r="C3">
        <v>0</v>
      </c>
      <c r="E3">
        <v>2.4842</v>
      </c>
      <c r="F3">
        <v>0</v>
      </c>
      <c r="G3">
        <v>0.73943000000000003</v>
      </c>
    </row>
    <row r="4" spans="1:7" x14ac:dyDescent="0.2">
      <c r="A4">
        <v>0.54347999999999996</v>
      </c>
      <c r="B4">
        <v>0</v>
      </c>
      <c r="C4">
        <v>0.19444</v>
      </c>
      <c r="E4">
        <v>0.78163000000000005</v>
      </c>
      <c r="F4">
        <v>1.0412999999999999</v>
      </c>
      <c r="G4">
        <v>0</v>
      </c>
    </row>
    <row r="5" spans="1:7" x14ac:dyDescent="0.2">
      <c r="A5">
        <v>0.25</v>
      </c>
      <c r="B5">
        <v>0.45882000000000001</v>
      </c>
      <c r="C5">
        <v>0</v>
      </c>
      <c r="E5">
        <v>0.86173</v>
      </c>
      <c r="F5">
        <v>0</v>
      </c>
      <c r="G5">
        <v>0.55379</v>
      </c>
    </row>
    <row r="6" spans="1:7" x14ac:dyDescent="0.2">
      <c r="A6">
        <v>9.0909000000000004E-2</v>
      </c>
      <c r="B6">
        <v>2.7026999999999999E-2</v>
      </c>
      <c r="C6">
        <v>0</v>
      </c>
      <c r="E6">
        <v>1.1911</v>
      </c>
      <c r="F6">
        <v>0</v>
      </c>
      <c r="G6">
        <v>0.77314000000000005</v>
      </c>
    </row>
    <row r="7" spans="1:7" x14ac:dyDescent="0.2">
      <c r="A7">
        <v>0.44</v>
      </c>
      <c r="B7">
        <v>0.51851999999999998</v>
      </c>
      <c r="C7">
        <v>0</v>
      </c>
      <c r="E7">
        <v>0.90956000000000004</v>
      </c>
      <c r="F7">
        <v>0</v>
      </c>
      <c r="G7">
        <v>1.1443000000000001</v>
      </c>
    </row>
    <row r="8" spans="1:7" x14ac:dyDescent="0.2">
      <c r="A8">
        <v>0</v>
      </c>
      <c r="C8">
        <v>0.22727</v>
      </c>
      <c r="E8">
        <v>0</v>
      </c>
      <c r="F8">
        <v>0.84565999999999997</v>
      </c>
    </row>
    <row r="9" spans="1:7" x14ac:dyDescent="0.2">
      <c r="A9">
        <v>2.9412000000000001E-2</v>
      </c>
      <c r="E9">
        <v>1.0973999999999999</v>
      </c>
    </row>
    <row r="10" spans="1:7" x14ac:dyDescent="0.2">
      <c r="A10">
        <v>0.30303000000000002</v>
      </c>
      <c r="E10">
        <v>0.99682000000000004</v>
      </c>
    </row>
    <row r="11" spans="1:7" x14ac:dyDescent="0.2">
      <c r="A11">
        <v>0.52778000000000003</v>
      </c>
      <c r="E11">
        <v>1.0528</v>
      </c>
    </row>
    <row r="12" spans="1:7" x14ac:dyDescent="0.2">
      <c r="A12">
        <v>0.125</v>
      </c>
      <c r="E12">
        <v>1.0221</v>
      </c>
    </row>
    <row r="13" spans="1:7" x14ac:dyDescent="0.2">
      <c r="A13">
        <v>5.5556000000000001E-2</v>
      </c>
      <c r="E13">
        <v>1.0387999999999999</v>
      </c>
    </row>
    <row r="14" spans="1:7" x14ac:dyDescent="0.2">
      <c r="A14">
        <v>0.48</v>
      </c>
      <c r="E14">
        <v>1.0291999999999999</v>
      </c>
    </row>
    <row r="15" spans="1:7" x14ac:dyDescent="0.2">
      <c r="A15">
        <v>0.55262999999999995</v>
      </c>
      <c r="E15">
        <v>1.024</v>
      </c>
    </row>
    <row r="16" spans="1:7" x14ac:dyDescent="0.2">
      <c r="A16">
        <v>0.34615000000000001</v>
      </c>
      <c r="E16">
        <v>1.1364000000000001</v>
      </c>
    </row>
    <row r="17" spans="1:7" x14ac:dyDescent="0.2">
      <c r="A17">
        <v>0.44828000000000001</v>
      </c>
      <c r="E17">
        <v>1.0149999999999999</v>
      </c>
    </row>
    <row r="18" spans="1:7" x14ac:dyDescent="0.2">
      <c r="A18">
        <v>0</v>
      </c>
      <c r="E18">
        <v>0</v>
      </c>
    </row>
    <row r="19" spans="1:7" x14ac:dyDescent="0.2">
      <c r="A19">
        <v>0.70587999999999995</v>
      </c>
      <c r="E19">
        <v>0.59041999999999994</v>
      </c>
    </row>
    <row r="20" spans="1:7" x14ac:dyDescent="0.2">
      <c r="A20">
        <v>0.67647000000000002</v>
      </c>
      <c r="E20">
        <v>0.91069999999999995</v>
      </c>
    </row>
    <row r="21" spans="1:7" x14ac:dyDescent="0.2">
      <c r="A21">
        <v>0.52632000000000001</v>
      </c>
      <c r="E21">
        <v>0.90053000000000005</v>
      </c>
    </row>
    <row r="22" spans="1:7" x14ac:dyDescent="0.2">
      <c r="A22">
        <v>0.16667000000000001</v>
      </c>
      <c r="E22">
        <v>1.1702999999999999</v>
      </c>
    </row>
    <row r="24" spans="1:7" x14ac:dyDescent="0.2">
      <c r="A24" s="7" cm="1">
        <f t="array" ref="A24">[1]!SWTEST(A3:A22,FALSE, FALSE)</f>
        <v>8.7163234339430101E-2</v>
      </c>
      <c r="B24" s="7" cm="1">
        <f t="array" ref="B24">[1]!SWTEST(B3:B22,FALSE, FALSE)</f>
        <v>0.35695916521865578</v>
      </c>
      <c r="C24" s="8" cm="1">
        <f t="array" ref="C24">[1]!SWTEST(C3:C22,FALSE, FALSE)</f>
        <v>5.0000000000000001E-3</v>
      </c>
      <c r="D24" s="26"/>
      <c r="E24" s="8" cm="1">
        <f t="array" ref="E24">[1]!SWTEST(E3:E22,FALSE, FALSE)</f>
        <v>5.0000000000000001E-3</v>
      </c>
      <c r="F24" s="8" cm="1">
        <f t="array" ref="F24">[1]!SWTEST(F3:F22,FALSE, FALSE)</f>
        <v>5.0000000000000001E-3</v>
      </c>
      <c r="G24" s="7" cm="1">
        <f t="array" ref="G24">[1]!SWTEST(G3:G22,FALSE, FALSE)</f>
        <v>0.65135030639109526</v>
      </c>
    </row>
    <row r="27" spans="1:7" x14ac:dyDescent="0.2">
      <c r="A27" s="9" t="s">
        <v>90</v>
      </c>
    </row>
    <row r="28" spans="1:7" x14ac:dyDescent="0.2">
      <c r="A28" t="s">
        <v>45</v>
      </c>
      <c r="B28" t="s">
        <v>46</v>
      </c>
      <c r="C28" t="s">
        <v>47</v>
      </c>
      <c r="E28" t="s">
        <v>45</v>
      </c>
      <c r="F28" t="s">
        <v>47</v>
      </c>
      <c r="G28" t="s">
        <v>46</v>
      </c>
    </row>
    <row r="29" spans="1:7" x14ac:dyDescent="0.2">
      <c r="A29">
        <v>3.4483E-2</v>
      </c>
      <c r="B29">
        <v>0.16667000000000001</v>
      </c>
      <c r="C29">
        <v>5.2631999999999998E-2</v>
      </c>
      <c r="E29">
        <v>2.7012</v>
      </c>
      <c r="F29">
        <v>0.73987999999999998</v>
      </c>
      <c r="G29">
        <v>0.69020999999999999</v>
      </c>
    </row>
    <row r="30" spans="1:7" x14ac:dyDescent="0.2">
      <c r="A30">
        <v>2.1739000000000001E-2</v>
      </c>
      <c r="B30">
        <v>0.16667000000000001</v>
      </c>
      <c r="C30">
        <v>0</v>
      </c>
      <c r="E30">
        <v>0.40467999999999998</v>
      </c>
      <c r="F30">
        <v>0</v>
      </c>
      <c r="G30">
        <v>0.61487000000000003</v>
      </c>
    </row>
    <row r="31" spans="1:7" x14ac:dyDescent="0.2">
      <c r="A31">
        <v>0</v>
      </c>
      <c r="B31">
        <v>0</v>
      </c>
      <c r="C31">
        <v>0.11765</v>
      </c>
      <c r="E31">
        <v>0</v>
      </c>
      <c r="F31">
        <v>0.82601999999999998</v>
      </c>
      <c r="G31">
        <v>0</v>
      </c>
    </row>
    <row r="32" spans="1:7" x14ac:dyDescent="0.2">
      <c r="A32">
        <v>0.18182000000000001</v>
      </c>
      <c r="B32">
        <v>0</v>
      </c>
      <c r="C32">
        <v>8.8234999999999994E-2</v>
      </c>
      <c r="E32">
        <v>1.0696000000000001</v>
      </c>
      <c r="F32">
        <v>1.3974</v>
      </c>
      <c r="G32">
        <v>0</v>
      </c>
    </row>
    <row r="33" spans="1:7" x14ac:dyDescent="0.2">
      <c r="A33">
        <v>0</v>
      </c>
      <c r="B33">
        <v>7.4074000000000001E-2</v>
      </c>
      <c r="C33">
        <v>8.8234999999999994E-2</v>
      </c>
      <c r="E33">
        <v>0</v>
      </c>
      <c r="F33">
        <v>0.55047999999999997</v>
      </c>
      <c r="G33">
        <v>0.88563999999999998</v>
      </c>
    </row>
    <row r="34" spans="1:7" x14ac:dyDescent="0.2">
      <c r="A34">
        <v>2.1277000000000001E-2</v>
      </c>
      <c r="C34">
        <v>0</v>
      </c>
      <c r="E34">
        <v>0.61804999999999999</v>
      </c>
      <c r="F34">
        <v>0</v>
      </c>
    </row>
    <row r="35" spans="1:7" x14ac:dyDescent="0.2">
      <c r="A35">
        <v>0</v>
      </c>
      <c r="E35">
        <v>0</v>
      </c>
    </row>
    <row r="36" spans="1:7" x14ac:dyDescent="0.2">
      <c r="A36">
        <v>3.0303E-2</v>
      </c>
      <c r="E36">
        <v>0.97711000000000003</v>
      </c>
    </row>
    <row r="37" spans="1:7" x14ac:dyDescent="0.2">
      <c r="A37">
        <v>0</v>
      </c>
      <c r="E37">
        <v>0</v>
      </c>
    </row>
    <row r="38" spans="1:7" x14ac:dyDescent="0.2">
      <c r="A38">
        <v>0</v>
      </c>
      <c r="E38">
        <v>0</v>
      </c>
    </row>
    <row r="39" spans="1:7" x14ac:dyDescent="0.2">
      <c r="A39">
        <v>0</v>
      </c>
      <c r="E39">
        <v>0</v>
      </c>
    </row>
    <row r="40" spans="1:7" x14ac:dyDescent="0.2">
      <c r="A40">
        <v>0</v>
      </c>
      <c r="E40">
        <v>0</v>
      </c>
    </row>
    <row r="41" spans="1:7" x14ac:dyDescent="0.2">
      <c r="A41">
        <v>7.8947000000000003E-2</v>
      </c>
      <c r="E41">
        <v>0.87499000000000005</v>
      </c>
    </row>
    <row r="42" spans="1:7" x14ac:dyDescent="0.2">
      <c r="A42">
        <v>0.19231000000000001</v>
      </c>
      <c r="E42">
        <v>1.1337999999999999</v>
      </c>
    </row>
    <row r="43" spans="1:7" x14ac:dyDescent="0.2">
      <c r="A43">
        <v>6.8966E-2</v>
      </c>
      <c r="E43">
        <v>0.74904000000000004</v>
      </c>
    </row>
    <row r="44" spans="1:7" x14ac:dyDescent="0.2">
      <c r="A44">
        <v>0.30435000000000001</v>
      </c>
      <c r="E44">
        <v>1.2776000000000001</v>
      </c>
    </row>
    <row r="45" spans="1:7" x14ac:dyDescent="0.2">
      <c r="A45">
        <v>0</v>
      </c>
      <c r="E45">
        <v>0</v>
      </c>
    </row>
    <row r="46" spans="1:7" x14ac:dyDescent="0.2">
      <c r="A46">
        <v>8.8234999999999994E-2</v>
      </c>
      <c r="E46">
        <v>0.86656</v>
      </c>
    </row>
    <row r="47" spans="1:7" x14ac:dyDescent="0.2">
      <c r="A47">
        <v>0.26316000000000001</v>
      </c>
      <c r="E47">
        <v>0.81020999999999999</v>
      </c>
    </row>
    <row r="48" spans="1:7" x14ac:dyDescent="0.2">
      <c r="A48">
        <v>0</v>
      </c>
      <c r="E48">
        <v>0</v>
      </c>
    </row>
    <row r="50" spans="1:7" x14ac:dyDescent="0.2">
      <c r="A50" s="8" cm="1">
        <f t="array" ref="A50">[1]!SWTEST(A29:A48,FALSE,FALSE)</f>
        <v>5.0000000000000001E-3</v>
      </c>
      <c r="B50" s="7" cm="1">
        <f t="array" ref="B50">[1]!SWTEST(B29:B48,FALSE,FALSE)</f>
        <v>0.14176137256663185</v>
      </c>
      <c r="C50" s="7" cm="1">
        <f t="array" ref="C50">[1]!SWTEST(C29:C48,FALSE,FALSE)</f>
        <v>0.32482245997566472</v>
      </c>
      <c r="D50" s="26"/>
      <c r="E50" s="8" cm="1">
        <f t="array" ref="E50">[1]!SWTEST(E29:E48,FALSE,FALSE)</f>
        <v>5.0000000000000001E-3</v>
      </c>
      <c r="F50" s="7" cm="1">
        <f t="array" ref="F50">[1]!SWTEST(F29:F48,FALSE,FALSE)</f>
        <v>0.47828039166781111</v>
      </c>
      <c r="G50" s="7" cm="1">
        <f t="array" ref="G50">[1]!SWTEST(G29:G48,FALSE,FALSE)</f>
        <v>0.2119785305818655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FDC15-A6E0-9C40-8BCF-B433EE4054F8}">
  <dimension ref="A1:AB98"/>
  <sheetViews>
    <sheetView workbookViewId="0">
      <selection activeCell="E15" sqref="E15"/>
    </sheetView>
  </sheetViews>
  <sheetFormatPr baseColWidth="10" defaultRowHeight="15" x14ac:dyDescent="0.2"/>
  <cols>
    <col min="1" max="1" width="17.1640625" bestFit="1" customWidth="1"/>
    <col min="2" max="2" width="12.1640625" bestFit="1" customWidth="1"/>
    <col min="3" max="3" width="9.1640625" bestFit="1" customWidth="1"/>
  </cols>
  <sheetData>
    <row r="1" spans="1:28" x14ac:dyDescent="0.2">
      <c r="A1" s="9" t="s">
        <v>89</v>
      </c>
      <c r="M1" s="2"/>
      <c r="N1" s="2"/>
      <c r="O1" s="2"/>
      <c r="P1" s="2"/>
      <c r="Q1" s="2"/>
      <c r="R1" s="2"/>
      <c r="S1" s="2"/>
      <c r="T1" s="2"/>
      <c r="U1" s="2"/>
      <c r="V1" s="2"/>
    </row>
    <row r="2" spans="1:28" x14ac:dyDescent="0.2">
      <c r="A2" t="s">
        <v>45</v>
      </c>
      <c r="B2" t="s">
        <v>46</v>
      </c>
      <c r="C2" t="s">
        <v>47</v>
      </c>
      <c r="M2" t="s">
        <v>45</v>
      </c>
      <c r="N2" t="s">
        <v>47</v>
      </c>
      <c r="O2" t="s">
        <v>46</v>
      </c>
      <c r="Z2" s="28"/>
      <c r="AA2" s="28"/>
      <c r="AB2" s="28"/>
    </row>
    <row r="3" spans="1:28" x14ac:dyDescent="0.2">
      <c r="A3">
        <v>6.8966E-2</v>
      </c>
      <c r="B3">
        <v>0.25</v>
      </c>
      <c r="C3">
        <v>0</v>
      </c>
      <c r="M3">
        <v>2.4842</v>
      </c>
      <c r="N3">
        <v>0</v>
      </c>
      <c r="O3">
        <v>0.73943000000000003</v>
      </c>
      <c r="Z3" s="28"/>
      <c r="AA3" s="28"/>
      <c r="AB3" s="28"/>
    </row>
    <row r="4" spans="1:28" x14ac:dyDescent="0.2">
      <c r="A4">
        <v>0.54347999999999996</v>
      </c>
      <c r="B4">
        <v>0</v>
      </c>
      <c r="C4">
        <v>0.19444</v>
      </c>
      <c r="M4">
        <v>0.78163000000000005</v>
      </c>
      <c r="N4">
        <v>1.0412999999999999</v>
      </c>
      <c r="O4">
        <v>0</v>
      </c>
      <c r="Z4" s="28"/>
      <c r="AA4" s="28"/>
      <c r="AB4" s="28"/>
    </row>
    <row r="5" spans="1:28" x14ac:dyDescent="0.2">
      <c r="A5">
        <v>0.25</v>
      </c>
      <c r="B5">
        <v>0.45882000000000001</v>
      </c>
      <c r="C5">
        <v>0</v>
      </c>
      <c r="M5">
        <v>0.86173</v>
      </c>
      <c r="N5">
        <v>0</v>
      </c>
      <c r="O5">
        <v>0.55379</v>
      </c>
      <c r="Z5" s="28"/>
      <c r="AA5" s="28"/>
      <c r="AB5" s="28"/>
    </row>
    <row r="6" spans="1:28" x14ac:dyDescent="0.2">
      <c r="A6">
        <v>9.0909000000000004E-2</v>
      </c>
      <c r="B6">
        <v>2.7026999999999999E-2</v>
      </c>
      <c r="C6">
        <v>0</v>
      </c>
      <c r="M6">
        <v>1.1911</v>
      </c>
      <c r="N6">
        <v>0</v>
      </c>
      <c r="O6">
        <v>0.77314000000000005</v>
      </c>
      <c r="Z6" s="28"/>
      <c r="AA6" s="28"/>
      <c r="AB6" s="28"/>
    </row>
    <row r="7" spans="1:28" x14ac:dyDescent="0.2">
      <c r="A7">
        <v>0.44</v>
      </c>
      <c r="B7">
        <v>0.51851999999999998</v>
      </c>
      <c r="C7">
        <v>0</v>
      </c>
      <c r="M7">
        <v>0.90956000000000004</v>
      </c>
      <c r="N7">
        <v>0</v>
      </c>
      <c r="O7">
        <v>1.1443000000000001</v>
      </c>
      <c r="Z7" s="28"/>
      <c r="AA7" s="28"/>
      <c r="AB7" s="28"/>
    </row>
    <row r="8" spans="1:28" x14ac:dyDescent="0.2">
      <c r="A8">
        <v>0</v>
      </c>
      <c r="C8">
        <v>0.22727</v>
      </c>
      <c r="M8">
        <v>0</v>
      </c>
      <c r="N8">
        <v>0.84565999999999997</v>
      </c>
      <c r="Z8" s="28"/>
      <c r="AA8" s="28"/>
      <c r="AB8" s="28"/>
    </row>
    <row r="9" spans="1:28" x14ac:dyDescent="0.2">
      <c r="A9">
        <v>2.9412000000000001E-2</v>
      </c>
      <c r="M9">
        <v>1.0973999999999999</v>
      </c>
      <c r="Z9" s="28"/>
      <c r="AA9" s="28"/>
      <c r="AB9" s="28"/>
    </row>
    <row r="10" spans="1:28" x14ac:dyDescent="0.2">
      <c r="A10">
        <v>0.30303000000000002</v>
      </c>
      <c r="M10">
        <v>0.99682000000000004</v>
      </c>
      <c r="Z10" s="28"/>
      <c r="AA10" s="28"/>
      <c r="AB10" s="28"/>
    </row>
    <row r="11" spans="1:28" x14ac:dyDescent="0.2">
      <c r="A11">
        <v>0.52778000000000003</v>
      </c>
      <c r="M11">
        <v>1.0528</v>
      </c>
      <c r="Z11" s="28"/>
      <c r="AA11" s="28"/>
      <c r="AB11" s="28"/>
    </row>
    <row r="12" spans="1:28" x14ac:dyDescent="0.2">
      <c r="A12">
        <v>0.125</v>
      </c>
      <c r="M12">
        <v>1.0221</v>
      </c>
      <c r="Z12" s="29"/>
      <c r="AA12" s="29"/>
      <c r="AB12" s="28"/>
    </row>
    <row r="13" spans="1:28" x14ac:dyDescent="0.2">
      <c r="A13">
        <v>5.5556000000000001E-2</v>
      </c>
      <c r="M13">
        <v>1.0387999999999999</v>
      </c>
      <c r="Z13" s="30"/>
      <c r="AA13" s="28"/>
      <c r="AB13" s="28"/>
    </row>
    <row r="14" spans="1:28" x14ac:dyDescent="0.2">
      <c r="A14">
        <v>0.48</v>
      </c>
      <c r="M14">
        <v>1.0291999999999999</v>
      </c>
      <c r="Z14" s="30"/>
      <c r="AA14" s="28"/>
      <c r="AB14" s="28"/>
    </row>
    <row r="15" spans="1:28" x14ac:dyDescent="0.2">
      <c r="A15">
        <v>0.55262999999999995</v>
      </c>
      <c r="M15">
        <v>1.024</v>
      </c>
      <c r="Z15" s="28"/>
      <c r="AA15" s="28"/>
      <c r="AB15" s="28"/>
    </row>
    <row r="16" spans="1:28" x14ac:dyDescent="0.2">
      <c r="A16">
        <v>0.34615000000000001</v>
      </c>
      <c r="M16">
        <v>1.1364000000000001</v>
      </c>
      <c r="Z16" s="28"/>
      <c r="AA16" s="28"/>
      <c r="AB16" s="28"/>
    </row>
    <row r="17" spans="1:28" x14ac:dyDescent="0.2">
      <c r="A17">
        <v>0.44828000000000001</v>
      </c>
      <c r="M17">
        <v>1.0149999999999999</v>
      </c>
      <c r="Z17" s="29"/>
      <c r="AA17" s="29"/>
      <c r="AB17" s="28"/>
    </row>
    <row r="18" spans="1:28" x14ac:dyDescent="0.2">
      <c r="A18">
        <v>0</v>
      </c>
      <c r="M18">
        <v>0</v>
      </c>
      <c r="Z18" s="30"/>
      <c r="AA18" s="28"/>
      <c r="AB18" s="28"/>
    </row>
    <row r="19" spans="1:28" x14ac:dyDescent="0.2">
      <c r="A19">
        <v>0.70587999999999995</v>
      </c>
      <c r="M19">
        <v>0.59041999999999994</v>
      </c>
      <c r="Z19" s="30"/>
      <c r="AA19" s="28"/>
      <c r="AB19" s="28"/>
    </row>
    <row r="20" spans="1:28" x14ac:dyDescent="0.2">
      <c r="A20">
        <v>0.67647000000000002</v>
      </c>
      <c r="M20">
        <v>0.91069999999999995</v>
      </c>
      <c r="Z20" s="28"/>
      <c r="AA20" s="28"/>
      <c r="AB20" s="28"/>
    </row>
    <row r="21" spans="1:28" x14ac:dyDescent="0.2">
      <c r="A21">
        <v>0.52632000000000001</v>
      </c>
      <c r="M21">
        <v>0.90053000000000005</v>
      </c>
      <c r="Z21" s="28"/>
      <c r="AA21" s="28"/>
      <c r="AB21" s="28"/>
    </row>
    <row r="22" spans="1:28" x14ac:dyDescent="0.2">
      <c r="A22">
        <v>0.16667000000000001</v>
      </c>
      <c r="M22">
        <v>1.1702999999999999</v>
      </c>
      <c r="Z22" s="28"/>
      <c r="AA22" s="28"/>
      <c r="AB22" s="28"/>
    </row>
    <row r="25" spans="1:28" x14ac:dyDescent="0.2">
      <c r="A25" t="s">
        <v>91</v>
      </c>
      <c r="G25" t="s">
        <v>99</v>
      </c>
      <c r="M25" t="s">
        <v>91</v>
      </c>
      <c r="S25" t="s">
        <v>99</v>
      </c>
    </row>
    <row r="26" spans="1:28" ht="16" thickBot="1" x14ac:dyDescent="0.25"/>
    <row r="27" spans="1:28" ht="16" thickTop="1" x14ac:dyDescent="0.2">
      <c r="B27" t="str">
        <f>A2</f>
        <v>HET</v>
      </c>
      <c r="C27" t="str">
        <f t="shared" ref="C27:D27" si="0">B2</f>
        <v>WT</v>
      </c>
      <c r="D27" t="str">
        <f t="shared" si="0"/>
        <v>KO</v>
      </c>
      <c r="G27" s="1" t="s">
        <v>80</v>
      </c>
      <c r="H27" s="1" t="s">
        <v>81</v>
      </c>
      <c r="I27" s="1" t="s">
        <v>86</v>
      </c>
      <c r="J27" s="1" t="s">
        <v>100</v>
      </c>
      <c r="K27" s="1" t="s">
        <v>75</v>
      </c>
      <c r="N27" t="str">
        <f>M2</f>
        <v>HET</v>
      </c>
      <c r="O27" t="str">
        <f t="shared" ref="O27:P27" si="1">N2</f>
        <v>KO</v>
      </c>
      <c r="P27" t="str">
        <f t="shared" si="1"/>
        <v>WT</v>
      </c>
      <c r="S27" s="1" t="s">
        <v>80</v>
      </c>
      <c r="T27" s="1" t="s">
        <v>81</v>
      </c>
      <c r="U27" s="1" t="s">
        <v>86</v>
      </c>
      <c r="V27" s="1" t="s">
        <v>100</v>
      </c>
      <c r="W27" s="1" t="s">
        <v>75</v>
      </c>
    </row>
    <row r="28" spans="1:28" x14ac:dyDescent="0.2">
      <c r="A28" t="s">
        <v>92</v>
      </c>
      <c r="B28" s="10">
        <f>MEDIAN(A3:A22)</f>
        <v>0.32459000000000005</v>
      </c>
      <c r="C28" s="11">
        <f t="shared" ref="C28:D28" si="2">MEDIAN(B3:B22)</f>
        <v>0.25</v>
      </c>
      <c r="D28" s="12">
        <f t="shared" si="2"/>
        <v>0</v>
      </c>
      <c r="G28" t="str">
        <f>A2</f>
        <v>HET</v>
      </c>
      <c r="H28" t="str">
        <f>B2</f>
        <v>WT</v>
      </c>
      <c r="I28" s="5">
        <f>[1]!MWTEST(A3:A22,B3:B22)</f>
        <v>0.45444662173840999</v>
      </c>
      <c r="J28">
        <f>[1]!MANN(A3:A22,B3:B22)</f>
        <v>38.5</v>
      </c>
      <c r="K28">
        <f>ABS(AVERAGE(A3:A22)-AVERAGE(B3:B22))</f>
        <v>6.5953249999999963E-2</v>
      </c>
      <c r="M28" t="s">
        <v>92</v>
      </c>
      <c r="N28" s="10">
        <f>MEDIAN(M3:M22)</f>
        <v>1.0185499999999998</v>
      </c>
      <c r="O28" s="11">
        <f t="shared" ref="O28:P28" si="3">MEDIAN(N3:N22)</f>
        <v>0</v>
      </c>
      <c r="P28" s="12">
        <f t="shared" si="3"/>
        <v>0.73943000000000003</v>
      </c>
      <c r="S28" t="str">
        <f>M2</f>
        <v>HET</v>
      </c>
      <c r="T28" t="str">
        <f>N2</f>
        <v>KO</v>
      </c>
      <c r="U28" s="6">
        <f>[1]!MWTEST(M3:M22,N3:N22)</f>
        <v>2.1678446109079541E-2</v>
      </c>
      <c r="V28">
        <f>[1]!MANN(M3:M22,N3:N22)</f>
        <v>22</v>
      </c>
      <c r="W28">
        <f>ABS(AVERAGE(M3:M22)-AVERAGE(N3:N22))</f>
        <v>0.64614116666666666</v>
      </c>
    </row>
    <row r="29" spans="1:28" x14ac:dyDescent="0.2">
      <c r="A29" t="s">
        <v>93</v>
      </c>
      <c r="B29" s="13">
        <f>[1]!RANK_SUM(A3:C22, 1,1)</f>
        <v>371.5</v>
      </c>
      <c r="C29" s="4">
        <f>[1]!RANK_SUM(A3:C22, 2,1)</f>
        <v>77.5</v>
      </c>
      <c r="D29" s="14">
        <f>[1]!RANK_SUM(A3:C22, 3,1)</f>
        <v>47</v>
      </c>
      <c r="G29" t="str">
        <f>A2</f>
        <v>HET</v>
      </c>
      <c r="H29" t="str">
        <f>C2</f>
        <v>KO</v>
      </c>
      <c r="I29" s="6">
        <f>[1]!MWTEST(A3:A22,C3:C22)</f>
        <v>1.5588668906500569E-2</v>
      </c>
      <c r="J29">
        <f>[1]!MANN(A3:A22,C3:C22)</f>
        <v>20</v>
      </c>
      <c r="K29">
        <f>ABS(AVERAGE(A3:A22)-AVERAGE(C3:C22))</f>
        <v>0.24654165</v>
      </c>
      <c r="M29" t="s">
        <v>93</v>
      </c>
      <c r="N29" s="13">
        <f>[1]!RANK_SUM(M3:O22, 1,1)</f>
        <v>382</v>
      </c>
      <c r="O29" s="4">
        <f>[1]!RANK_SUM(M3:O22, 2,1)</f>
        <v>53</v>
      </c>
      <c r="P29" s="14">
        <f>[1]!RANK_SUM(M3:O22, 3,1)</f>
        <v>61</v>
      </c>
      <c r="S29" t="str">
        <f>M2</f>
        <v>HET</v>
      </c>
      <c r="T29" t="str">
        <f>O2</f>
        <v>WT</v>
      </c>
      <c r="U29" s="31">
        <f>[1]!MWTEST(M3:M22,O3:O22)</f>
        <v>0.11010082552091305</v>
      </c>
      <c r="V29">
        <f>[1]!MANN(M3:M22,O3:O22)</f>
        <v>26</v>
      </c>
      <c r="W29">
        <f>ABS(AVERAGE(M3:M22)-AVERAGE(O3:O22))</f>
        <v>0.31850250000000002</v>
      </c>
    </row>
    <row r="30" spans="1:28" x14ac:dyDescent="0.2">
      <c r="A30" t="s">
        <v>94</v>
      </c>
      <c r="B30" s="13">
        <f>COUNT(A3:A22)</f>
        <v>20</v>
      </c>
      <c r="C30" s="4">
        <f t="shared" ref="C30:D30" si="4">COUNT(B3:B22)</f>
        <v>5</v>
      </c>
      <c r="D30" s="14">
        <f t="shared" si="4"/>
        <v>6</v>
      </c>
      <c r="E30" s="18">
        <f>SUM(B30:D30)</f>
        <v>31</v>
      </c>
      <c r="G30" s="3" t="str">
        <f>B2</f>
        <v>WT</v>
      </c>
      <c r="H30" s="3" t="str">
        <f>C2</f>
        <v>KO</v>
      </c>
      <c r="I30" s="23">
        <f>[1]!MWTEST(B3:B22,C3:C22)</f>
        <v>0.10360419498787632</v>
      </c>
      <c r="J30" s="3">
        <f>[1]!MANN(B3:B22,C3:C22)</f>
        <v>6</v>
      </c>
      <c r="K30" s="3">
        <f>ABS(AVERAGE(B3:B22)-AVERAGE(C3:C22))</f>
        <v>0.18058840000000004</v>
      </c>
      <c r="M30" t="s">
        <v>94</v>
      </c>
      <c r="N30" s="13">
        <f>COUNT(M3:M22)</f>
        <v>20</v>
      </c>
      <c r="O30" s="4">
        <f t="shared" ref="O30:P30" si="5">COUNT(N3:N22)</f>
        <v>6</v>
      </c>
      <c r="P30" s="14">
        <f t="shared" si="5"/>
        <v>5</v>
      </c>
      <c r="Q30" s="18">
        <f>SUM(N30:P30)</f>
        <v>31</v>
      </c>
      <c r="S30" s="3" t="str">
        <f>N2</f>
        <v>KO</v>
      </c>
      <c r="T30" s="3" t="str">
        <f>O2</f>
        <v>WT</v>
      </c>
      <c r="U30" s="32">
        <f>[1]!MWTEST(N3:N22,O3:O22)</f>
        <v>0.38886121403562646</v>
      </c>
      <c r="V30" s="3">
        <f>[1]!MANN(N3:N22,O3:O22)</f>
        <v>10</v>
      </c>
      <c r="W30" s="3">
        <f>ABS(AVERAGE(N3:N22)-AVERAGE(O3:O22))</f>
        <v>0.32763866666666663</v>
      </c>
    </row>
    <row r="31" spans="1:28" x14ac:dyDescent="0.2">
      <c r="A31" t="s">
        <v>95</v>
      </c>
      <c r="B31" s="15">
        <f>B29^2/B30</f>
        <v>6900.6125000000002</v>
      </c>
      <c r="C31" s="16">
        <f t="shared" ref="C31:D31" si="6">C29^2/C30</f>
        <v>1201.25</v>
      </c>
      <c r="D31" s="17">
        <f t="shared" si="6"/>
        <v>368.16666666666669</v>
      </c>
      <c r="E31" s="19">
        <f>SUM(B31:D31)</f>
        <v>8470.0291666666672</v>
      </c>
      <c r="M31" t="s">
        <v>95</v>
      </c>
      <c r="N31" s="15">
        <f>N29^2/N30</f>
        <v>7296.2</v>
      </c>
      <c r="O31" s="16">
        <f t="shared" ref="O31:P31" si="7">O29^2/O30</f>
        <v>468.16666666666669</v>
      </c>
      <c r="P31" s="17">
        <f t="shared" si="7"/>
        <v>744.2</v>
      </c>
      <c r="Q31" s="19">
        <f>SUM(N31:P31)</f>
        <v>8508.5666666666675</v>
      </c>
    </row>
    <row r="32" spans="1:28" x14ac:dyDescent="0.2">
      <c r="A32" t="s">
        <v>96</v>
      </c>
      <c r="E32" s="19">
        <f>12*E31/(E30*(E30+1))-3*(E30+1)</f>
        <v>6.4600302419354847</v>
      </c>
      <c r="M32" t="s">
        <v>96</v>
      </c>
      <c r="Q32" s="19">
        <f>12*Q31/(Q30*(Q30+1))-3*(Q30+1)</f>
        <v>6.9262096774193793</v>
      </c>
    </row>
    <row r="33" spans="1:17" x14ac:dyDescent="0.2">
      <c r="A33" t="s">
        <v>97</v>
      </c>
      <c r="E33" s="19">
        <f>E32/(1-[1]!TiesCorrection(A3:C22)/(31*(31^2-1)))</f>
        <v>6.5351315521109532</v>
      </c>
      <c r="M33" t="s">
        <v>97</v>
      </c>
      <c r="Q33" s="19">
        <f>Q32/(1-[1]!TiesCorrection(M3:O22)/(31*(31^2-1)))</f>
        <v>7.0053017944535316</v>
      </c>
    </row>
    <row r="34" spans="1:17" x14ac:dyDescent="0.2">
      <c r="A34" t="s">
        <v>62</v>
      </c>
      <c r="E34" s="19">
        <f>COUNTA(B27:D27)-1</f>
        <v>2</v>
      </c>
      <c r="M34" t="s">
        <v>62</v>
      </c>
      <c r="Q34" s="19">
        <f>COUNTA(N27:P27)-1</f>
        <v>2</v>
      </c>
    </row>
    <row r="35" spans="1:17" x14ac:dyDescent="0.2">
      <c r="A35" t="s">
        <v>86</v>
      </c>
      <c r="E35" s="22">
        <f>_xlfn.CHISQ.DIST.RT(E33,E34)</f>
        <v>3.8099055923948376E-2</v>
      </c>
      <c r="M35" t="s">
        <v>86</v>
      </c>
      <c r="Q35" s="22">
        <f>_xlfn.CHISQ.DIST.RT(Q33,Q34)</f>
        <v>3.0117439271028831E-2</v>
      </c>
    </row>
    <row r="36" spans="1:17" x14ac:dyDescent="0.2">
      <c r="A36" t="s">
        <v>73</v>
      </c>
      <c r="E36" s="19">
        <v>0.05</v>
      </c>
      <c r="M36" t="s">
        <v>73</v>
      </c>
      <c r="Q36" s="19">
        <v>0.05</v>
      </c>
    </row>
    <row r="37" spans="1:17" x14ac:dyDescent="0.2">
      <c r="A37" t="s">
        <v>98</v>
      </c>
      <c r="E37" s="20" t="str">
        <f>IF(E35&lt;E36,"yes","no")</f>
        <v>yes</v>
      </c>
      <c r="M37" t="s">
        <v>98</v>
      </c>
      <c r="Q37" s="20" t="str">
        <f>IF(Q35&lt;Q36,"yes","no")</f>
        <v>yes</v>
      </c>
    </row>
    <row r="40" spans="1:17" x14ac:dyDescent="0.2">
      <c r="A40" s="9" t="s">
        <v>90</v>
      </c>
    </row>
    <row r="41" spans="1:17" x14ac:dyDescent="0.2">
      <c r="A41" t="s">
        <v>45</v>
      </c>
      <c r="B41" t="s">
        <v>46</v>
      </c>
      <c r="C41" t="s">
        <v>47</v>
      </c>
      <c r="M41" t="s">
        <v>45</v>
      </c>
      <c r="N41" t="s">
        <v>47</v>
      </c>
      <c r="O41" t="s">
        <v>46</v>
      </c>
    </row>
    <row r="42" spans="1:17" x14ac:dyDescent="0.2">
      <c r="A42">
        <v>3.4483E-2</v>
      </c>
      <c r="B42">
        <v>0.16667000000000001</v>
      </c>
      <c r="C42">
        <v>5.2631999999999998E-2</v>
      </c>
      <c r="M42">
        <v>2.7012</v>
      </c>
      <c r="N42">
        <v>0.73987999999999998</v>
      </c>
      <c r="O42">
        <v>0.69020999999999999</v>
      </c>
    </row>
    <row r="43" spans="1:17" x14ac:dyDescent="0.2">
      <c r="A43">
        <v>2.1739000000000001E-2</v>
      </c>
      <c r="B43">
        <v>0.16667000000000001</v>
      </c>
      <c r="C43">
        <v>0</v>
      </c>
      <c r="M43">
        <v>0.40467999999999998</v>
      </c>
      <c r="N43">
        <v>0</v>
      </c>
      <c r="O43">
        <v>0.61487000000000003</v>
      </c>
    </row>
    <row r="44" spans="1:17" x14ac:dyDescent="0.2">
      <c r="A44">
        <v>0</v>
      </c>
      <c r="B44">
        <v>0</v>
      </c>
      <c r="C44">
        <v>0.11765</v>
      </c>
      <c r="M44">
        <v>0</v>
      </c>
      <c r="N44">
        <v>0.82601999999999998</v>
      </c>
      <c r="O44">
        <v>0</v>
      </c>
    </row>
    <row r="45" spans="1:17" x14ac:dyDescent="0.2">
      <c r="A45">
        <v>0.18182000000000001</v>
      </c>
      <c r="B45">
        <v>0</v>
      </c>
      <c r="C45">
        <v>8.8234999999999994E-2</v>
      </c>
      <c r="M45">
        <v>1.0696000000000001</v>
      </c>
      <c r="N45">
        <v>1.3974</v>
      </c>
      <c r="O45">
        <v>0</v>
      </c>
    </row>
    <row r="46" spans="1:17" x14ac:dyDescent="0.2">
      <c r="A46">
        <v>0</v>
      </c>
      <c r="B46">
        <v>7.4074000000000001E-2</v>
      </c>
      <c r="C46">
        <v>8.8234999999999994E-2</v>
      </c>
      <c r="M46">
        <v>0</v>
      </c>
      <c r="N46">
        <v>0.55047999999999997</v>
      </c>
      <c r="O46">
        <v>0.88563999999999998</v>
      </c>
    </row>
    <row r="47" spans="1:17" x14ac:dyDescent="0.2">
      <c r="A47">
        <v>2.1277000000000001E-2</v>
      </c>
      <c r="C47">
        <v>0</v>
      </c>
      <c r="M47">
        <v>0.61804999999999999</v>
      </c>
      <c r="N47">
        <v>0</v>
      </c>
    </row>
    <row r="48" spans="1:17" x14ac:dyDescent="0.2">
      <c r="A48">
        <v>0</v>
      </c>
      <c r="M48">
        <v>0</v>
      </c>
    </row>
    <row r="49" spans="1:19" x14ac:dyDescent="0.2">
      <c r="A49">
        <v>3.0303E-2</v>
      </c>
      <c r="M49">
        <v>0.97711000000000003</v>
      </c>
    </row>
    <row r="50" spans="1:19" x14ac:dyDescent="0.2">
      <c r="A50">
        <v>0</v>
      </c>
      <c r="M50">
        <v>0</v>
      </c>
    </row>
    <row r="51" spans="1:19" x14ac:dyDescent="0.2">
      <c r="A51">
        <v>0</v>
      </c>
      <c r="M51">
        <v>0</v>
      </c>
    </row>
    <row r="52" spans="1:19" x14ac:dyDescent="0.2">
      <c r="A52">
        <v>0</v>
      </c>
      <c r="M52">
        <v>0</v>
      </c>
    </row>
    <row r="53" spans="1:19" x14ac:dyDescent="0.2">
      <c r="A53">
        <v>0</v>
      </c>
      <c r="M53">
        <v>0</v>
      </c>
    </row>
    <row r="54" spans="1:19" x14ac:dyDescent="0.2">
      <c r="A54">
        <v>7.8947000000000003E-2</v>
      </c>
      <c r="M54">
        <v>0.87499000000000005</v>
      </c>
    </row>
    <row r="55" spans="1:19" x14ac:dyDescent="0.2">
      <c r="A55">
        <v>0.19231000000000001</v>
      </c>
      <c r="M55">
        <v>1.1337999999999999</v>
      </c>
    </row>
    <row r="56" spans="1:19" x14ac:dyDescent="0.2">
      <c r="A56">
        <v>6.8966E-2</v>
      </c>
      <c r="M56">
        <v>0.74904000000000004</v>
      </c>
    </row>
    <row r="57" spans="1:19" x14ac:dyDescent="0.2">
      <c r="A57">
        <v>0.30435000000000001</v>
      </c>
      <c r="M57">
        <v>1.2776000000000001</v>
      </c>
    </row>
    <row r="58" spans="1:19" x14ac:dyDescent="0.2">
      <c r="A58">
        <v>0</v>
      </c>
      <c r="M58">
        <v>0</v>
      </c>
    </row>
    <row r="59" spans="1:19" x14ac:dyDescent="0.2">
      <c r="A59">
        <v>8.8234999999999994E-2</v>
      </c>
      <c r="M59">
        <v>0.86656</v>
      </c>
    </row>
    <row r="60" spans="1:19" x14ac:dyDescent="0.2">
      <c r="A60">
        <v>0.26316000000000001</v>
      </c>
      <c r="M60">
        <v>0.81020999999999999</v>
      </c>
    </row>
    <row r="61" spans="1:19" x14ac:dyDescent="0.2">
      <c r="A61">
        <v>0</v>
      </c>
      <c r="M61">
        <v>0</v>
      </c>
    </row>
    <row r="64" spans="1:19" x14ac:dyDescent="0.2">
      <c r="A64" t="s">
        <v>91</v>
      </c>
      <c r="G64" t="s">
        <v>99</v>
      </c>
      <c r="M64" t="s">
        <v>91</v>
      </c>
      <c r="S64" t="s">
        <v>99</v>
      </c>
    </row>
    <row r="65" spans="1:23" ht="16" thickBot="1" x14ac:dyDescent="0.25"/>
    <row r="66" spans="1:23" ht="16" thickTop="1" x14ac:dyDescent="0.2">
      <c r="B66" t="str">
        <f>A41</f>
        <v>HET</v>
      </c>
      <c r="C66" t="str">
        <f t="shared" ref="C66:D66" si="8">B41</f>
        <v>WT</v>
      </c>
      <c r="D66" t="str">
        <f t="shared" si="8"/>
        <v>KO</v>
      </c>
      <c r="G66" s="1" t="s">
        <v>80</v>
      </c>
      <c r="H66" s="1" t="s">
        <v>81</v>
      </c>
      <c r="I66" s="1" t="s">
        <v>86</v>
      </c>
      <c r="J66" s="1" t="s">
        <v>100</v>
      </c>
      <c r="K66" s="1" t="s">
        <v>75</v>
      </c>
      <c r="N66" t="str">
        <f>M41</f>
        <v>HET</v>
      </c>
      <c r="O66" t="str">
        <f t="shared" ref="O66:P66" si="9">N41</f>
        <v>KO</v>
      </c>
      <c r="P66" t="str">
        <f t="shared" si="9"/>
        <v>WT</v>
      </c>
      <c r="S66" s="1" t="s">
        <v>80</v>
      </c>
      <c r="T66" s="1" t="s">
        <v>81</v>
      </c>
      <c r="U66" s="1" t="s">
        <v>86</v>
      </c>
      <c r="V66" s="1" t="s">
        <v>100</v>
      </c>
      <c r="W66" s="1" t="s">
        <v>75</v>
      </c>
    </row>
    <row r="67" spans="1:23" x14ac:dyDescent="0.2">
      <c r="A67" t="s">
        <v>92</v>
      </c>
      <c r="B67" s="10">
        <f>MEDIAN(A42:A61)</f>
        <v>2.1507999999999999E-2</v>
      </c>
      <c r="C67" s="11">
        <f t="shared" ref="C67:D67" si="10">MEDIAN(B42:B61)</f>
        <v>7.4074000000000001E-2</v>
      </c>
      <c r="D67" s="12">
        <f t="shared" si="10"/>
        <v>7.0433499999999996E-2</v>
      </c>
      <c r="G67" t="str">
        <f>A41</f>
        <v>HET</v>
      </c>
      <c r="H67" t="str">
        <f>B41</f>
        <v>WT</v>
      </c>
      <c r="I67" s="5">
        <f>[1]!MWTEST(A42:A61,B42:B61)</f>
        <v>0.74927205132853114</v>
      </c>
      <c r="J67">
        <f>[1]!MANN(A42:A61,B42:B61)</f>
        <v>45</v>
      </c>
      <c r="K67">
        <f>ABS(AVERAGE(A42:A61)-AVERAGE(B42:B61))</f>
        <v>1.7203300000000005E-2</v>
      </c>
      <c r="M67" t="s">
        <v>92</v>
      </c>
      <c r="N67" s="10">
        <f>MEDIAN(M42:M61)</f>
        <v>0.51136499999999996</v>
      </c>
      <c r="O67" s="11">
        <f t="shared" ref="O67:P67" si="11">MEDIAN(N42:N61)</f>
        <v>0.64517999999999998</v>
      </c>
      <c r="P67" s="12">
        <f t="shared" si="11"/>
        <v>0.61487000000000003</v>
      </c>
      <c r="S67" t="str">
        <f>M41</f>
        <v>HET</v>
      </c>
      <c r="T67" t="str">
        <f>N41</f>
        <v>KO</v>
      </c>
      <c r="U67" s="31">
        <f>[1]!MWTEST(M42:M61,N42:N61)</f>
        <v>0.92437299770175541</v>
      </c>
      <c r="V67">
        <f>[1]!MANN(M42:M61,N42:N61)</f>
        <v>58</v>
      </c>
      <c r="W67">
        <f>ABS(AVERAGE(M42:M61)-AVERAGE(N42:N61))</f>
        <v>1.1488000000000054E-2</v>
      </c>
    </row>
    <row r="68" spans="1:23" x14ac:dyDescent="0.2">
      <c r="A68" t="s">
        <v>93</v>
      </c>
      <c r="B68" s="13">
        <f>[1]!RANK_SUM(A42:C61, 1,1)</f>
        <v>306</v>
      </c>
      <c r="C68" s="4">
        <f>[1]!RANK_SUM(A42:C61, 2,1)</f>
        <v>87</v>
      </c>
      <c r="D68" s="14">
        <f>[1]!RANK_SUM(A42:C61, 3,1)</f>
        <v>103</v>
      </c>
      <c r="G68" t="str">
        <f>A41</f>
        <v>HET</v>
      </c>
      <c r="H68" t="str">
        <f>C41</f>
        <v>KO</v>
      </c>
      <c r="I68" s="5">
        <f>[1]!MWTEST(A42:A61,C42:C61)</f>
        <v>0.59035856615548887</v>
      </c>
      <c r="J68">
        <f>[1]!MANN(A42:A61,C42:C61)</f>
        <v>51</v>
      </c>
      <c r="K68">
        <f>ABS(AVERAGE(A42:A61)-AVERAGE(C42:C61))</f>
        <v>6.4875000000000002E-3</v>
      </c>
      <c r="M68" t="s">
        <v>93</v>
      </c>
      <c r="N68" s="13">
        <f>[1]!RANK_SUM(M42:O61, 1,1)</f>
        <v>323</v>
      </c>
      <c r="O68" s="4">
        <f>[1]!RANK_SUM(M42:O61, 2,1)</f>
        <v>100</v>
      </c>
      <c r="P68" s="14">
        <f>[1]!RANK_SUM(M42:O61, 3,1)</f>
        <v>73</v>
      </c>
      <c r="S68" t="str">
        <f>M41</f>
        <v>HET</v>
      </c>
      <c r="T68" t="str">
        <f>O41</f>
        <v>WT</v>
      </c>
      <c r="U68" s="31">
        <f>[1]!MWTEST(M42:M61,O42:O61)</f>
        <v>0.74932296202936843</v>
      </c>
      <c r="V68">
        <f>[1]!MANN(M42:M61,O42:O61)</f>
        <v>45</v>
      </c>
      <c r="W68">
        <f>ABS(AVERAGE(M42:M61)-AVERAGE(O42:O61))</f>
        <v>0.13599799999999995</v>
      </c>
    </row>
    <row r="69" spans="1:23" x14ac:dyDescent="0.2">
      <c r="A69" t="s">
        <v>94</v>
      </c>
      <c r="B69" s="13">
        <f>COUNT(A42:A61)</f>
        <v>20</v>
      </c>
      <c r="C69" s="4">
        <f t="shared" ref="C69:D69" si="12">COUNT(B42:B61)</f>
        <v>5</v>
      </c>
      <c r="D69" s="14">
        <f t="shared" si="12"/>
        <v>6</v>
      </c>
      <c r="E69" s="18">
        <f>SUM(B69:D69)</f>
        <v>31</v>
      </c>
      <c r="G69" s="3" t="str">
        <f>B41</f>
        <v>WT</v>
      </c>
      <c r="H69" s="3" t="str">
        <f>C41</f>
        <v>KO</v>
      </c>
      <c r="I69" s="23">
        <f>[1]!MWTEST(B42:B61,C42:C61)</f>
        <v>0.77821162401823951</v>
      </c>
      <c r="J69" s="3">
        <f>[1]!MANN(B42:B61,C42:C61)</f>
        <v>13</v>
      </c>
      <c r="K69" s="3">
        <f>ABS(AVERAGE(B42:B61)-AVERAGE(C42:C61))</f>
        <v>2.3690800000000005E-2</v>
      </c>
      <c r="M69" t="s">
        <v>94</v>
      </c>
      <c r="N69" s="13">
        <f>COUNT(M42:M61)</f>
        <v>20</v>
      </c>
      <c r="O69" s="4">
        <f t="shared" ref="O69:P69" si="13">COUNT(N42:N61)</f>
        <v>6</v>
      </c>
      <c r="P69" s="14">
        <f t="shared" si="13"/>
        <v>5</v>
      </c>
      <c r="Q69" s="18">
        <f>SUM(N69:P69)</f>
        <v>31</v>
      </c>
      <c r="S69" s="3" t="str">
        <f>N41</f>
        <v>KO</v>
      </c>
      <c r="T69" s="3" t="str">
        <f>O41</f>
        <v>WT</v>
      </c>
      <c r="U69" s="32">
        <f>[1]!MWTEST(N42:N61,O42:O61)</f>
        <v>0.77924278219700627</v>
      </c>
      <c r="V69" s="3">
        <f>[1]!MANN(N42:N61,O42:O61)</f>
        <v>13</v>
      </c>
      <c r="W69" s="3">
        <f>ABS(AVERAGE(N42:N61)-AVERAGE(O42:O61))</f>
        <v>0.14748600000000001</v>
      </c>
    </row>
    <row r="70" spans="1:23" x14ac:dyDescent="0.2">
      <c r="A70" t="s">
        <v>95</v>
      </c>
      <c r="B70" s="15">
        <f>B68^2/B69</f>
        <v>4681.8</v>
      </c>
      <c r="C70" s="16">
        <f t="shared" ref="C70:D70" si="14">C68^2/C69</f>
        <v>1513.8</v>
      </c>
      <c r="D70" s="17">
        <f t="shared" si="14"/>
        <v>1768.1666666666667</v>
      </c>
      <c r="E70" s="19">
        <f>SUM(B70:D70)</f>
        <v>7963.7666666666673</v>
      </c>
      <c r="M70" t="s">
        <v>95</v>
      </c>
      <c r="N70" s="15">
        <f>N68^2/N69</f>
        <v>5216.45</v>
      </c>
      <c r="O70" s="16">
        <f t="shared" ref="O70:P70" si="15">O68^2/O69</f>
        <v>1666.6666666666667</v>
      </c>
      <c r="P70" s="17">
        <f t="shared" si="15"/>
        <v>1065.8</v>
      </c>
      <c r="Q70" s="19">
        <f>SUM(N70:P70)</f>
        <v>7948.916666666667</v>
      </c>
    </row>
    <row r="71" spans="1:23" x14ac:dyDescent="0.2">
      <c r="A71" t="s">
        <v>96</v>
      </c>
      <c r="E71" s="19">
        <f>12*E70/(E69*(E69+1))-3*(E69+1)</f>
        <v>0.3358870967742007</v>
      </c>
      <c r="M71" t="s">
        <v>96</v>
      </c>
      <c r="Q71" s="19">
        <f>12*Q70/(Q69*(Q69+1))-3*(Q69+1)</f>
        <v>0.15625</v>
      </c>
    </row>
    <row r="72" spans="1:23" x14ac:dyDescent="0.2">
      <c r="A72" t="s">
        <v>97</v>
      </c>
      <c r="E72" s="19">
        <f>E71/(1-[1]!TiesCorrection(A42:C61)/(31*(31^2-1)))</f>
        <v>0.36288390328905151</v>
      </c>
      <c r="M72" t="s">
        <v>97</v>
      </c>
      <c r="Q72" s="19">
        <f>Q71/(1-[1]!TiesCorrection(M42:O61)/(31*(31^2-1)))</f>
        <v>0.16862489120974761</v>
      </c>
    </row>
    <row r="73" spans="1:23" x14ac:dyDescent="0.2">
      <c r="A73" t="s">
        <v>62</v>
      </c>
      <c r="E73" s="19">
        <f>COUNTA(B66:D66)-1</f>
        <v>2</v>
      </c>
      <c r="M73" t="s">
        <v>62</v>
      </c>
      <c r="Q73" s="19">
        <f>COUNTA(N66:P66)-1</f>
        <v>2</v>
      </c>
    </row>
    <row r="74" spans="1:23" x14ac:dyDescent="0.2">
      <c r="A74" t="s">
        <v>86</v>
      </c>
      <c r="E74" s="21">
        <f>_xlfn.CHISQ.DIST.RT(E72,E73)</f>
        <v>0.83406666009624097</v>
      </c>
      <c r="M74" t="s">
        <v>86</v>
      </c>
      <c r="Q74" s="33">
        <f>_xlfn.CHISQ.DIST.RT(Q72,Q73)</f>
        <v>0.91914402871397727</v>
      </c>
    </row>
    <row r="75" spans="1:23" x14ac:dyDescent="0.2">
      <c r="A75" t="s">
        <v>73</v>
      </c>
      <c r="E75" s="19">
        <v>0.05</v>
      </c>
      <c r="M75" t="s">
        <v>73</v>
      </c>
      <c r="Q75" s="19">
        <v>0.05</v>
      </c>
    </row>
    <row r="76" spans="1:23" x14ac:dyDescent="0.2">
      <c r="A76" t="s">
        <v>98</v>
      </c>
      <c r="E76" s="20" t="str">
        <f>IF(E74&lt;E75,"yes","no")</f>
        <v>no</v>
      </c>
      <c r="M76" t="s">
        <v>98</v>
      </c>
      <c r="Q76" s="20" t="str">
        <f>IF(Q74&lt;Q75,"yes","no")</f>
        <v>no</v>
      </c>
    </row>
    <row r="79" spans="1:23" x14ac:dyDescent="0.2">
      <c r="A79" t="s">
        <v>103</v>
      </c>
    </row>
    <row r="81" spans="1:22" ht="16" thickBot="1" x14ac:dyDescent="0.25">
      <c r="A81" t="s">
        <v>104</v>
      </c>
      <c r="D81" t="s">
        <v>105</v>
      </c>
      <c r="E81">
        <v>0</v>
      </c>
      <c r="M81" t="s">
        <v>103</v>
      </c>
    </row>
    <row r="82" spans="1:22" ht="16" thickTop="1" x14ac:dyDescent="0.2">
      <c r="A82" s="1" t="s">
        <v>106</v>
      </c>
      <c r="B82" s="1" t="s">
        <v>52</v>
      </c>
      <c r="C82" s="1" t="s">
        <v>54</v>
      </c>
      <c r="D82" s="1" t="s">
        <v>55</v>
      </c>
      <c r="E82" s="1" t="s">
        <v>88</v>
      </c>
    </row>
    <row r="83" spans="1:22" ht="16" thickBot="1" x14ac:dyDescent="0.25">
      <c r="A83" t="str">
        <f>B41</f>
        <v>WT</v>
      </c>
      <c r="B83">
        <f>COUNT(B42:B46)</f>
        <v>5</v>
      </c>
      <c r="C83">
        <f>AVERAGE(B42:B46)</f>
        <v>8.1482800000000008E-2</v>
      </c>
      <c r="D83">
        <f>_xlfn.VAR.S(B42:B46)</f>
        <v>6.9618754491999977E-3</v>
      </c>
      <c r="M83" t="s">
        <v>104</v>
      </c>
      <c r="P83" t="s">
        <v>105</v>
      </c>
      <c r="Q83">
        <v>0</v>
      </c>
    </row>
    <row r="84" spans="1:22" ht="16" thickTop="1" x14ac:dyDescent="0.2">
      <c r="A84" t="str">
        <f>C41</f>
        <v>KO</v>
      </c>
      <c r="B84">
        <f>COUNT(C42:C47)</f>
        <v>6</v>
      </c>
      <c r="C84">
        <f>AVERAGE(C42:C47)</f>
        <v>5.7792000000000003E-2</v>
      </c>
      <c r="D84">
        <f>_xlfn.VAR.S(C42:C47)</f>
        <v>2.4285977579999994E-3</v>
      </c>
      <c r="M84" s="1" t="s">
        <v>106</v>
      </c>
      <c r="N84" s="1" t="s">
        <v>52</v>
      </c>
      <c r="O84" s="1" t="s">
        <v>54</v>
      </c>
      <c r="P84" s="1" t="s">
        <v>55</v>
      </c>
      <c r="Q84" s="1" t="s">
        <v>88</v>
      </c>
    </row>
    <row r="85" spans="1:22" x14ac:dyDescent="0.2">
      <c r="A85" s="2" t="s">
        <v>107</v>
      </c>
      <c r="B85" s="2"/>
      <c r="C85" s="2"/>
      <c r="D85" s="2">
        <f>((B83-1)*D83+(B84-1)*D84)/(B83+B84-2)</f>
        <v>4.4433878429777762E-3</v>
      </c>
      <c r="E85" s="2">
        <f>ABS(C83-C84-E81)/SQRT(D85)</f>
        <v>0.35540424858430497</v>
      </c>
      <c r="M85" t="str">
        <f>N41</f>
        <v>KO</v>
      </c>
      <c r="N85">
        <f>COUNT(N42:N47)</f>
        <v>6</v>
      </c>
      <c r="O85">
        <f>AVERAGE(N42:N47)</f>
        <v>0.58562999999999998</v>
      </c>
      <c r="P85">
        <f>_xlfn.VAR.S(N42:N47)</f>
        <v>0.28554229275999993</v>
      </c>
    </row>
    <row r="86" spans="1:22" x14ac:dyDescent="0.2">
      <c r="M86" t="str">
        <f>O41</f>
        <v>WT</v>
      </c>
      <c r="N86">
        <f>COUNT(O42:O46)</f>
        <v>5</v>
      </c>
      <c r="O86">
        <f>AVERAGE(O42:O46)</f>
        <v>0.43814399999999998</v>
      </c>
      <c r="P86">
        <f>_xlfn.VAR.S(O42:O46)</f>
        <v>0.16974058673000011</v>
      </c>
    </row>
    <row r="87" spans="1:22" ht="16" thickBot="1" x14ac:dyDescent="0.25">
      <c r="A87" t="s">
        <v>108</v>
      </c>
      <c r="E87" t="s">
        <v>50</v>
      </c>
      <c r="F87">
        <v>0.05</v>
      </c>
      <c r="M87" s="2" t="s">
        <v>107</v>
      </c>
      <c r="N87" s="2"/>
      <c r="O87" s="2"/>
      <c r="P87" s="2">
        <f>((N85-1)*P85+(N86-1)*P86)/(N85+N86-2)</f>
        <v>0.23407486785777781</v>
      </c>
      <c r="Q87" s="2">
        <f>ABS(O85-O86-Q83)/SQRT(P87)</f>
        <v>0.30484101833995031</v>
      </c>
    </row>
    <row r="88" spans="1:22" ht="16" thickTop="1" x14ac:dyDescent="0.2">
      <c r="A88" s="1" t="s">
        <v>109</v>
      </c>
      <c r="B88" s="1" t="s">
        <v>82</v>
      </c>
      <c r="C88" s="1" t="s">
        <v>110</v>
      </c>
      <c r="D88" s="1" t="s">
        <v>62</v>
      </c>
      <c r="E88" s="1" t="s">
        <v>86</v>
      </c>
      <c r="F88" s="1" t="s">
        <v>111</v>
      </c>
      <c r="G88" s="1" t="s">
        <v>84</v>
      </c>
      <c r="H88" s="1" t="s">
        <v>85</v>
      </c>
      <c r="I88" s="1" t="s">
        <v>98</v>
      </c>
      <c r="J88" s="1" t="s">
        <v>112</v>
      </c>
    </row>
    <row r="89" spans="1:22" ht="16" thickBot="1" x14ac:dyDescent="0.25">
      <c r="A89" t="s">
        <v>113</v>
      </c>
      <c r="B89">
        <f>SQRT(D85*(1/B83+1/B84))</f>
        <v>4.036387257303059E-2</v>
      </c>
      <c r="C89">
        <f>(ABS(C83-C84-E81))/B89</f>
        <v>0.58693079949492211</v>
      </c>
      <c r="D89">
        <f>B83+B84-2</f>
        <v>9</v>
      </c>
      <c r="E89" s="5">
        <f>_xlfn.T.DIST.RT(C89,D89)</f>
        <v>0.2858386709287194</v>
      </c>
      <c r="F89">
        <f>_xlfn.T.INV.2T(F87*2,D89)</f>
        <v>1.8331129326562374</v>
      </c>
      <c r="I89" s="27" t="str">
        <f>IF(E89&lt;F87,"yes","no")</f>
        <v>no</v>
      </c>
      <c r="J89">
        <f>SQRT(C89^2/(C89^2+D89))</f>
        <v>0.19200350205662942</v>
      </c>
      <c r="M89" t="s">
        <v>108</v>
      </c>
      <c r="Q89" t="s">
        <v>50</v>
      </c>
      <c r="R89">
        <v>0.05</v>
      </c>
    </row>
    <row r="90" spans="1:22" ht="16" thickTop="1" x14ac:dyDescent="0.2">
      <c r="A90" t="s">
        <v>114</v>
      </c>
      <c r="B90">
        <f>B89</f>
        <v>4.036387257303059E-2</v>
      </c>
      <c r="C90">
        <f t="shared" ref="C90:D90" si="16">C89</f>
        <v>0.58693079949492211</v>
      </c>
      <c r="D90">
        <f t="shared" si="16"/>
        <v>9</v>
      </c>
      <c r="E90" s="5">
        <f>_xlfn.T.DIST.2T(C90,D90)</f>
        <v>0.57167734185743879</v>
      </c>
      <c r="F90">
        <f>_xlfn.T.INV.2T(F87,D90)</f>
        <v>2.2621571627982053</v>
      </c>
      <c r="G90">
        <f>(C83-C84)-F90*B90</f>
        <v>-6.7618623459355182E-2</v>
      </c>
      <c r="H90">
        <f>(C83-C84)+F90*B90</f>
        <v>0.11500022345935518</v>
      </c>
      <c r="I90" s="27" t="str">
        <f>IF(E90&lt;F87,"yes","no")</f>
        <v>no</v>
      </c>
      <c r="J90">
        <f>J89</f>
        <v>0.19200350205662942</v>
      </c>
      <c r="M90" s="1" t="s">
        <v>109</v>
      </c>
      <c r="N90" s="1" t="s">
        <v>82</v>
      </c>
      <c r="O90" s="1" t="s">
        <v>110</v>
      </c>
      <c r="P90" s="1" t="s">
        <v>62</v>
      </c>
      <c r="Q90" s="1" t="s">
        <v>86</v>
      </c>
      <c r="R90" s="1" t="s">
        <v>111</v>
      </c>
      <c r="S90" s="1" t="s">
        <v>84</v>
      </c>
      <c r="T90" s="1" t="s">
        <v>85</v>
      </c>
      <c r="U90" s="1" t="s">
        <v>98</v>
      </c>
      <c r="V90" s="1" t="s">
        <v>112</v>
      </c>
    </row>
    <row r="91" spans="1:22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M91" t="s">
        <v>113</v>
      </c>
      <c r="N91">
        <f>SQRT(P87*(1/N85+1/N86))</f>
        <v>0.29296322558958127</v>
      </c>
      <c r="O91">
        <f>(ABS(O85-O86-Q83))/N91</f>
        <v>0.5034283729747584</v>
      </c>
      <c r="P91">
        <f>N85+N86-2</f>
        <v>9</v>
      </c>
      <c r="Q91" s="31">
        <f>_xlfn.T.DIST.RT(O91,P91)</f>
        <v>0.31337671372132914</v>
      </c>
      <c r="R91">
        <f>_xlfn.T.INV.2T(R89*2,P91)</f>
        <v>1.8331129326562374</v>
      </c>
      <c r="U91" s="27" t="str">
        <f>IF(Q91&lt;R89,"yes","no")</f>
        <v>no</v>
      </c>
      <c r="V91">
        <f>SQRT(O91^2/(O91^2+P91))</f>
        <v>0.16549545791338863</v>
      </c>
    </row>
    <row r="92" spans="1:22" ht="16" thickBot="1" x14ac:dyDescent="0.25">
      <c r="A92" t="s">
        <v>115</v>
      </c>
      <c r="E92" t="s">
        <v>50</v>
      </c>
      <c r="F92">
        <f>F87</f>
        <v>0.05</v>
      </c>
      <c r="M92" t="s">
        <v>114</v>
      </c>
      <c r="N92">
        <f>N91</f>
        <v>0.29296322558958127</v>
      </c>
      <c r="O92">
        <f t="shared" ref="O92:P92" si="17">O91</f>
        <v>0.5034283729747584</v>
      </c>
      <c r="P92">
        <f t="shared" si="17"/>
        <v>9</v>
      </c>
      <c r="Q92" s="31">
        <f>_xlfn.T.DIST.2T(O92,P92)</f>
        <v>0.62675342744265827</v>
      </c>
      <c r="R92">
        <f>_xlfn.T.INV.2T(R89,P92)</f>
        <v>2.2621571627982053</v>
      </c>
      <c r="S92">
        <f>(O85-O86)-R92*N92</f>
        <v>-0.51524285920393775</v>
      </c>
      <c r="T92">
        <f>(O85-O86)+R92*N92</f>
        <v>0.81021485920393777</v>
      </c>
      <c r="U92" s="27" t="str">
        <f>IF(Q92&lt;R89,"yes","no")</f>
        <v>no</v>
      </c>
      <c r="V92">
        <f>V91</f>
        <v>0.16549545791338863</v>
      </c>
    </row>
    <row r="93" spans="1:22" ht="16" thickTop="1" x14ac:dyDescent="0.2">
      <c r="A93" s="1" t="s">
        <v>109</v>
      </c>
      <c r="B93" s="1" t="s">
        <v>82</v>
      </c>
      <c r="C93" s="1" t="s">
        <v>110</v>
      </c>
      <c r="D93" s="1" t="s">
        <v>62</v>
      </c>
      <c r="E93" s="1" t="s">
        <v>86</v>
      </c>
      <c r="F93" s="1" t="s">
        <v>111</v>
      </c>
      <c r="G93" s="1" t="s">
        <v>84</v>
      </c>
      <c r="H93" s="1" t="s">
        <v>85</v>
      </c>
      <c r="I93" s="1" t="s">
        <v>98</v>
      </c>
      <c r="J93" s="1" t="s">
        <v>112</v>
      </c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2" ht="16" thickBot="1" x14ac:dyDescent="0.25">
      <c r="A94" t="s">
        <v>113</v>
      </c>
      <c r="B94">
        <f>SQRT(D83/B83+D84/B84)</f>
        <v>4.239270435865114E-2</v>
      </c>
      <c r="C94">
        <f>(ABS(C83-C84-E81))/B94</f>
        <v>0.55884144119636447</v>
      </c>
      <c r="D94">
        <f>(D83/B83+D84/B84)^2/((D83/B83)^2/(B83-1)+(D84/B84)^2/(B84-1))</f>
        <v>6.2416717585094714</v>
      </c>
      <c r="E94" s="5">
        <f>[1]!T_DIST_RT(C94,D94)</f>
        <v>0.2978684085700134</v>
      </c>
      <c r="F94">
        <f>[1]!T_INV(1-F92,D94)</f>
        <v>1.9297886258943773</v>
      </c>
      <c r="I94" s="27" t="str">
        <f>IF(E94&lt;F92,"yes","no")</f>
        <v>no</v>
      </c>
      <c r="J94">
        <f>SQRT(C94^2/(C94^2+D94))</f>
        <v>0.21829118412061119</v>
      </c>
      <c r="M94" t="s">
        <v>115</v>
      </c>
      <c r="Q94" t="s">
        <v>50</v>
      </c>
      <c r="R94">
        <f>R89</f>
        <v>0.05</v>
      </c>
    </row>
    <row r="95" spans="1:22" ht="16" thickTop="1" x14ac:dyDescent="0.2">
      <c r="A95" t="s">
        <v>114</v>
      </c>
      <c r="B95">
        <f>B94</f>
        <v>4.239270435865114E-2</v>
      </c>
      <c r="C95">
        <f t="shared" ref="C95:D95" si="18">C94</f>
        <v>0.55884144119636447</v>
      </c>
      <c r="D95">
        <f t="shared" si="18"/>
        <v>6.2416717585094714</v>
      </c>
      <c r="E95" s="5">
        <f>[1]!T_DIST_2T(C95,D95)</f>
        <v>0.5957368171400268</v>
      </c>
      <c r="F95">
        <f>[1]!T_INV_2T(F92,D95)</f>
        <v>2.4241285598168747</v>
      </c>
      <c r="G95">
        <f>(C83-C84)-F95*B95</f>
        <v>-7.9074565363679516E-2</v>
      </c>
      <c r="H95">
        <f>(C83-C84)+F95*B95</f>
        <v>0.12645616536367954</v>
      </c>
      <c r="I95" s="27" t="str">
        <f>IF(E95&lt;F92,"yes","no")</f>
        <v>no</v>
      </c>
      <c r="J95">
        <f>J94</f>
        <v>0.21829118412061119</v>
      </c>
      <c r="M95" s="1" t="s">
        <v>109</v>
      </c>
      <c r="N95" s="1" t="s">
        <v>82</v>
      </c>
      <c r="O95" s="1" t="s">
        <v>110</v>
      </c>
      <c r="P95" s="1" t="s">
        <v>62</v>
      </c>
      <c r="Q95" s="1" t="s">
        <v>86</v>
      </c>
      <c r="R95" s="1" t="s">
        <v>111</v>
      </c>
      <c r="S95" s="1" t="s">
        <v>84</v>
      </c>
      <c r="T95" s="1" t="s">
        <v>85</v>
      </c>
      <c r="U95" s="1" t="s">
        <v>98</v>
      </c>
      <c r="V95" s="1" t="s">
        <v>112</v>
      </c>
    </row>
    <row r="96" spans="1:22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M96" t="s">
        <v>113</v>
      </c>
      <c r="N96">
        <f>SQRT(P85/N85+P86/N86)</f>
        <v>0.28554946939657699</v>
      </c>
      <c r="O96">
        <f>(ABS(O85-O86-Q83))/N96</f>
        <v>0.51649894609038272</v>
      </c>
      <c r="P96">
        <f>(P85/N85+P86/N86)^2/((P85/N85)^2/(N85-1)+(P86/N86)^2/(N86-1))</f>
        <v>8.9713108638206194</v>
      </c>
      <c r="Q96" s="31">
        <f>[1]!T_DIST_RT(O96,P96)</f>
        <v>0.30899769341658767</v>
      </c>
      <c r="R96">
        <f>[1]!T_INV(1-R94,P96)</f>
        <v>1.8337805642852563</v>
      </c>
      <c r="U96" s="27" t="str">
        <f>IF(Q96&lt;R94,"yes","no")</f>
        <v>no</v>
      </c>
      <c r="V96">
        <f>SQRT(O96^2/(O96^2+P96))</f>
        <v>0.16993331621518953</v>
      </c>
    </row>
    <row r="97" spans="13:22" x14ac:dyDescent="0.2">
      <c r="M97" t="s">
        <v>114</v>
      </c>
      <c r="N97">
        <f>N96</f>
        <v>0.28554946939657699</v>
      </c>
      <c r="O97">
        <f t="shared" ref="O97:P97" si="19">O96</f>
        <v>0.51649894609038272</v>
      </c>
      <c r="P97">
        <f t="shared" si="19"/>
        <v>8.9713108638206194</v>
      </c>
      <c r="Q97" s="31">
        <f>[1]!T_DIST_2T(O97,P97)</f>
        <v>0.61799538683317534</v>
      </c>
      <c r="R97">
        <f>[1]!T_INV_2T(R94,P97)</f>
        <v>2.2632603764673926</v>
      </c>
      <c r="S97">
        <f>(O85-O86)-R97*N97</f>
        <v>-0.49878679960656103</v>
      </c>
      <c r="T97">
        <f>(O85-O86)+R97*N97</f>
        <v>0.79375879960656104</v>
      </c>
      <c r="U97" s="27" t="str">
        <f>IF(Q97&lt;R94,"yes","no")</f>
        <v>no</v>
      </c>
      <c r="V97">
        <f>V96</f>
        <v>0.16993331621518953</v>
      </c>
    </row>
    <row r="98" spans="13:22" x14ac:dyDescent="0.2">
      <c r="M98" s="2"/>
      <c r="N98" s="2"/>
      <c r="O98" s="2"/>
      <c r="P98" s="2"/>
      <c r="Q98" s="2"/>
      <c r="R98" s="2"/>
      <c r="S98" s="2"/>
      <c r="T98" s="2"/>
      <c r="U98" s="2"/>
      <c r="V98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4B0D4-276F-4142-928A-0A7C5A1B5AD0}">
  <dimension ref="A1:G95"/>
  <sheetViews>
    <sheetView tabSelected="1" workbookViewId="0">
      <selection activeCell="C1" sqref="C1:C1048576"/>
    </sheetView>
  </sheetViews>
  <sheetFormatPr baseColWidth="10" defaultColWidth="8.83203125" defaultRowHeight="15" x14ac:dyDescent="0.2"/>
  <cols>
    <col min="10" max="10" width="18.1640625" bestFit="1" customWidth="1"/>
  </cols>
  <sheetData>
    <row r="1" spans="1:7" x14ac:dyDescent="0.2">
      <c r="A1" t="s">
        <v>41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</row>
    <row r="2" spans="1:7" x14ac:dyDescent="0.2">
      <c r="A2" t="s">
        <v>42</v>
      </c>
      <c r="B2" t="s">
        <v>6</v>
      </c>
      <c r="C2" t="s">
        <v>7</v>
      </c>
      <c r="D2">
        <v>0</v>
      </c>
      <c r="E2">
        <v>9.6667000000000003E-2</v>
      </c>
      <c r="F2">
        <v>0.10419</v>
      </c>
      <c r="G2">
        <v>0.10264</v>
      </c>
    </row>
    <row r="3" spans="1:7" x14ac:dyDescent="0.2">
      <c r="A3" t="s">
        <v>42</v>
      </c>
      <c r="B3" t="s">
        <v>8</v>
      </c>
      <c r="C3" t="s">
        <v>9</v>
      </c>
      <c r="D3">
        <v>0</v>
      </c>
      <c r="E3">
        <v>0.15332999999999999</v>
      </c>
      <c r="F3">
        <v>0.16588</v>
      </c>
      <c r="G3">
        <v>7.4000999999999997E-2</v>
      </c>
    </row>
    <row r="4" spans="1:7" x14ac:dyDescent="0.2">
      <c r="A4" t="s">
        <v>42</v>
      </c>
      <c r="B4" t="s">
        <v>10</v>
      </c>
      <c r="C4" t="s">
        <v>11</v>
      </c>
      <c r="D4">
        <v>0</v>
      </c>
      <c r="E4">
        <v>6.6667000000000004E-2</v>
      </c>
      <c r="F4">
        <v>0.11691</v>
      </c>
      <c r="G4">
        <v>0.23186000000000001</v>
      </c>
    </row>
    <row r="5" spans="1:7" x14ac:dyDescent="0.2">
      <c r="A5" t="s">
        <v>42</v>
      </c>
      <c r="B5" t="s">
        <v>12</v>
      </c>
      <c r="C5" t="s">
        <v>11</v>
      </c>
      <c r="D5">
        <v>0</v>
      </c>
      <c r="E5">
        <v>3.6666999999999998E-2</v>
      </c>
      <c r="F5">
        <v>6.7087999999999995E-2</v>
      </c>
      <c r="G5">
        <v>9.8002000000000006E-2</v>
      </c>
    </row>
    <row r="6" spans="1:7" x14ac:dyDescent="0.2">
      <c r="A6" t="s">
        <v>42</v>
      </c>
      <c r="B6" t="s">
        <v>13</v>
      </c>
      <c r="C6" t="s">
        <v>14</v>
      </c>
      <c r="D6">
        <v>0</v>
      </c>
      <c r="E6">
        <v>0.16667000000000001</v>
      </c>
      <c r="F6">
        <v>0.18806999999999999</v>
      </c>
      <c r="G6">
        <v>9.425E-2</v>
      </c>
    </row>
    <row r="7" spans="1:7" x14ac:dyDescent="0.2">
      <c r="A7" t="s">
        <v>42</v>
      </c>
      <c r="B7" t="s">
        <v>15</v>
      </c>
      <c r="C7" t="s">
        <v>14</v>
      </c>
      <c r="D7">
        <v>0</v>
      </c>
      <c r="E7">
        <v>0.15667</v>
      </c>
      <c r="F7">
        <v>0.17913000000000001</v>
      </c>
      <c r="G7">
        <v>0.12096999999999999</v>
      </c>
    </row>
    <row r="8" spans="1:7" x14ac:dyDescent="0.2">
      <c r="A8" t="s">
        <v>42</v>
      </c>
      <c r="B8" t="s">
        <v>16</v>
      </c>
      <c r="C8" t="s">
        <v>11</v>
      </c>
      <c r="D8">
        <v>0</v>
      </c>
      <c r="E8">
        <v>0.11333</v>
      </c>
      <c r="F8">
        <v>0.15473000000000001</v>
      </c>
      <c r="G8">
        <v>9.5797999999999994E-2</v>
      </c>
    </row>
    <row r="9" spans="1:7" x14ac:dyDescent="0.2">
      <c r="A9" t="s">
        <v>42</v>
      </c>
      <c r="B9" t="s">
        <v>17</v>
      </c>
      <c r="C9" t="s">
        <v>11</v>
      </c>
      <c r="D9">
        <v>0</v>
      </c>
      <c r="E9">
        <v>0.11</v>
      </c>
      <c r="F9">
        <v>0.12444</v>
      </c>
      <c r="G9">
        <v>0.18584000000000001</v>
      </c>
    </row>
    <row r="10" spans="1:7" x14ac:dyDescent="0.2">
      <c r="A10" t="s">
        <v>42</v>
      </c>
      <c r="B10" t="s">
        <v>18</v>
      </c>
      <c r="C10" t="s">
        <v>11</v>
      </c>
      <c r="D10">
        <v>0</v>
      </c>
      <c r="E10">
        <v>0.12</v>
      </c>
      <c r="F10">
        <v>0.12812999999999999</v>
      </c>
      <c r="G10">
        <v>6.9347000000000006E-2</v>
      </c>
    </row>
    <row r="11" spans="1:7" x14ac:dyDescent="0.2">
      <c r="A11" t="s">
        <v>42</v>
      </c>
      <c r="B11" t="s">
        <v>19</v>
      </c>
      <c r="C11" t="s">
        <v>11</v>
      </c>
      <c r="D11">
        <v>0</v>
      </c>
      <c r="E11">
        <v>0.10667</v>
      </c>
      <c r="F11">
        <v>0.14033000000000001</v>
      </c>
      <c r="G11">
        <v>0.24437999999999999</v>
      </c>
    </row>
    <row r="12" spans="1:7" x14ac:dyDescent="0.2">
      <c r="A12" t="s">
        <v>42</v>
      </c>
      <c r="B12" t="s">
        <v>20</v>
      </c>
      <c r="C12" t="s">
        <v>11</v>
      </c>
      <c r="D12">
        <v>0</v>
      </c>
      <c r="E12">
        <v>0.06</v>
      </c>
      <c r="F12">
        <v>7.4775999999999995E-2</v>
      </c>
      <c r="G12">
        <v>0.13969000000000001</v>
      </c>
    </row>
    <row r="13" spans="1:7" x14ac:dyDescent="0.2">
      <c r="A13" t="s">
        <v>42</v>
      </c>
      <c r="B13" t="s">
        <v>21</v>
      </c>
      <c r="C13" t="s">
        <v>11</v>
      </c>
      <c r="D13">
        <v>0</v>
      </c>
      <c r="E13">
        <v>8.3333000000000004E-2</v>
      </c>
      <c r="F13">
        <v>0.14196</v>
      </c>
      <c r="G13">
        <v>0.24404000000000001</v>
      </c>
    </row>
    <row r="14" spans="1:7" x14ac:dyDescent="0.2">
      <c r="A14" t="s">
        <v>42</v>
      </c>
      <c r="B14" t="s">
        <v>22</v>
      </c>
      <c r="C14" t="s">
        <v>11</v>
      </c>
      <c r="D14">
        <v>0</v>
      </c>
      <c r="E14">
        <v>0.12667</v>
      </c>
      <c r="F14">
        <v>0.15262000000000001</v>
      </c>
      <c r="G14">
        <v>0.26733000000000001</v>
      </c>
    </row>
    <row r="15" spans="1:7" x14ac:dyDescent="0.2">
      <c r="A15" t="s">
        <v>42</v>
      </c>
      <c r="B15" t="s">
        <v>23</v>
      </c>
      <c r="C15" t="s">
        <v>11</v>
      </c>
      <c r="D15">
        <v>0</v>
      </c>
      <c r="E15">
        <v>8.6666999999999994E-2</v>
      </c>
      <c r="F15">
        <v>0.10120999999999999</v>
      </c>
      <c r="G15">
        <v>0.18015</v>
      </c>
    </row>
    <row r="16" spans="1:7" x14ac:dyDescent="0.2">
      <c r="A16" t="s">
        <v>42</v>
      </c>
      <c r="B16" t="s">
        <v>24</v>
      </c>
      <c r="C16" t="s">
        <v>11</v>
      </c>
      <c r="D16">
        <v>0</v>
      </c>
      <c r="E16">
        <v>9.6667000000000003E-2</v>
      </c>
      <c r="F16">
        <v>0.12522</v>
      </c>
      <c r="G16">
        <v>0.63678000000000001</v>
      </c>
    </row>
    <row r="17" spans="1:7" x14ac:dyDescent="0.2">
      <c r="A17" t="s">
        <v>42</v>
      </c>
      <c r="B17" t="s">
        <v>25</v>
      </c>
      <c r="C17" t="s">
        <v>11</v>
      </c>
      <c r="D17">
        <v>0</v>
      </c>
      <c r="E17">
        <v>7.6666999999999999E-2</v>
      </c>
      <c r="F17">
        <v>0.10919</v>
      </c>
      <c r="G17">
        <v>0.20072999999999999</v>
      </c>
    </row>
    <row r="18" spans="1:7" x14ac:dyDescent="0.2">
      <c r="A18" t="s">
        <v>42</v>
      </c>
      <c r="B18" t="s">
        <v>26</v>
      </c>
      <c r="C18" t="s">
        <v>11</v>
      </c>
      <c r="D18">
        <v>0</v>
      </c>
      <c r="E18">
        <v>5.6667000000000002E-2</v>
      </c>
      <c r="F18">
        <v>9.3497999999999998E-2</v>
      </c>
      <c r="G18">
        <v>0.16505</v>
      </c>
    </row>
    <row r="19" spans="1:7" x14ac:dyDescent="0.2">
      <c r="A19" t="s">
        <v>42</v>
      </c>
      <c r="B19" t="s">
        <v>27</v>
      </c>
      <c r="C19" t="s">
        <v>11</v>
      </c>
      <c r="D19">
        <v>0</v>
      </c>
      <c r="E19">
        <v>0.11333</v>
      </c>
      <c r="F19">
        <v>0.13916000000000001</v>
      </c>
      <c r="G19">
        <v>0.13370000000000001</v>
      </c>
    </row>
    <row r="20" spans="1:7" x14ac:dyDescent="0.2">
      <c r="A20" t="s">
        <v>42</v>
      </c>
      <c r="B20" t="s">
        <v>28</v>
      </c>
      <c r="C20" t="s">
        <v>11</v>
      </c>
      <c r="D20">
        <v>0</v>
      </c>
      <c r="E20">
        <v>6.3333E-2</v>
      </c>
      <c r="F20">
        <v>0.12509999999999999</v>
      </c>
      <c r="G20">
        <v>0.22806999999999999</v>
      </c>
    </row>
    <row r="21" spans="1:7" x14ac:dyDescent="0.2">
      <c r="A21" t="s">
        <v>42</v>
      </c>
      <c r="B21" t="s">
        <v>29</v>
      </c>
      <c r="C21" t="s">
        <v>11</v>
      </c>
      <c r="D21">
        <v>0</v>
      </c>
      <c r="E21">
        <v>0.06</v>
      </c>
      <c r="F21">
        <v>7.4965000000000004E-2</v>
      </c>
      <c r="G21">
        <v>0.23499999999999999</v>
      </c>
    </row>
    <row r="22" spans="1:7" x14ac:dyDescent="0.2">
      <c r="A22" t="s">
        <v>44</v>
      </c>
      <c r="B22" t="s">
        <v>30</v>
      </c>
      <c r="C22" t="s">
        <v>11</v>
      </c>
      <c r="D22">
        <v>0</v>
      </c>
      <c r="E22">
        <v>6.3333E-2</v>
      </c>
      <c r="F22">
        <v>6.8552000000000002E-2</v>
      </c>
      <c r="G22">
        <v>0.79481999999999997</v>
      </c>
    </row>
    <row r="23" spans="1:7" x14ac:dyDescent="0.2">
      <c r="A23" t="s">
        <v>44</v>
      </c>
      <c r="B23" t="s">
        <v>31</v>
      </c>
      <c r="C23" t="s">
        <v>11</v>
      </c>
      <c r="D23">
        <v>0</v>
      </c>
      <c r="E23">
        <v>0.12</v>
      </c>
      <c r="F23">
        <v>0.12784000000000001</v>
      </c>
      <c r="G23">
        <v>8.8110999999999995E-2</v>
      </c>
    </row>
    <row r="24" spans="1:7" x14ac:dyDescent="0.2">
      <c r="A24" t="s">
        <v>44</v>
      </c>
      <c r="B24" t="s">
        <v>32</v>
      </c>
      <c r="C24" t="s">
        <v>11</v>
      </c>
      <c r="D24">
        <v>0</v>
      </c>
      <c r="E24">
        <v>5.6667000000000002E-2</v>
      </c>
      <c r="F24">
        <v>0.11738999999999999</v>
      </c>
      <c r="G24">
        <v>0.16958000000000001</v>
      </c>
    </row>
    <row r="25" spans="1:7" x14ac:dyDescent="0.2">
      <c r="A25" t="s">
        <v>44</v>
      </c>
      <c r="B25" t="s">
        <v>33</v>
      </c>
      <c r="C25" t="s">
        <v>11</v>
      </c>
      <c r="D25">
        <v>0</v>
      </c>
      <c r="E25">
        <v>0.11333</v>
      </c>
      <c r="F25">
        <v>0.13922000000000001</v>
      </c>
      <c r="G25">
        <v>8.6360999999999993E-2</v>
      </c>
    </row>
    <row r="26" spans="1:7" x14ac:dyDescent="0.2">
      <c r="A26" t="s">
        <v>44</v>
      </c>
      <c r="B26" t="s">
        <v>34</v>
      </c>
      <c r="C26" t="s">
        <v>11</v>
      </c>
      <c r="D26">
        <v>0</v>
      </c>
      <c r="E26">
        <v>0.11333</v>
      </c>
      <c r="F26">
        <v>0.12376</v>
      </c>
      <c r="G26">
        <v>0.31868000000000002</v>
      </c>
    </row>
    <row r="27" spans="1:7" x14ac:dyDescent="0.2">
      <c r="A27" t="s">
        <v>44</v>
      </c>
      <c r="B27" t="s">
        <v>35</v>
      </c>
      <c r="C27" t="s">
        <v>11</v>
      </c>
      <c r="D27">
        <v>0</v>
      </c>
      <c r="E27">
        <v>7.3332999999999995E-2</v>
      </c>
      <c r="F27">
        <v>8.6971000000000007E-2</v>
      </c>
      <c r="G27">
        <v>0.12533</v>
      </c>
    </row>
    <row r="28" spans="1:7" x14ac:dyDescent="0.2">
      <c r="A28" t="s">
        <v>43</v>
      </c>
      <c r="B28" t="s">
        <v>36</v>
      </c>
      <c r="C28" t="s">
        <v>11</v>
      </c>
      <c r="D28">
        <v>0</v>
      </c>
      <c r="E28">
        <v>0.04</v>
      </c>
      <c r="F28">
        <v>6.3383999999999996E-2</v>
      </c>
      <c r="G28">
        <v>0.17066999999999999</v>
      </c>
    </row>
    <row r="29" spans="1:7" x14ac:dyDescent="0.2">
      <c r="A29" t="s">
        <v>43</v>
      </c>
      <c r="B29" t="s">
        <v>37</v>
      </c>
      <c r="C29" t="s">
        <v>11</v>
      </c>
      <c r="D29">
        <v>0</v>
      </c>
      <c r="E29">
        <v>0.06</v>
      </c>
      <c r="F29">
        <v>0.10518</v>
      </c>
      <c r="G29">
        <v>0.22161</v>
      </c>
    </row>
    <row r="30" spans="1:7" x14ac:dyDescent="0.2">
      <c r="A30" t="s">
        <v>43</v>
      </c>
      <c r="B30" t="s">
        <v>38</v>
      </c>
      <c r="C30" t="s">
        <v>11</v>
      </c>
      <c r="D30">
        <v>0</v>
      </c>
      <c r="E30">
        <v>0.28333000000000003</v>
      </c>
      <c r="F30">
        <v>0.31441999999999998</v>
      </c>
      <c r="G30">
        <v>0.12454</v>
      </c>
    </row>
    <row r="31" spans="1:7" x14ac:dyDescent="0.2">
      <c r="A31" t="s">
        <v>43</v>
      </c>
      <c r="B31" t="s">
        <v>39</v>
      </c>
      <c r="C31" t="s">
        <v>11</v>
      </c>
      <c r="D31">
        <v>0</v>
      </c>
      <c r="E31">
        <v>0.12333</v>
      </c>
      <c r="F31">
        <v>0.19897000000000001</v>
      </c>
      <c r="G31">
        <v>9.2165999999999998E-2</v>
      </c>
    </row>
    <row r="32" spans="1:7" x14ac:dyDescent="0.2">
      <c r="A32" t="s">
        <v>43</v>
      </c>
      <c r="B32" t="s">
        <v>40</v>
      </c>
      <c r="C32" t="s">
        <v>7</v>
      </c>
      <c r="D32">
        <v>0</v>
      </c>
      <c r="E32">
        <v>0.18</v>
      </c>
      <c r="F32">
        <v>0.20444999999999999</v>
      </c>
      <c r="G32">
        <v>0.12534000000000001</v>
      </c>
    </row>
    <row r="33" spans="1:7" x14ac:dyDescent="0.2">
      <c r="A33" t="s">
        <v>42</v>
      </c>
      <c r="B33" t="s">
        <v>6</v>
      </c>
      <c r="C33" t="s">
        <v>7</v>
      </c>
      <c r="D33">
        <v>20</v>
      </c>
      <c r="E33">
        <v>6.6667000000000002E-3</v>
      </c>
      <c r="F33">
        <v>0.12998999999999999</v>
      </c>
      <c r="G33">
        <v>0.25496999999999997</v>
      </c>
    </row>
    <row r="34" spans="1:7" x14ac:dyDescent="0.2">
      <c r="A34" t="s">
        <v>42</v>
      </c>
      <c r="B34" t="s">
        <v>8</v>
      </c>
      <c r="C34" t="s">
        <v>9</v>
      </c>
      <c r="D34">
        <v>20</v>
      </c>
      <c r="E34">
        <v>8.3333000000000004E-2</v>
      </c>
      <c r="F34">
        <v>0.17535000000000001</v>
      </c>
      <c r="G34">
        <v>5.7840999999999997E-2</v>
      </c>
    </row>
    <row r="35" spans="1:7" x14ac:dyDescent="0.2">
      <c r="A35" t="s">
        <v>42</v>
      </c>
      <c r="B35" t="s">
        <v>10</v>
      </c>
      <c r="C35" t="s">
        <v>11</v>
      </c>
      <c r="D35">
        <v>20</v>
      </c>
      <c r="E35">
        <v>1.6667000000000001E-2</v>
      </c>
      <c r="F35">
        <v>2.1780999999999998E-2</v>
      </c>
      <c r="G35">
        <v>0.19980000000000001</v>
      </c>
    </row>
    <row r="36" spans="1:7" x14ac:dyDescent="0.2">
      <c r="A36" t="s">
        <v>42</v>
      </c>
      <c r="B36" t="s">
        <v>12</v>
      </c>
      <c r="C36" t="s">
        <v>11</v>
      </c>
      <c r="D36">
        <v>20</v>
      </c>
      <c r="E36">
        <v>3.3333E-3</v>
      </c>
      <c r="F36">
        <v>1.3147000000000001E-2</v>
      </c>
      <c r="G36">
        <v>0.11673</v>
      </c>
    </row>
    <row r="37" spans="1:7" x14ac:dyDescent="0.2">
      <c r="A37" t="s">
        <v>42</v>
      </c>
      <c r="B37" t="s">
        <v>13</v>
      </c>
      <c r="C37" t="s">
        <v>14</v>
      </c>
      <c r="D37">
        <v>20</v>
      </c>
      <c r="E37">
        <v>7.3332999999999995E-2</v>
      </c>
      <c r="F37">
        <v>7.7265E-2</v>
      </c>
      <c r="G37">
        <v>8.5725999999999997E-2</v>
      </c>
    </row>
    <row r="38" spans="1:7" x14ac:dyDescent="0.2">
      <c r="A38" t="s">
        <v>42</v>
      </c>
      <c r="B38" t="s">
        <v>15</v>
      </c>
      <c r="C38" t="s">
        <v>14</v>
      </c>
      <c r="D38">
        <v>20</v>
      </c>
      <c r="E38">
        <v>0</v>
      </c>
      <c r="F38">
        <v>0</v>
      </c>
      <c r="G38">
        <v>0</v>
      </c>
    </row>
    <row r="39" spans="1:7" x14ac:dyDescent="0.2">
      <c r="A39" t="s">
        <v>42</v>
      </c>
      <c r="B39" t="s">
        <v>16</v>
      </c>
      <c r="C39" t="s">
        <v>11</v>
      </c>
      <c r="D39">
        <v>20</v>
      </c>
      <c r="E39">
        <v>3.3333E-3</v>
      </c>
      <c r="F39">
        <v>6.8082000000000004E-3</v>
      </c>
      <c r="G39">
        <v>0.10513</v>
      </c>
    </row>
    <row r="40" spans="1:7" x14ac:dyDescent="0.2">
      <c r="A40" t="s">
        <v>42</v>
      </c>
      <c r="B40" t="s">
        <v>17</v>
      </c>
      <c r="C40" t="s">
        <v>11</v>
      </c>
      <c r="D40">
        <v>20</v>
      </c>
      <c r="E40">
        <v>3.3333000000000002E-2</v>
      </c>
      <c r="F40">
        <v>6.5280000000000005E-2</v>
      </c>
      <c r="G40">
        <v>0.18523999999999999</v>
      </c>
    </row>
    <row r="41" spans="1:7" x14ac:dyDescent="0.2">
      <c r="A41" t="s">
        <v>42</v>
      </c>
      <c r="B41" t="s">
        <v>18</v>
      </c>
      <c r="C41" t="s">
        <v>11</v>
      </c>
      <c r="D41">
        <v>20</v>
      </c>
      <c r="E41">
        <v>6.3333E-2</v>
      </c>
      <c r="F41">
        <v>6.3171000000000005E-2</v>
      </c>
      <c r="G41">
        <v>7.3009000000000004E-2</v>
      </c>
    </row>
    <row r="42" spans="1:7" x14ac:dyDescent="0.2">
      <c r="A42" t="s">
        <v>42</v>
      </c>
      <c r="B42" t="s">
        <v>19</v>
      </c>
      <c r="C42" t="s">
        <v>11</v>
      </c>
      <c r="D42">
        <v>20</v>
      </c>
      <c r="E42">
        <v>1.3332999999999999E-2</v>
      </c>
      <c r="F42">
        <v>3.5549999999999998E-2</v>
      </c>
      <c r="G42">
        <v>0.24979000000000001</v>
      </c>
    </row>
    <row r="43" spans="1:7" x14ac:dyDescent="0.2">
      <c r="A43" t="s">
        <v>42</v>
      </c>
      <c r="B43" t="s">
        <v>20</v>
      </c>
      <c r="C43" t="s">
        <v>11</v>
      </c>
      <c r="D43">
        <v>20</v>
      </c>
      <c r="E43">
        <v>3.3333E-3</v>
      </c>
      <c r="F43">
        <v>1.7631999999999999E-3</v>
      </c>
      <c r="G43">
        <v>0.14510999999999999</v>
      </c>
    </row>
    <row r="44" spans="1:7" x14ac:dyDescent="0.2">
      <c r="A44" t="s">
        <v>42</v>
      </c>
      <c r="B44" t="s">
        <v>21</v>
      </c>
      <c r="C44" t="s">
        <v>11</v>
      </c>
      <c r="D44">
        <v>20</v>
      </c>
      <c r="E44">
        <v>0.04</v>
      </c>
      <c r="F44">
        <v>4.9394E-2</v>
      </c>
      <c r="G44">
        <v>0.25115999999999999</v>
      </c>
    </row>
    <row r="45" spans="1:7" x14ac:dyDescent="0.2">
      <c r="A45" t="s">
        <v>42</v>
      </c>
      <c r="B45" t="s">
        <v>22</v>
      </c>
      <c r="C45" t="s">
        <v>11</v>
      </c>
      <c r="D45">
        <v>20</v>
      </c>
      <c r="E45">
        <v>7.0000000000000007E-2</v>
      </c>
      <c r="F45">
        <v>0.10323</v>
      </c>
      <c r="G45">
        <v>0.27373999999999998</v>
      </c>
    </row>
    <row r="46" spans="1:7" x14ac:dyDescent="0.2">
      <c r="A46" t="s">
        <v>42</v>
      </c>
      <c r="B46" t="s">
        <v>23</v>
      </c>
      <c r="C46" t="s">
        <v>11</v>
      </c>
      <c r="D46">
        <v>20</v>
      </c>
      <c r="E46">
        <v>0.03</v>
      </c>
      <c r="F46">
        <v>5.3338999999999998E-2</v>
      </c>
      <c r="G46">
        <v>0.20472000000000001</v>
      </c>
    </row>
    <row r="47" spans="1:7" x14ac:dyDescent="0.2">
      <c r="A47" t="s">
        <v>42</v>
      </c>
      <c r="B47" t="s">
        <v>24</v>
      </c>
      <c r="C47" t="s">
        <v>11</v>
      </c>
      <c r="D47">
        <v>20</v>
      </c>
      <c r="E47">
        <v>4.3333000000000003E-2</v>
      </c>
      <c r="F47">
        <v>0.11154</v>
      </c>
      <c r="G47">
        <v>0.64634000000000003</v>
      </c>
    </row>
    <row r="48" spans="1:7" x14ac:dyDescent="0.2">
      <c r="A48" t="s">
        <v>42</v>
      </c>
      <c r="B48" t="s">
        <v>25</v>
      </c>
      <c r="C48" t="s">
        <v>11</v>
      </c>
      <c r="D48">
        <v>20</v>
      </c>
      <c r="E48">
        <v>0</v>
      </c>
      <c r="F48">
        <v>0</v>
      </c>
      <c r="G48">
        <v>0</v>
      </c>
    </row>
    <row r="49" spans="1:7" x14ac:dyDescent="0.2">
      <c r="A49" t="s">
        <v>42</v>
      </c>
      <c r="B49" t="s">
        <v>26</v>
      </c>
      <c r="C49" t="s">
        <v>11</v>
      </c>
      <c r="D49">
        <v>20</v>
      </c>
      <c r="E49">
        <v>0.04</v>
      </c>
      <c r="F49">
        <v>0.10353999999999999</v>
      </c>
      <c r="G49">
        <v>9.7451999999999997E-2</v>
      </c>
    </row>
    <row r="50" spans="1:7" x14ac:dyDescent="0.2">
      <c r="A50" t="s">
        <v>42</v>
      </c>
      <c r="B50" t="s">
        <v>27</v>
      </c>
      <c r="C50" t="s">
        <v>11</v>
      </c>
      <c r="D50">
        <v>20</v>
      </c>
      <c r="E50">
        <v>7.6666999999999999E-2</v>
      </c>
      <c r="F50">
        <v>0.11545999999999999</v>
      </c>
      <c r="G50">
        <v>0.12175999999999999</v>
      </c>
    </row>
    <row r="51" spans="1:7" x14ac:dyDescent="0.2">
      <c r="A51" t="s">
        <v>42</v>
      </c>
      <c r="B51" t="s">
        <v>28</v>
      </c>
      <c r="C51" t="s">
        <v>11</v>
      </c>
      <c r="D51">
        <v>20</v>
      </c>
      <c r="E51">
        <v>3.3333000000000002E-2</v>
      </c>
      <c r="F51">
        <v>3.4044999999999999E-2</v>
      </c>
      <c r="G51">
        <v>0.20538000000000001</v>
      </c>
    </row>
    <row r="52" spans="1:7" x14ac:dyDescent="0.2">
      <c r="A52" t="s">
        <v>42</v>
      </c>
      <c r="B52" t="s">
        <v>29</v>
      </c>
      <c r="C52" t="s">
        <v>11</v>
      </c>
      <c r="D52">
        <v>20</v>
      </c>
      <c r="E52">
        <v>0.01</v>
      </c>
      <c r="F52">
        <v>8.2438000000000008E-3</v>
      </c>
      <c r="G52">
        <v>0.27500999999999998</v>
      </c>
    </row>
    <row r="53" spans="1:7" x14ac:dyDescent="0.2">
      <c r="A53" t="s">
        <v>44</v>
      </c>
      <c r="B53" t="s">
        <v>30</v>
      </c>
      <c r="C53" t="s">
        <v>11</v>
      </c>
      <c r="D53">
        <v>20</v>
      </c>
      <c r="E53">
        <v>0</v>
      </c>
      <c r="F53">
        <v>0</v>
      </c>
      <c r="G53">
        <v>0</v>
      </c>
    </row>
    <row r="54" spans="1:7" x14ac:dyDescent="0.2">
      <c r="A54" t="s">
        <v>44</v>
      </c>
      <c r="B54" t="s">
        <v>31</v>
      </c>
      <c r="C54" t="s">
        <v>11</v>
      </c>
      <c r="D54">
        <v>20</v>
      </c>
      <c r="E54">
        <v>2.3333E-2</v>
      </c>
      <c r="F54">
        <v>5.4697000000000003E-2</v>
      </c>
      <c r="G54">
        <v>9.1748999999999997E-2</v>
      </c>
    </row>
    <row r="55" spans="1:7" x14ac:dyDescent="0.2">
      <c r="A55" t="s">
        <v>44</v>
      </c>
      <c r="B55" t="s">
        <v>32</v>
      </c>
      <c r="C55" t="s">
        <v>11</v>
      </c>
      <c r="D55">
        <v>20</v>
      </c>
      <c r="E55">
        <v>0</v>
      </c>
      <c r="F55">
        <v>0</v>
      </c>
      <c r="G55">
        <v>0</v>
      </c>
    </row>
    <row r="56" spans="1:7" x14ac:dyDescent="0.2">
      <c r="A56" t="s">
        <v>44</v>
      </c>
      <c r="B56" t="s">
        <v>33</v>
      </c>
      <c r="C56" t="s">
        <v>11</v>
      </c>
      <c r="D56">
        <v>20</v>
      </c>
      <c r="E56">
        <v>0</v>
      </c>
      <c r="F56">
        <v>0</v>
      </c>
      <c r="G56">
        <v>0</v>
      </c>
    </row>
    <row r="57" spans="1:7" x14ac:dyDescent="0.2">
      <c r="A57" t="s">
        <v>44</v>
      </c>
      <c r="B57" t="s">
        <v>34</v>
      </c>
      <c r="C57" t="s">
        <v>11</v>
      </c>
      <c r="D57">
        <v>20</v>
      </c>
      <c r="E57">
        <v>0</v>
      </c>
      <c r="F57">
        <v>0</v>
      </c>
      <c r="G57">
        <v>0</v>
      </c>
    </row>
    <row r="58" spans="1:7" x14ac:dyDescent="0.2">
      <c r="A58" t="s">
        <v>44</v>
      </c>
      <c r="B58" t="s">
        <v>35</v>
      </c>
      <c r="C58" t="s">
        <v>11</v>
      </c>
      <c r="D58">
        <v>20</v>
      </c>
      <c r="E58">
        <v>1.6667000000000001E-2</v>
      </c>
      <c r="F58">
        <v>2.7470000000000001E-2</v>
      </c>
      <c r="G58">
        <v>0.10599</v>
      </c>
    </row>
    <row r="59" spans="1:7" x14ac:dyDescent="0.2">
      <c r="A59" t="s">
        <v>43</v>
      </c>
      <c r="B59" t="s">
        <v>36</v>
      </c>
      <c r="C59" t="s">
        <v>11</v>
      </c>
      <c r="D59">
        <v>20</v>
      </c>
      <c r="E59">
        <v>0.01</v>
      </c>
      <c r="F59">
        <v>2.4559000000000001E-2</v>
      </c>
      <c r="G59">
        <v>0.12620000000000001</v>
      </c>
    </row>
    <row r="60" spans="1:7" x14ac:dyDescent="0.2">
      <c r="A60" t="s">
        <v>43</v>
      </c>
      <c r="B60" t="s">
        <v>37</v>
      </c>
      <c r="C60" t="s">
        <v>11</v>
      </c>
      <c r="D60">
        <v>20</v>
      </c>
      <c r="E60">
        <v>0</v>
      </c>
      <c r="F60">
        <v>0</v>
      </c>
      <c r="G60">
        <v>0</v>
      </c>
    </row>
    <row r="61" spans="1:7" x14ac:dyDescent="0.2">
      <c r="A61" t="s">
        <v>43</v>
      </c>
      <c r="B61" t="s">
        <v>38</v>
      </c>
      <c r="C61" t="s">
        <v>11</v>
      </c>
      <c r="D61">
        <v>20</v>
      </c>
      <c r="E61">
        <v>0.13</v>
      </c>
      <c r="F61">
        <v>0.14008000000000001</v>
      </c>
      <c r="G61">
        <v>6.8966E-2</v>
      </c>
    </row>
    <row r="62" spans="1:7" x14ac:dyDescent="0.2">
      <c r="A62" t="s">
        <v>43</v>
      </c>
      <c r="B62" t="s">
        <v>39</v>
      </c>
      <c r="C62" t="s">
        <v>11</v>
      </c>
      <c r="D62">
        <v>20</v>
      </c>
      <c r="E62">
        <v>3.3333E-3</v>
      </c>
      <c r="F62">
        <v>2.0076999999999998E-3</v>
      </c>
      <c r="G62">
        <v>7.1258000000000002E-2</v>
      </c>
    </row>
    <row r="63" spans="1:7" x14ac:dyDescent="0.2">
      <c r="A63" t="s">
        <v>43</v>
      </c>
      <c r="B63" t="s">
        <v>40</v>
      </c>
      <c r="C63" t="s">
        <v>7</v>
      </c>
      <c r="D63">
        <v>20</v>
      </c>
      <c r="E63">
        <v>9.3332999999999999E-2</v>
      </c>
      <c r="F63">
        <v>0.10971</v>
      </c>
      <c r="G63">
        <v>0.14343</v>
      </c>
    </row>
    <row r="64" spans="1:7" x14ac:dyDescent="0.2">
      <c r="A64" t="s">
        <v>42</v>
      </c>
      <c r="B64" t="s">
        <v>6</v>
      </c>
      <c r="C64" t="s">
        <v>7</v>
      </c>
      <c r="D64">
        <v>50</v>
      </c>
      <c r="E64">
        <v>3.3333E-3</v>
      </c>
      <c r="F64">
        <v>3.7036E-3</v>
      </c>
      <c r="G64">
        <v>0.27725</v>
      </c>
    </row>
    <row r="65" spans="1:7" x14ac:dyDescent="0.2">
      <c r="A65" t="s">
        <v>42</v>
      </c>
      <c r="B65" t="s">
        <v>8</v>
      </c>
      <c r="C65" t="s">
        <v>9</v>
      </c>
      <c r="D65">
        <v>50</v>
      </c>
      <c r="E65">
        <v>3.3333E-3</v>
      </c>
      <c r="F65">
        <v>1.9729000000000001E-3</v>
      </c>
      <c r="G65">
        <v>2.9946E-2</v>
      </c>
    </row>
    <row r="66" spans="1:7" x14ac:dyDescent="0.2">
      <c r="A66" t="s">
        <v>42</v>
      </c>
      <c r="B66" t="s">
        <v>10</v>
      </c>
      <c r="C66" t="s">
        <v>11</v>
      </c>
      <c r="D66">
        <v>50</v>
      </c>
      <c r="E66">
        <v>0</v>
      </c>
      <c r="F66">
        <v>0</v>
      </c>
      <c r="G66">
        <v>0</v>
      </c>
    </row>
    <row r="67" spans="1:7" x14ac:dyDescent="0.2">
      <c r="A67" t="s">
        <v>42</v>
      </c>
      <c r="B67" t="s">
        <v>12</v>
      </c>
      <c r="C67" t="s">
        <v>11</v>
      </c>
      <c r="D67">
        <v>50</v>
      </c>
      <c r="E67">
        <v>6.6667000000000002E-3</v>
      </c>
      <c r="F67">
        <v>4.2571999999999999E-2</v>
      </c>
      <c r="G67">
        <v>0.10483000000000001</v>
      </c>
    </row>
    <row r="68" spans="1:7" x14ac:dyDescent="0.2">
      <c r="A68" t="s">
        <v>42</v>
      </c>
      <c r="B68" t="s">
        <v>13</v>
      </c>
      <c r="C68" t="s">
        <v>14</v>
      </c>
      <c r="D68">
        <v>50</v>
      </c>
      <c r="E68">
        <v>0</v>
      </c>
      <c r="F68">
        <v>0</v>
      </c>
      <c r="G68">
        <v>0</v>
      </c>
    </row>
    <row r="69" spans="1:7" x14ac:dyDescent="0.2">
      <c r="A69" t="s">
        <v>42</v>
      </c>
      <c r="B69" t="s">
        <v>15</v>
      </c>
      <c r="C69" t="s">
        <v>14</v>
      </c>
      <c r="D69">
        <v>50</v>
      </c>
      <c r="E69">
        <v>3.3333E-3</v>
      </c>
      <c r="F69">
        <v>1.8955E-3</v>
      </c>
      <c r="G69">
        <v>7.4765999999999999E-2</v>
      </c>
    </row>
    <row r="70" spans="1:7" x14ac:dyDescent="0.2">
      <c r="A70" t="s">
        <v>42</v>
      </c>
      <c r="B70" t="s">
        <v>16</v>
      </c>
      <c r="C70" t="s">
        <v>11</v>
      </c>
      <c r="D70">
        <v>50</v>
      </c>
      <c r="E70">
        <v>0</v>
      </c>
      <c r="F70">
        <v>0</v>
      </c>
      <c r="G70">
        <v>0</v>
      </c>
    </row>
    <row r="71" spans="1:7" x14ac:dyDescent="0.2">
      <c r="A71" t="s">
        <v>42</v>
      </c>
      <c r="B71" t="s">
        <v>17</v>
      </c>
      <c r="C71" t="s">
        <v>11</v>
      </c>
      <c r="D71">
        <v>50</v>
      </c>
      <c r="E71">
        <v>3.3333E-3</v>
      </c>
      <c r="F71">
        <v>1.5207E-3</v>
      </c>
      <c r="G71">
        <v>0.18157999999999999</v>
      </c>
    </row>
    <row r="72" spans="1:7" x14ac:dyDescent="0.2">
      <c r="A72" t="s">
        <v>42</v>
      </c>
      <c r="B72" t="s">
        <v>18</v>
      </c>
      <c r="C72" t="s">
        <v>11</v>
      </c>
      <c r="D72">
        <v>50</v>
      </c>
      <c r="E72">
        <v>0</v>
      </c>
      <c r="F72">
        <v>0</v>
      </c>
      <c r="G72">
        <v>0</v>
      </c>
    </row>
    <row r="73" spans="1:7" x14ac:dyDescent="0.2">
      <c r="A73" t="s">
        <v>42</v>
      </c>
      <c r="B73" t="s">
        <v>19</v>
      </c>
      <c r="C73" t="s">
        <v>11</v>
      </c>
      <c r="D73">
        <v>50</v>
      </c>
      <c r="E73">
        <v>0</v>
      </c>
      <c r="F73">
        <v>0</v>
      </c>
      <c r="G73">
        <v>0</v>
      </c>
    </row>
    <row r="74" spans="1:7" x14ac:dyDescent="0.2">
      <c r="A74" t="s">
        <v>42</v>
      </c>
      <c r="B74" t="s">
        <v>20</v>
      </c>
      <c r="C74" t="s">
        <v>11</v>
      </c>
      <c r="D74">
        <v>50</v>
      </c>
      <c r="E74">
        <v>0</v>
      </c>
      <c r="F74">
        <v>0</v>
      </c>
      <c r="G74">
        <v>0</v>
      </c>
    </row>
    <row r="75" spans="1:7" x14ac:dyDescent="0.2">
      <c r="A75" t="s">
        <v>42</v>
      </c>
      <c r="B75" t="s">
        <v>21</v>
      </c>
      <c r="C75" t="s">
        <v>11</v>
      </c>
      <c r="D75">
        <v>50</v>
      </c>
      <c r="E75">
        <v>0</v>
      </c>
      <c r="F75">
        <v>0</v>
      </c>
      <c r="G75">
        <v>0</v>
      </c>
    </row>
    <row r="76" spans="1:7" x14ac:dyDescent="0.2">
      <c r="A76" t="s">
        <v>42</v>
      </c>
      <c r="B76" t="s">
        <v>22</v>
      </c>
      <c r="C76" t="s">
        <v>11</v>
      </c>
      <c r="D76">
        <v>50</v>
      </c>
      <c r="E76">
        <v>0.01</v>
      </c>
      <c r="F76">
        <v>6.2586000000000003E-2</v>
      </c>
      <c r="G76">
        <v>0.23391000000000001</v>
      </c>
    </row>
    <row r="77" spans="1:7" x14ac:dyDescent="0.2">
      <c r="A77" t="s">
        <v>42</v>
      </c>
      <c r="B77" t="s">
        <v>23</v>
      </c>
      <c r="C77" t="s">
        <v>11</v>
      </c>
      <c r="D77">
        <v>50</v>
      </c>
      <c r="E77">
        <v>1.6667000000000001E-2</v>
      </c>
      <c r="F77">
        <v>0.14877000000000001</v>
      </c>
      <c r="G77">
        <v>0.20424999999999999</v>
      </c>
    </row>
    <row r="78" spans="1:7" x14ac:dyDescent="0.2">
      <c r="A78" t="s">
        <v>42</v>
      </c>
      <c r="B78" t="s">
        <v>24</v>
      </c>
      <c r="C78" t="s">
        <v>11</v>
      </c>
      <c r="D78">
        <v>50</v>
      </c>
      <c r="E78">
        <v>6.6667000000000002E-3</v>
      </c>
      <c r="F78">
        <v>2.8986000000000001E-2</v>
      </c>
      <c r="G78">
        <v>0.47697000000000001</v>
      </c>
    </row>
    <row r="79" spans="1:7" x14ac:dyDescent="0.2">
      <c r="A79" t="s">
        <v>42</v>
      </c>
      <c r="B79" t="s">
        <v>25</v>
      </c>
      <c r="C79" t="s">
        <v>11</v>
      </c>
      <c r="D79">
        <v>50</v>
      </c>
      <c r="E79">
        <v>2.3333E-2</v>
      </c>
      <c r="F79">
        <v>0.16048000000000001</v>
      </c>
      <c r="G79">
        <v>0.25646000000000002</v>
      </c>
    </row>
    <row r="80" spans="1:7" x14ac:dyDescent="0.2">
      <c r="A80" t="s">
        <v>42</v>
      </c>
      <c r="B80" t="s">
        <v>26</v>
      </c>
      <c r="C80" t="s">
        <v>11</v>
      </c>
      <c r="D80">
        <v>50</v>
      </c>
      <c r="E80">
        <v>0</v>
      </c>
      <c r="F80">
        <v>0</v>
      </c>
      <c r="G80">
        <v>0</v>
      </c>
    </row>
    <row r="81" spans="1:7" x14ac:dyDescent="0.2">
      <c r="A81" t="s">
        <v>42</v>
      </c>
      <c r="B81" t="s">
        <v>27</v>
      </c>
      <c r="C81" t="s">
        <v>11</v>
      </c>
      <c r="D81">
        <v>50</v>
      </c>
      <c r="E81">
        <v>0.01</v>
      </c>
      <c r="F81">
        <v>1.9002999999999999E-2</v>
      </c>
      <c r="G81">
        <v>0.11586</v>
      </c>
    </row>
    <row r="82" spans="1:7" x14ac:dyDescent="0.2">
      <c r="A82" t="s">
        <v>42</v>
      </c>
      <c r="B82" t="s">
        <v>28</v>
      </c>
      <c r="C82" t="s">
        <v>11</v>
      </c>
      <c r="D82">
        <v>50</v>
      </c>
      <c r="E82">
        <v>1.6667000000000001E-2</v>
      </c>
      <c r="F82">
        <v>3.2882000000000002E-2</v>
      </c>
      <c r="G82">
        <v>0.18478</v>
      </c>
    </row>
    <row r="83" spans="1:7" x14ac:dyDescent="0.2">
      <c r="A83" t="s">
        <v>42</v>
      </c>
      <c r="B83" t="s">
        <v>29</v>
      </c>
      <c r="C83" t="s">
        <v>11</v>
      </c>
      <c r="D83">
        <v>50</v>
      </c>
      <c r="E83">
        <v>0</v>
      </c>
      <c r="F83">
        <v>0</v>
      </c>
      <c r="G83">
        <v>0</v>
      </c>
    </row>
    <row r="84" spans="1:7" x14ac:dyDescent="0.2">
      <c r="A84" t="s">
        <v>44</v>
      </c>
      <c r="B84" t="s">
        <v>30</v>
      </c>
      <c r="C84" t="s">
        <v>11</v>
      </c>
      <c r="D84">
        <v>50</v>
      </c>
      <c r="E84">
        <v>3.3333E-3</v>
      </c>
      <c r="F84">
        <v>1.5405E-3</v>
      </c>
      <c r="G84">
        <v>0.58806999999999998</v>
      </c>
    </row>
    <row r="85" spans="1:7" x14ac:dyDescent="0.2">
      <c r="A85" t="s">
        <v>44</v>
      </c>
      <c r="B85" t="s">
        <v>31</v>
      </c>
      <c r="C85" t="s">
        <v>11</v>
      </c>
      <c r="D85">
        <v>50</v>
      </c>
      <c r="E85">
        <v>0</v>
      </c>
      <c r="F85">
        <v>0</v>
      </c>
      <c r="G85">
        <v>0</v>
      </c>
    </row>
    <row r="86" spans="1:7" x14ac:dyDescent="0.2">
      <c r="A86" t="s">
        <v>44</v>
      </c>
      <c r="B86" t="s">
        <v>32</v>
      </c>
      <c r="C86" t="s">
        <v>11</v>
      </c>
      <c r="D86">
        <v>50</v>
      </c>
      <c r="E86">
        <v>6.6667000000000002E-3</v>
      </c>
      <c r="F86">
        <v>4.0644000000000001E-3</v>
      </c>
      <c r="G86">
        <v>0.14008000000000001</v>
      </c>
    </row>
    <row r="87" spans="1:7" x14ac:dyDescent="0.2">
      <c r="A87" t="s">
        <v>44</v>
      </c>
      <c r="B87" t="s">
        <v>33</v>
      </c>
      <c r="C87" t="s">
        <v>11</v>
      </c>
      <c r="D87">
        <v>50</v>
      </c>
      <c r="E87">
        <v>0.01</v>
      </c>
      <c r="F87">
        <v>0.20019999999999999</v>
      </c>
      <c r="G87">
        <v>0.12068</v>
      </c>
    </row>
    <row r="88" spans="1:7" x14ac:dyDescent="0.2">
      <c r="A88" t="s">
        <v>44</v>
      </c>
      <c r="B88" t="s">
        <v>34</v>
      </c>
      <c r="C88" t="s">
        <v>11</v>
      </c>
      <c r="D88">
        <v>50</v>
      </c>
      <c r="E88">
        <v>0.01</v>
      </c>
      <c r="F88">
        <v>8.7251999999999996E-2</v>
      </c>
      <c r="G88">
        <v>0.17543</v>
      </c>
    </row>
    <row r="89" spans="1:7" x14ac:dyDescent="0.2">
      <c r="A89" t="s">
        <v>44</v>
      </c>
      <c r="B89" t="s">
        <v>35</v>
      </c>
      <c r="C89" t="s">
        <v>11</v>
      </c>
      <c r="D89">
        <v>50</v>
      </c>
      <c r="E89">
        <v>0</v>
      </c>
      <c r="F89">
        <v>0</v>
      </c>
      <c r="G89">
        <v>0</v>
      </c>
    </row>
    <row r="90" spans="1:7" x14ac:dyDescent="0.2">
      <c r="A90" t="s">
        <v>43</v>
      </c>
      <c r="B90" t="s">
        <v>36</v>
      </c>
      <c r="C90" t="s">
        <v>11</v>
      </c>
      <c r="D90">
        <v>50</v>
      </c>
      <c r="E90">
        <v>6.6667000000000002E-3</v>
      </c>
      <c r="F90">
        <v>7.2611999999999998E-3</v>
      </c>
      <c r="G90">
        <v>0.1178</v>
      </c>
    </row>
    <row r="91" spans="1:7" x14ac:dyDescent="0.2">
      <c r="A91" t="s">
        <v>43</v>
      </c>
      <c r="B91" t="s">
        <v>37</v>
      </c>
      <c r="C91" t="s">
        <v>11</v>
      </c>
      <c r="D91">
        <v>50</v>
      </c>
      <c r="E91">
        <v>0.01</v>
      </c>
      <c r="F91">
        <v>7.8659000000000007E-2</v>
      </c>
      <c r="G91">
        <v>0.13625999999999999</v>
      </c>
    </row>
    <row r="92" spans="1:7" x14ac:dyDescent="0.2">
      <c r="A92" t="s">
        <v>43</v>
      </c>
      <c r="B92" t="s">
        <v>38</v>
      </c>
      <c r="C92" t="s">
        <v>11</v>
      </c>
      <c r="D92">
        <v>50</v>
      </c>
      <c r="E92">
        <v>0</v>
      </c>
      <c r="F92">
        <v>0</v>
      </c>
      <c r="G92">
        <v>0</v>
      </c>
    </row>
    <row r="93" spans="1:7" x14ac:dyDescent="0.2">
      <c r="A93" t="s">
        <v>43</v>
      </c>
      <c r="B93" t="s">
        <v>39</v>
      </c>
      <c r="C93" t="s">
        <v>11</v>
      </c>
      <c r="D93">
        <v>50</v>
      </c>
      <c r="E93">
        <v>0</v>
      </c>
      <c r="F93">
        <v>0</v>
      </c>
      <c r="G93">
        <v>0</v>
      </c>
    </row>
    <row r="94" spans="1:7" x14ac:dyDescent="0.2">
      <c r="A94" t="s">
        <v>43</v>
      </c>
      <c r="B94" t="s">
        <v>40</v>
      </c>
      <c r="C94" t="s">
        <v>7</v>
      </c>
      <c r="D94">
        <v>50</v>
      </c>
      <c r="E94">
        <v>1.3332999999999999E-2</v>
      </c>
      <c r="F94">
        <v>1.2432E-2</v>
      </c>
      <c r="G94">
        <v>0.11101</v>
      </c>
    </row>
    <row r="95" spans="1:7" x14ac:dyDescent="0.2">
      <c r="A95" t="s">
        <v>42</v>
      </c>
      <c r="B95" t="s">
        <v>28</v>
      </c>
      <c r="C95" t="s">
        <v>11</v>
      </c>
      <c r="D95">
        <v>70</v>
      </c>
      <c r="E95">
        <v>2.3333E-2</v>
      </c>
      <c r="F95">
        <v>4.6193999999999999E-2</v>
      </c>
      <c r="G95">
        <v>0.19991</v>
      </c>
    </row>
  </sheetData>
  <sortState xmlns:xlrd2="http://schemas.microsoft.com/office/spreadsheetml/2017/richdata2" ref="A2:G95">
    <sortCondition ref="D2:D95"/>
    <sortCondition ref="A2:A95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7BBBF-C4FD-BD4A-8F93-FF5E64BA54F3}">
  <dimension ref="A1:C75"/>
  <sheetViews>
    <sheetView topLeftCell="A50" workbookViewId="0">
      <selection activeCell="F20" sqref="F20"/>
    </sheetView>
  </sheetViews>
  <sheetFormatPr baseColWidth="10" defaultRowHeight="15" x14ac:dyDescent="0.2"/>
  <sheetData>
    <row r="1" spans="1:3" x14ac:dyDescent="0.2">
      <c r="A1" s="9" t="s">
        <v>101</v>
      </c>
    </row>
    <row r="2" spans="1:3" x14ac:dyDescent="0.2">
      <c r="A2" t="s">
        <v>45</v>
      </c>
      <c r="B2" t="s">
        <v>47</v>
      </c>
      <c r="C2" t="s">
        <v>46</v>
      </c>
    </row>
    <row r="3" spans="1:3" x14ac:dyDescent="0.2">
      <c r="A3">
        <v>9.6667000000000003E-2</v>
      </c>
      <c r="B3">
        <v>6.3333E-2</v>
      </c>
      <c r="C3">
        <v>0.04</v>
      </c>
    </row>
    <row r="4" spans="1:3" x14ac:dyDescent="0.2">
      <c r="A4">
        <v>0.15332999999999999</v>
      </c>
      <c r="B4">
        <v>0.12</v>
      </c>
      <c r="C4">
        <v>0.06</v>
      </c>
    </row>
    <row r="5" spans="1:3" x14ac:dyDescent="0.2">
      <c r="A5">
        <v>6.6667000000000004E-2</v>
      </c>
      <c r="B5">
        <v>5.6667000000000002E-2</v>
      </c>
      <c r="C5">
        <v>0.28333000000000003</v>
      </c>
    </row>
    <row r="6" spans="1:3" x14ac:dyDescent="0.2">
      <c r="A6">
        <v>3.6666999999999998E-2</v>
      </c>
      <c r="B6">
        <v>0.11333</v>
      </c>
      <c r="C6">
        <v>0.12333</v>
      </c>
    </row>
    <row r="7" spans="1:3" x14ac:dyDescent="0.2">
      <c r="A7">
        <v>0.16667000000000001</v>
      </c>
      <c r="B7">
        <v>0.11333</v>
      </c>
      <c r="C7">
        <v>0.18</v>
      </c>
    </row>
    <row r="8" spans="1:3" x14ac:dyDescent="0.2">
      <c r="A8">
        <v>0.15667</v>
      </c>
      <c r="B8">
        <v>7.3332999999999995E-2</v>
      </c>
    </row>
    <row r="9" spans="1:3" x14ac:dyDescent="0.2">
      <c r="A9">
        <v>0.11333</v>
      </c>
    </row>
    <row r="10" spans="1:3" x14ac:dyDescent="0.2">
      <c r="A10">
        <v>0.11</v>
      </c>
    </row>
    <row r="11" spans="1:3" x14ac:dyDescent="0.2">
      <c r="A11">
        <v>0.12</v>
      </c>
    </row>
    <row r="12" spans="1:3" x14ac:dyDescent="0.2">
      <c r="A12">
        <v>0.10667</v>
      </c>
    </row>
    <row r="13" spans="1:3" x14ac:dyDescent="0.2">
      <c r="A13">
        <v>0.06</v>
      </c>
    </row>
    <row r="14" spans="1:3" x14ac:dyDescent="0.2">
      <c r="A14">
        <v>8.3333000000000004E-2</v>
      </c>
    </row>
    <row r="15" spans="1:3" x14ac:dyDescent="0.2">
      <c r="A15">
        <v>0.12667</v>
      </c>
    </row>
    <row r="16" spans="1:3" x14ac:dyDescent="0.2">
      <c r="A16">
        <v>8.6666999999999994E-2</v>
      </c>
    </row>
    <row r="17" spans="1:3" x14ac:dyDescent="0.2">
      <c r="A17">
        <v>9.6667000000000003E-2</v>
      </c>
    </row>
    <row r="18" spans="1:3" x14ac:dyDescent="0.2">
      <c r="A18">
        <v>7.6666999999999999E-2</v>
      </c>
    </row>
    <row r="19" spans="1:3" x14ac:dyDescent="0.2">
      <c r="A19">
        <v>5.6667000000000002E-2</v>
      </c>
    </row>
    <row r="20" spans="1:3" x14ac:dyDescent="0.2">
      <c r="A20">
        <v>0.11333</v>
      </c>
    </row>
    <row r="21" spans="1:3" x14ac:dyDescent="0.2">
      <c r="A21">
        <v>6.3333E-2</v>
      </c>
    </row>
    <row r="22" spans="1:3" x14ac:dyDescent="0.2">
      <c r="A22">
        <v>0.06</v>
      </c>
    </row>
    <row r="24" spans="1:3" x14ac:dyDescent="0.2">
      <c r="A24" s="5" cm="1">
        <f t="array" ref="A24">[1]!SWTEST(A3:A22,FALSE,FALSE)</f>
        <v>0.56965938729021504</v>
      </c>
      <c r="B24" s="5" cm="1">
        <f t="array" ref="B24">[1]!SWTEST(B3:B22,FALSE,FALSE)</f>
        <v>0.11633560476635271</v>
      </c>
      <c r="C24" s="5" cm="1">
        <f t="array" ref="C24">[1]!SWTEST(C3:C22,FALSE,FALSE)</f>
        <v>0.57969090461629547</v>
      </c>
    </row>
    <row r="26" spans="1:3" x14ac:dyDescent="0.2">
      <c r="A26" s="9" t="s">
        <v>102</v>
      </c>
    </row>
    <row r="27" spans="1:3" x14ac:dyDescent="0.2">
      <c r="A27" t="s">
        <v>45</v>
      </c>
      <c r="B27" t="s">
        <v>47</v>
      </c>
      <c r="C27" t="s">
        <v>46</v>
      </c>
    </row>
    <row r="28" spans="1:3" x14ac:dyDescent="0.2">
      <c r="A28">
        <v>6.6667000000000002E-3</v>
      </c>
      <c r="B28">
        <v>0</v>
      </c>
      <c r="C28">
        <v>0.01</v>
      </c>
    </row>
    <row r="29" spans="1:3" x14ac:dyDescent="0.2">
      <c r="A29">
        <v>8.3333000000000004E-2</v>
      </c>
      <c r="B29">
        <v>2.3333E-2</v>
      </c>
      <c r="C29">
        <v>0</v>
      </c>
    </row>
    <row r="30" spans="1:3" x14ac:dyDescent="0.2">
      <c r="A30">
        <v>1.6667000000000001E-2</v>
      </c>
      <c r="B30">
        <v>0</v>
      </c>
      <c r="C30">
        <v>0.13</v>
      </c>
    </row>
    <row r="31" spans="1:3" x14ac:dyDescent="0.2">
      <c r="A31">
        <v>3.3333E-3</v>
      </c>
      <c r="B31">
        <v>0</v>
      </c>
      <c r="C31">
        <v>3.3333E-3</v>
      </c>
    </row>
    <row r="32" spans="1:3" x14ac:dyDescent="0.2">
      <c r="A32">
        <v>7.3332999999999995E-2</v>
      </c>
      <c r="B32">
        <v>0</v>
      </c>
      <c r="C32">
        <v>9.3332999999999999E-2</v>
      </c>
    </row>
    <row r="33" spans="1:2" x14ac:dyDescent="0.2">
      <c r="A33">
        <v>0</v>
      </c>
      <c r="B33">
        <v>1.6667000000000001E-2</v>
      </c>
    </row>
    <row r="34" spans="1:2" x14ac:dyDescent="0.2">
      <c r="A34">
        <v>3.3333E-3</v>
      </c>
    </row>
    <row r="35" spans="1:2" x14ac:dyDescent="0.2">
      <c r="A35">
        <v>3.3333000000000002E-2</v>
      </c>
    </row>
    <row r="36" spans="1:2" x14ac:dyDescent="0.2">
      <c r="A36">
        <v>6.3333E-2</v>
      </c>
    </row>
    <row r="37" spans="1:2" x14ac:dyDescent="0.2">
      <c r="A37">
        <v>1.3332999999999999E-2</v>
      </c>
    </row>
    <row r="38" spans="1:2" x14ac:dyDescent="0.2">
      <c r="A38">
        <v>3.3333E-3</v>
      </c>
    </row>
    <row r="39" spans="1:2" x14ac:dyDescent="0.2">
      <c r="A39">
        <v>0.04</v>
      </c>
    </row>
    <row r="40" spans="1:2" x14ac:dyDescent="0.2">
      <c r="A40">
        <v>7.0000000000000007E-2</v>
      </c>
    </row>
    <row r="41" spans="1:2" x14ac:dyDescent="0.2">
      <c r="A41">
        <v>0.03</v>
      </c>
    </row>
    <row r="42" spans="1:2" x14ac:dyDescent="0.2">
      <c r="A42">
        <v>4.3333000000000003E-2</v>
      </c>
    </row>
    <row r="43" spans="1:2" x14ac:dyDescent="0.2">
      <c r="A43">
        <v>0</v>
      </c>
    </row>
    <row r="44" spans="1:2" x14ac:dyDescent="0.2">
      <c r="A44">
        <v>0.04</v>
      </c>
    </row>
    <row r="45" spans="1:2" x14ac:dyDescent="0.2">
      <c r="A45">
        <v>7.6666999999999999E-2</v>
      </c>
    </row>
    <row r="46" spans="1:2" x14ac:dyDescent="0.2">
      <c r="A46">
        <v>3.3333000000000002E-2</v>
      </c>
    </row>
    <row r="47" spans="1:2" x14ac:dyDescent="0.2">
      <c r="A47">
        <v>0.01</v>
      </c>
    </row>
    <row r="49" spans="1:3" x14ac:dyDescent="0.2">
      <c r="A49" s="6" cm="1">
        <f t="array" ref="A49">[1]!SWTEST(A28:A47,FALSE,FALSE)</f>
        <v>3.101252625273036E-2</v>
      </c>
      <c r="B49" s="6" cm="1">
        <f t="array" ref="B49">[1]!SWTEST(B28:B47,FALSE,FALSE)</f>
        <v>5.0000000000000001E-3</v>
      </c>
      <c r="C49" s="5" cm="1">
        <f t="array" ref="C49">[1]!SWTEST(C28:C47,FALSE,FALSE)</f>
        <v>9.8883976480448929E-2</v>
      </c>
    </row>
    <row r="52" spans="1:3" x14ac:dyDescent="0.2">
      <c r="A52" s="9" t="s">
        <v>90</v>
      </c>
    </row>
    <row r="53" spans="1:3" x14ac:dyDescent="0.2">
      <c r="A53" t="s">
        <v>45</v>
      </c>
      <c r="B53" t="s">
        <v>47</v>
      </c>
      <c r="C53" t="s">
        <v>46</v>
      </c>
    </row>
    <row r="54" spans="1:3" x14ac:dyDescent="0.2">
      <c r="A54">
        <v>3.3333E-3</v>
      </c>
      <c r="B54">
        <v>3.3333E-3</v>
      </c>
      <c r="C54">
        <v>6.6667000000000002E-3</v>
      </c>
    </row>
    <row r="55" spans="1:3" x14ac:dyDescent="0.2">
      <c r="A55">
        <v>3.3333E-3</v>
      </c>
      <c r="B55">
        <v>0</v>
      </c>
      <c r="C55">
        <v>0.01</v>
      </c>
    </row>
    <row r="56" spans="1:3" x14ac:dyDescent="0.2">
      <c r="A56">
        <v>0</v>
      </c>
      <c r="B56">
        <v>6.6667000000000002E-3</v>
      </c>
      <c r="C56">
        <v>0</v>
      </c>
    </row>
    <row r="57" spans="1:3" x14ac:dyDescent="0.2">
      <c r="A57">
        <v>6.6667000000000002E-3</v>
      </c>
      <c r="B57">
        <v>0.01</v>
      </c>
      <c r="C57">
        <v>0</v>
      </c>
    </row>
    <row r="58" spans="1:3" x14ac:dyDescent="0.2">
      <c r="A58">
        <v>0</v>
      </c>
      <c r="B58">
        <v>0.01</v>
      </c>
      <c r="C58">
        <v>1.3332999999999999E-2</v>
      </c>
    </row>
    <row r="59" spans="1:3" x14ac:dyDescent="0.2">
      <c r="A59">
        <v>3.3333E-3</v>
      </c>
      <c r="B59">
        <v>0</v>
      </c>
    </row>
    <row r="60" spans="1:3" x14ac:dyDescent="0.2">
      <c r="A60">
        <v>0</v>
      </c>
    </row>
    <row r="61" spans="1:3" x14ac:dyDescent="0.2">
      <c r="A61">
        <v>3.3333E-3</v>
      </c>
    </row>
    <row r="62" spans="1:3" x14ac:dyDescent="0.2">
      <c r="A62">
        <v>0</v>
      </c>
    </row>
    <row r="63" spans="1:3" x14ac:dyDescent="0.2">
      <c r="A63">
        <v>0</v>
      </c>
    </row>
    <row r="64" spans="1:3" x14ac:dyDescent="0.2">
      <c r="A64">
        <v>0</v>
      </c>
    </row>
    <row r="65" spans="1:3" x14ac:dyDescent="0.2">
      <c r="A65">
        <v>0</v>
      </c>
    </row>
    <row r="66" spans="1:3" x14ac:dyDescent="0.2">
      <c r="A66">
        <v>0.01</v>
      </c>
    </row>
    <row r="67" spans="1:3" x14ac:dyDescent="0.2">
      <c r="A67">
        <v>1.6667000000000001E-2</v>
      </c>
    </row>
    <row r="68" spans="1:3" x14ac:dyDescent="0.2">
      <c r="A68">
        <v>6.6667000000000002E-3</v>
      </c>
    </row>
    <row r="69" spans="1:3" x14ac:dyDescent="0.2">
      <c r="A69">
        <v>2.3333E-2</v>
      </c>
    </row>
    <row r="70" spans="1:3" x14ac:dyDescent="0.2">
      <c r="A70">
        <v>0</v>
      </c>
    </row>
    <row r="71" spans="1:3" x14ac:dyDescent="0.2">
      <c r="A71">
        <v>0.01</v>
      </c>
    </row>
    <row r="72" spans="1:3" x14ac:dyDescent="0.2">
      <c r="A72">
        <v>1.6667000000000001E-2</v>
      </c>
    </row>
    <row r="73" spans="1:3" x14ac:dyDescent="0.2">
      <c r="A73">
        <v>0</v>
      </c>
    </row>
    <row r="75" spans="1:3" x14ac:dyDescent="0.2">
      <c r="A75" s="6" cm="1">
        <f t="array" ref="A75">[1]!SWTEST(A54:A73,FALSE,FALSE)</f>
        <v>5.0000000000000001E-3</v>
      </c>
      <c r="B75" s="5" cm="1">
        <f t="array" ref="B75">[1]!SWTEST(B54:B73,FALSE,FALSE)</f>
        <v>0.23531496053797965</v>
      </c>
      <c r="C75" s="5" cm="1">
        <f t="array" ref="C75">[1]!SWTEST(C54:C73,FALSE,FALSE)</f>
        <v>0.39005510921755104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444E6-FB79-E043-B478-950FC7100727}">
  <dimension ref="A1:T57"/>
  <sheetViews>
    <sheetView workbookViewId="0">
      <selection activeCell="D59" sqref="D59"/>
    </sheetView>
  </sheetViews>
  <sheetFormatPr baseColWidth="10" defaultRowHeight="15" x14ac:dyDescent="0.2"/>
  <sheetData>
    <row r="1" spans="1:3" x14ac:dyDescent="0.2">
      <c r="A1" s="9" t="s">
        <v>101</v>
      </c>
    </row>
    <row r="2" spans="1:3" x14ac:dyDescent="0.2">
      <c r="A2" t="s">
        <v>45</v>
      </c>
      <c r="B2" t="s">
        <v>47</v>
      </c>
      <c r="C2" t="s">
        <v>46</v>
      </c>
    </row>
    <row r="3" spans="1:3" x14ac:dyDescent="0.2">
      <c r="A3">
        <v>9.6667000000000003E-2</v>
      </c>
      <c r="B3">
        <v>6.3333E-2</v>
      </c>
      <c r="C3">
        <v>0.04</v>
      </c>
    </row>
    <row r="4" spans="1:3" x14ac:dyDescent="0.2">
      <c r="A4">
        <v>0.15332999999999999</v>
      </c>
      <c r="B4">
        <v>0.12</v>
      </c>
      <c r="C4">
        <v>0.06</v>
      </c>
    </row>
    <row r="5" spans="1:3" x14ac:dyDescent="0.2">
      <c r="A5">
        <v>6.6667000000000004E-2</v>
      </c>
      <c r="B5">
        <v>5.6667000000000002E-2</v>
      </c>
      <c r="C5">
        <v>0.28333000000000003</v>
      </c>
    </row>
    <row r="6" spans="1:3" x14ac:dyDescent="0.2">
      <c r="A6">
        <v>3.6666999999999998E-2</v>
      </c>
      <c r="B6">
        <v>0.11333</v>
      </c>
      <c r="C6">
        <v>0.12333</v>
      </c>
    </row>
    <row r="7" spans="1:3" x14ac:dyDescent="0.2">
      <c r="A7">
        <v>0.16667000000000001</v>
      </c>
      <c r="B7">
        <v>0.11333</v>
      </c>
      <c r="C7">
        <v>0.18</v>
      </c>
    </row>
    <row r="8" spans="1:3" x14ac:dyDescent="0.2">
      <c r="A8">
        <v>0.15667</v>
      </c>
      <c r="B8">
        <v>7.3332999999999995E-2</v>
      </c>
    </row>
    <row r="9" spans="1:3" x14ac:dyDescent="0.2">
      <c r="A9">
        <v>0.11333</v>
      </c>
    </row>
    <row r="10" spans="1:3" x14ac:dyDescent="0.2">
      <c r="A10">
        <v>0.11</v>
      </c>
    </row>
    <row r="11" spans="1:3" x14ac:dyDescent="0.2">
      <c r="A11">
        <v>0.12</v>
      </c>
    </row>
    <row r="12" spans="1:3" x14ac:dyDescent="0.2">
      <c r="A12">
        <v>0.10667</v>
      </c>
    </row>
    <row r="13" spans="1:3" x14ac:dyDescent="0.2">
      <c r="A13">
        <v>0.06</v>
      </c>
    </row>
    <row r="14" spans="1:3" x14ac:dyDescent="0.2">
      <c r="A14">
        <v>8.3333000000000004E-2</v>
      </c>
    </row>
    <row r="15" spans="1:3" x14ac:dyDescent="0.2">
      <c r="A15">
        <v>0.12667</v>
      </c>
    </row>
    <row r="16" spans="1:3" x14ac:dyDescent="0.2">
      <c r="A16">
        <v>8.6666999999999994E-2</v>
      </c>
    </row>
    <row r="17" spans="1:20" x14ac:dyDescent="0.2">
      <c r="A17">
        <v>9.6667000000000003E-2</v>
      </c>
    </row>
    <row r="18" spans="1:20" x14ac:dyDescent="0.2">
      <c r="A18">
        <v>7.6666999999999999E-2</v>
      </c>
    </row>
    <row r="19" spans="1:20" x14ac:dyDescent="0.2">
      <c r="A19">
        <v>5.6667000000000002E-2</v>
      </c>
    </row>
    <row r="20" spans="1:20" x14ac:dyDescent="0.2">
      <c r="A20">
        <v>0.11333</v>
      </c>
    </row>
    <row r="21" spans="1:20" x14ac:dyDescent="0.2">
      <c r="A21">
        <v>6.3333E-2</v>
      </c>
    </row>
    <row r="22" spans="1:20" x14ac:dyDescent="0.2">
      <c r="A22">
        <v>0.06</v>
      </c>
    </row>
    <row r="25" spans="1:20" ht="16" thickBot="1" x14ac:dyDescent="0.25">
      <c r="A25" t="s">
        <v>48</v>
      </c>
      <c r="K25" t="s">
        <v>72</v>
      </c>
      <c r="N25" t="s">
        <v>73</v>
      </c>
      <c r="O25">
        <v>0.05</v>
      </c>
    </row>
    <row r="26" spans="1:20" ht="16" thickTop="1" x14ac:dyDescent="0.2">
      <c r="K26" s="1" t="s">
        <v>74</v>
      </c>
      <c r="L26" s="1" t="s">
        <v>75</v>
      </c>
      <c r="M26" s="1" t="s">
        <v>76</v>
      </c>
      <c r="N26" s="1" t="s">
        <v>77</v>
      </c>
      <c r="O26" s="1" t="s">
        <v>62</v>
      </c>
      <c r="P26" s="1" t="s">
        <v>78</v>
      </c>
    </row>
    <row r="27" spans="1:20" ht="16" thickBot="1" x14ac:dyDescent="0.25">
      <c r="A27" t="s">
        <v>49</v>
      </c>
      <c r="F27" t="s">
        <v>50</v>
      </c>
      <c r="G27">
        <v>0.05</v>
      </c>
      <c r="K27" t="str">
        <f>A2</f>
        <v>HET</v>
      </c>
      <c r="L27">
        <f>AVERAGE(A3:A22)</f>
        <v>9.7500250000000038E-2</v>
      </c>
      <c r="M27">
        <f>COUNT(A3:A22)</f>
        <v>20</v>
      </c>
      <c r="N27">
        <f>DEVSQ(A3:A22)</f>
        <v>2.4553227299749996E-2</v>
      </c>
    </row>
    <row r="28" spans="1:20" ht="16" thickTop="1" x14ac:dyDescent="0.2">
      <c r="A28" s="1" t="s">
        <v>51</v>
      </c>
      <c r="B28" s="1" t="s">
        <v>52</v>
      </c>
      <c r="C28" s="1" t="s">
        <v>53</v>
      </c>
      <c r="D28" s="1" t="s">
        <v>54</v>
      </c>
      <c r="E28" s="1" t="s">
        <v>55</v>
      </c>
      <c r="F28" s="1" t="s">
        <v>56</v>
      </c>
      <c r="G28" s="1" t="s">
        <v>57</v>
      </c>
      <c r="H28" s="1" t="s">
        <v>58</v>
      </c>
      <c r="I28" s="1" t="s">
        <v>59</v>
      </c>
      <c r="K28" t="str">
        <f>B2</f>
        <v>KO</v>
      </c>
      <c r="L28">
        <f>AVERAGE(B3:B22)</f>
        <v>8.999883333333332E-2</v>
      </c>
      <c r="M28">
        <f>COUNT(B3:B22)</f>
        <v>6</v>
      </c>
      <c r="N28">
        <f>DEVSQ(B3:B22)</f>
        <v>4.0885844588333334E-3</v>
      </c>
    </row>
    <row r="29" spans="1:20" x14ac:dyDescent="0.2">
      <c r="A29" t="str">
        <f>A2</f>
        <v>HET</v>
      </c>
      <c r="B29">
        <f>COUNT(A3:A22)</f>
        <v>20</v>
      </c>
      <c r="C29">
        <f>SUM(A3:A22)</f>
        <v>1.9500050000000007</v>
      </c>
      <c r="D29">
        <f>AVERAGE(A3:A22)</f>
        <v>9.7500250000000038E-2</v>
      </c>
      <c r="E29">
        <f>_xlfn.VAR.S(A3:A22)</f>
        <v>1.2922751210394715E-3</v>
      </c>
      <c r="F29">
        <f>DEVSQ(A3:A22)</f>
        <v>2.4553227299749996E-2</v>
      </c>
      <c r="G29">
        <f>SQRT(D36/B29)</f>
        <v>1.0972986183495565E-2</v>
      </c>
      <c r="H29">
        <f>D29-G29*_xlfn.T.INV.2T(G27,C36)</f>
        <v>7.5023106734907183E-2</v>
      </c>
      <c r="I29">
        <f>D29+G29*_xlfn.T.INV.2T(G27,C36)</f>
        <v>0.11997739326509289</v>
      </c>
      <c r="K29" t="str">
        <f>C2</f>
        <v>WT</v>
      </c>
      <c r="L29">
        <f>AVERAGE(C3:C22)</f>
        <v>0.13733200000000001</v>
      </c>
      <c r="M29">
        <f>COUNT(C3:C22)</f>
        <v>5</v>
      </c>
      <c r="N29">
        <f>DEVSQ(C3:C22)</f>
        <v>3.878578668000001E-2</v>
      </c>
    </row>
    <row r="30" spans="1:20" x14ac:dyDescent="0.2">
      <c r="A30" t="str">
        <f>B2</f>
        <v>KO</v>
      </c>
      <c r="B30">
        <f>COUNT(B3:B22)</f>
        <v>6</v>
      </c>
      <c r="C30">
        <f>SUM(B3:B22)</f>
        <v>0.53999299999999995</v>
      </c>
      <c r="D30">
        <f>AVERAGE(B3:B22)</f>
        <v>8.999883333333332E-2</v>
      </c>
      <c r="E30">
        <f>_xlfn.VAR.S(B3:B22)</f>
        <v>8.177168917666691E-4</v>
      </c>
      <c r="F30">
        <f>DEVSQ(B3:B22)</f>
        <v>4.0885844588333334E-3</v>
      </c>
      <c r="G30">
        <f>SQRT(D36/B30)</f>
        <v>2.0033840186310142E-2</v>
      </c>
      <c r="H30">
        <f>D30-G30*_xlfn.T.INV.2T(G27,C36)</f>
        <v>4.896137201811105E-2</v>
      </c>
      <c r="I30">
        <f>D30+G30*_xlfn.T.INV.2T(G27,C36)</f>
        <v>0.1310362946485556</v>
      </c>
      <c r="K30" s="2"/>
      <c r="L30" s="2"/>
      <c r="M30" s="2">
        <f>SUM(M27:M29)</f>
        <v>31</v>
      </c>
      <c r="N30" s="2">
        <f>SUM(N27:N29)</f>
        <v>6.7427598438583342E-2</v>
      </c>
      <c r="O30" s="2">
        <f>M30-COUNT(M27:M29)</f>
        <v>28</v>
      </c>
      <c r="P30" s="2">
        <f>[1]!QCRIT(COUNT(M27:M29),O30,O25,2)</f>
        <v>3.4990000000000001</v>
      </c>
    </row>
    <row r="31" spans="1:20" ht="16" thickBot="1" x14ac:dyDescent="0.25">
      <c r="A31" t="str">
        <f>C2</f>
        <v>WT</v>
      </c>
      <c r="B31">
        <f>COUNT(C3:C22)</f>
        <v>5</v>
      </c>
      <c r="C31">
        <f>SUM(C3:C22)</f>
        <v>0.68666000000000005</v>
      </c>
      <c r="D31">
        <f>AVERAGE(C3:C22)</f>
        <v>0.13733200000000001</v>
      </c>
      <c r="E31">
        <f>_xlfn.VAR.S(C3:C22)</f>
        <v>9.6964466699999904E-3</v>
      </c>
      <c r="F31">
        <f>DEVSQ(C3:C22)</f>
        <v>3.878578668000001E-2</v>
      </c>
      <c r="G31">
        <f>SQRT(D36/B31)</f>
        <v>2.194597236699113E-2</v>
      </c>
      <c r="H31">
        <f>D31-G31*_xlfn.T.INV.2T(G27,C36)</f>
        <v>9.2377713469814299E-2</v>
      </c>
      <c r="I31">
        <f>D31+G31*_xlfn.T.INV.2T(G27,C36)</f>
        <v>0.18228628653018572</v>
      </c>
      <c r="K31" t="s">
        <v>79</v>
      </c>
    </row>
    <row r="32" spans="1:20" ht="16" thickTop="1" x14ac:dyDescent="0.2">
      <c r="A32" s="2"/>
      <c r="B32" s="2"/>
      <c r="C32" s="2"/>
      <c r="D32" s="2"/>
      <c r="E32" s="2"/>
      <c r="F32" s="2"/>
      <c r="G32" s="2"/>
      <c r="H32" s="2"/>
      <c r="I32" s="2"/>
      <c r="K32" s="1" t="s">
        <v>80</v>
      </c>
      <c r="L32" s="1" t="s">
        <v>81</v>
      </c>
      <c r="M32" s="1" t="s">
        <v>75</v>
      </c>
      <c r="N32" s="1" t="s">
        <v>82</v>
      </c>
      <c r="O32" s="1" t="s">
        <v>83</v>
      </c>
      <c r="P32" s="1" t="s">
        <v>84</v>
      </c>
      <c r="Q32" s="1" t="s">
        <v>85</v>
      </c>
      <c r="R32" s="1" t="s">
        <v>86</v>
      </c>
      <c r="S32" s="1" t="s">
        <v>87</v>
      </c>
      <c r="T32" s="1" t="s">
        <v>88</v>
      </c>
    </row>
    <row r="33" spans="1:20" ht="16" thickBot="1" x14ac:dyDescent="0.25">
      <c r="A33" t="s">
        <v>60</v>
      </c>
      <c r="K33" s="2" t="str">
        <f>K27</f>
        <v>HET</v>
      </c>
      <c r="L33" s="2" t="str">
        <f>K28</f>
        <v>KO</v>
      </c>
      <c r="M33" s="2">
        <f>ABS(L27-L28)</f>
        <v>7.5014166666667187E-3</v>
      </c>
      <c r="N33" s="2">
        <f>SQRT(N30/O30/HARMEAN(M27,M28))</f>
        <v>1.6151798327025381E-2</v>
      </c>
      <c r="O33" s="2">
        <f>M33/N33</f>
        <v>0.46443228888731597</v>
      </c>
      <c r="P33" s="2">
        <f>M33-N33*P$30</f>
        <v>-4.901372567959509E-2</v>
      </c>
      <c r="Q33" s="2">
        <f>M33+N33*P$30</f>
        <v>6.401655901292852E-2</v>
      </c>
      <c r="R33" s="24">
        <f>[1]!QDIST(O33,COUNT($M$27:$M$29),O$30)</f>
        <v>0.94240533613730992</v>
      </c>
      <c r="S33" s="2">
        <f>N33*P$30</f>
        <v>5.6515142346261808E-2</v>
      </c>
      <c r="T33" s="2">
        <f>M33*SQRT(O$30/N$30)</f>
        <v>0.15286338024781171</v>
      </c>
    </row>
    <row r="34" spans="1:20" ht="16" thickTop="1" x14ac:dyDescent="0.2">
      <c r="A34" s="1" t="s">
        <v>61</v>
      </c>
      <c r="B34" s="1" t="s">
        <v>56</v>
      </c>
      <c r="C34" s="1" t="s">
        <v>62</v>
      </c>
      <c r="D34" s="1" t="s">
        <v>63</v>
      </c>
      <c r="E34" s="1" t="s">
        <v>64</v>
      </c>
      <c r="F34" s="1" t="s">
        <v>65</v>
      </c>
      <c r="G34" s="1" t="s">
        <v>66</v>
      </c>
      <c r="H34" s="1" t="s">
        <v>67</v>
      </c>
      <c r="I34" s="1" t="s">
        <v>68</v>
      </c>
      <c r="K34" s="4" t="str">
        <f>K27</f>
        <v>HET</v>
      </c>
      <c r="L34" s="4" t="str">
        <f>K29</f>
        <v>WT</v>
      </c>
      <c r="M34" s="4">
        <f>ABS(L27-L29)</f>
        <v>3.9831749999999971E-2</v>
      </c>
      <c r="N34" s="4">
        <f>SQRT(N30/O30/HARMEAN(M27,M29))</f>
        <v>1.7349814536702153E-2</v>
      </c>
      <c r="O34" s="4">
        <f t="shared" ref="O34:O35" si="0">M34/N34</f>
        <v>2.2958026390275856</v>
      </c>
      <c r="P34" s="4">
        <f t="shared" ref="P34:P35" si="1">M34-N34*P$30</f>
        <v>-2.0875251063920866E-2</v>
      </c>
      <c r="Q34" s="4">
        <f t="shared" ref="Q34:Q35" si="2">M34+N34*P$30</f>
        <v>0.10053875106392081</v>
      </c>
      <c r="R34" s="25">
        <f>[1]!QDIST(O34,COUNT($M$27:$M$29),O$30)</f>
        <v>0.25270903934386812</v>
      </c>
      <c r="S34" s="4">
        <f t="shared" ref="S34:S35" si="3">N34*P$30</f>
        <v>6.0707001063920837E-2</v>
      </c>
      <c r="T34" s="4">
        <f t="shared" ref="T34:T35" si="4">M34*SQRT(O$30/N$30)</f>
        <v>0.81168880716118874</v>
      </c>
    </row>
    <row r="35" spans="1:20" x14ac:dyDescent="0.2">
      <c r="A35" t="s">
        <v>69</v>
      </c>
      <c r="B35">
        <f>B37-B36</f>
        <v>7.503943259610249E-3</v>
      </c>
      <c r="C35">
        <f>COUNTA(A29:A31)-1</f>
        <v>2</v>
      </c>
      <c r="D35">
        <f>B35/C35</f>
        <v>3.7519716298051245E-3</v>
      </c>
      <c r="E35">
        <f>D35/D36</f>
        <v>1.5580445999457238</v>
      </c>
      <c r="F35" s="5">
        <f>_xlfn.F.DIST.RT(E35,C35,C36)</f>
        <v>0.22825606686282679</v>
      </c>
      <c r="G35">
        <f>B35/B37</f>
        <v>0.10014398595766714</v>
      </c>
      <c r="H35">
        <f>SQRT(DEVSQ(D29:D31)/(D36*C35))</f>
        <v>0.51842178049136589</v>
      </c>
      <c r="I35">
        <f>(B37-C37*D36)/(B37+D36)</f>
        <v>3.4751715657061276E-2</v>
      </c>
      <c r="K35" s="3" t="str">
        <f>K28</f>
        <v>KO</v>
      </c>
      <c r="L35" s="3" t="str">
        <f>K29</f>
        <v>WT</v>
      </c>
      <c r="M35" s="3">
        <f>ABS(L28-L29)</f>
        <v>4.733316666666669E-2</v>
      </c>
      <c r="N35" s="3">
        <f>SQRT(N30/O30/HARMEAN(M28,M29))</f>
        <v>2.1011668850228832E-2</v>
      </c>
      <c r="O35" s="3">
        <f t="shared" si="0"/>
        <v>2.2527085784597829</v>
      </c>
      <c r="P35" s="3">
        <f t="shared" si="1"/>
        <v>-2.6186662640283992E-2</v>
      </c>
      <c r="Q35" s="3">
        <f t="shared" si="2"/>
        <v>0.12085299597361737</v>
      </c>
      <c r="R35" s="23">
        <f>[1]!QDIST(O35,COUNT($M$27:$M$29),O$30)</f>
        <v>0.26529128627132292</v>
      </c>
      <c r="S35" s="3">
        <f t="shared" si="3"/>
        <v>7.3519829306950682E-2</v>
      </c>
      <c r="T35" s="3">
        <f t="shared" si="4"/>
        <v>0.96455218740900039</v>
      </c>
    </row>
    <row r="36" spans="1:20" x14ac:dyDescent="0.2">
      <c r="A36" t="s">
        <v>70</v>
      </c>
      <c r="B36">
        <f>SUM(F29:F31)</f>
        <v>6.7427598438583342E-2</v>
      </c>
      <c r="C36">
        <f>C37-C35</f>
        <v>28</v>
      </c>
      <c r="D36">
        <f>B36/C36</f>
        <v>2.4081285156636908E-3</v>
      </c>
    </row>
    <row r="37" spans="1:20" x14ac:dyDescent="0.2">
      <c r="A37" s="3" t="s">
        <v>71</v>
      </c>
      <c r="B37" s="3">
        <f>DEVSQ(A3:C22)</f>
        <v>7.4931541698193591E-2</v>
      </c>
      <c r="C37" s="3">
        <f>COUNT(A3:C22)-1</f>
        <v>30</v>
      </c>
      <c r="D37" s="3">
        <f>B37/C37</f>
        <v>2.4977180566064529E-3</v>
      </c>
      <c r="E37" s="3"/>
      <c r="F37" s="3"/>
      <c r="G37" s="3"/>
      <c r="H37" s="3"/>
      <c r="I37" s="3"/>
    </row>
    <row r="40" spans="1:20" x14ac:dyDescent="0.2">
      <c r="A40" t="s">
        <v>103</v>
      </c>
    </row>
    <row r="42" spans="1:20" ht="16" thickBot="1" x14ac:dyDescent="0.25">
      <c r="A42" t="s">
        <v>104</v>
      </c>
      <c r="D42" t="s">
        <v>105</v>
      </c>
      <c r="E42">
        <v>0</v>
      </c>
    </row>
    <row r="43" spans="1:20" ht="16" thickTop="1" x14ac:dyDescent="0.2">
      <c r="A43" s="1" t="s">
        <v>106</v>
      </c>
      <c r="B43" s="1" t="s">
        <v>52</v>
      </c>
      <c r="C43" s="1" t="s">
        <v>54</v>
      </c>
      <c r="D43" s="1" t="s">
        <v>55</v>
      </c>
      <c r="E43" s="1" t="s">
        <v>88</v>
      </c>
    </row>
    <row r="44" spans="1:20" x14ac:dyDescent="0.2">
      <c r="A44" t="str">
        <f>B2</f>
        <v>KO</v>
      </c>
      <c r="B44">
        <f>COUNT(B3:B8)</f>
        <v>6</v>
      </c>
      <c r="C44">
        <f>AVERAGE(B3:B8)</f>
        <v>8.999883333333332E-2</v>
      </c>
      <c r="D44">
        <f>_xlfn.VAR.S(B3:B8)</f>
        <v>8.177168917666691E-4</v>
      </c>
    </row>
    <row r="45" spans="1:20" x14ac:dyDescent="0.2">
      <c r="A45" t="str">
        <f>C2</f>
        <v>WT</v>
      </c>
      <c r="B45">
        <f>COUNT(C3:C7)</f>
        <v>5</v>
      </c>
      <c r="C45">
        <f>AVERAGE(C3:C7)</f>
        <v>0.13733200000000001</v>
      </c>
      <c r="D45">
        <f>_xlfn.VAR.S(C3:C7)</f>
        <v>9.6964466699999904E-3</v>
      </c>
    </row>
    <row r="46" spans="1:20" x14ac:dyDescent="0.2">
      <c r="A46" s="2" t="s">
        <v>107</v>
      </c>
      <c r="B46" s="2"/>
      <c r="C46" s="2"/>
      <c r="D46" s="2">
        <f>((B44-1)*D44+(B45-1)*D45)/(B44+B45-2)</f>
        <v>4.7638190154259234E-3</v>
      </c>
      <c r="E46" s="2">
        <f>ABS(C44-C45-E42)/SQRT(D46)</f>
        <v>0.68578492415518</v>
      </c>
    </row>
    <row r="48" spans="1:20" ht="16" thickBot="1" x14ac:dyDescent="0.25">
      <c r="A48" t="s">
        <v>108</v>
      </c>
      <c r="E48" t="s">
        <v>50</v>
      </c>
      <c r="F48">
        <v>0.05</v>
      </c>
    </row>
    <row r="49" spans="1:10" ht="16" thickTop="1" x14ac:dyDescent="0.2">
      <c r="A49" s="1" t="s">
        <v>109</v>
      </c>
      <c r="B49" s="1" t="s">
        <v>82</v>
      </c>
      <c r="C49" s="1" t="s">
        <v>110</v>
      </c>
      <c r="D49" s="1" t="s">
        <v>62</v>
      </c>
      <c r="E49" s="1" t="s">
        <v>86</v>
      </c>
      <c r="F49" s="1" t="s">
        <v>111</v>
      </c>
      <c r="G49" s="1" t="s">
        <v>84</v>
      </c>
      <c r="H49" s="1" t="s">
        <v>85</v>
      </c>
      <c r="I49" s="1" t="s">
        <v>98</v>
      </c>
      <c r="J49" s="1" t="s">
        <v>112</v>
      </c>
    </row>
    <row r="50" spans="1:10" x14ac:dyDescent="0.2">
      <c r="A50" t="s">
        <v>113</v>
      </c>
      <c r="B50">
        <f>SQRT(D46*(1/B44+1/B45))</f>
        <v>4.179394261121467E-2</v>
      </c>
      <c r="C50">
        <f>(ABS(C44-C45-E42))/B50</f>
        <v>1.132536528247174</v>
      </c>
      <c r="D50">
        <f>B44+B45-2</f>
        <v>9</v>
      </c>
      <c r="E50" s="5">
        <f>_xlfn.T.DIST.RT(C50,D50)</f>
        <v>0.14333931642610864</v>
      </c>
      <c r="F50">
        <f>_xlfn.T.INV.2T(F48*2,D50)</f>
        <v>1.8331129326562374</v>
      </c>
      <c r="I50" s="27" t="str">
        <f>IF(E50&lt;F48,"yes","no")</f>
        <v>no</v>
      </c>
      <c r="J50">
        <f>SQRT(C50^2/(C50^2+D50))</f>
        <v>0.35318310813728632</v>
      </c>
    </row>
    <row r="51" spans="1:10" x14ac:dyDescent="0.2">
      <c r="A51" t="s">
        <v>114</v>
      </c>
      <c r="B51">
        <f>B50</f>
        <v>4.179394261121467E-2</v>
      </c>
      <c r="C51">
        <f t="shared" ref="C51:D51" si="5">C50</f>
        <v>1.132536528247174</v>
      </c>
      <c r="D51">
        <f t="shared" si="5"/>
        <v>9</v>
      </c>
      <c r="E51" s="5">
        <f>_xlfn.T.DIST.2T(C51,D51)</f>
        <v>0.28667863285221729</v>
      </c>
      <c r="F51">
        <f>_xlfn.T.INV.2T(F48,D51)</f>
        <v>2.2621571627982053</v>
      </c>
      <c r="G51">
        <f>(C44-C45)-F51*B51</f>
        <v>-0.14187763330620307</v>
      </c>
      <c r="H51">
        <f>(C44-C45)+F51*B51</f>
        <v>4.72112999728697E-2</v>
      </c>
      <c r="I51" s="27" t="str">
        <f>IF(E51&lt;F48,"yes","no")</f>
        <v>no</v>
      </c>
      <c r="J51">
        <f>J50</f>
        <v>0.35318310813728632</v>
      </c>
    </row>
    <row r="52" spans="1:1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</row>
    <row r="53" spans="1:10" ht="16" thickBot="1" x14ac:dyDescent="0.25">
      <c r="A53" t="s">
        <v>115</v>
      </c>
      <c r="E53" t="s">
        <v>50</v>
      </c>
      <c r="F53">
        <f>F48</f>
        <v>0.05</v>
      </c>
    </row>
    <row r="54" spans="1:10" ht="16" thickTop="1" x14ac:dyDescent="0.2">
      <c r="A54" s="1" t="s">
        <v>109</v>
      </c>
      <c r="B54" s="1" t="s">
        <v>82</v>
      </c>
      <c r="C54" s="1" t="s">
        <v>110</v>
      </c>
      <c r="D54" s="1" t="s">
        <v>62</v>
      </c>
      <c r="E54" s="1" t="s">
        <v>86</v>
      </c>
      <c r="F54" s="1" t="s">
        <v>111</v>
      </c>
      <c r="G54" s="1" t="s">
        <v>84</v>
      </c>
      <c r="H54" s="1" t="s">
        <v>85</v>
      </c>
      <c r="I54" s="1" t="s">
        <v>98</v>
      </c>
      <c r="J54" s="1" t="s">
        <v>112</v>
      </c>
    </row>
    <row r="55" spans="1:10" x14ac:dyDescent="0.2">
      <c r="A55" t="s">
        <v>113</v>
      </c>
      <c r="B55">
        <f>SQRT(D44/B44+D45/B45)</f>
        <v>4.5558484200286735E-2</v>
      </c>
      <c r="C55">
        <f>(ABS(C44-C45-E42))/B55</f>
        <v>1.0389539401394041</v>
      </c>
      <c r="D55">
        <f>(D44/B44+D45/B45)^2/((D44/B44)^2/(B44-1)+(D45/B45)^2/(B45-1))</f>
        <v>4.563933590190306</v>
      </c>
      <c r="E55" s="5">
        <f>[1]!T_DIST_RT(C55,D55)</f>
        <v>0.1753517592780709</v>
      </c>
      <c r="F55">
        <f>[1]!T_INV(1-F53,D55)</f>
        <v>2.0583672598589868</v>
      </c>
      <c r="I55" s="27" t="str">
        <f>IF(E55&lt;F53,"yes","no")</f>
        <v>no</v>
      </c>
      <c r="J55">
        <f>SQRT(C55^2/(C55^2+D55))</f>
        <v>0.43734831713870653</v>
      </c>
    </row>
    <row r="56" spans="1:10" x14ac:dyDescent="0.2">
      <c r="A56" t="s">
        <v>114</v>
      </c>
      <c r="B56">
        <f>B55</f>
        <v>4.5558484200286735E-2</v>
      </c>
      <c r="C56">
        <f t="shared" ref="C56:D56" si="6">C55</f>
        <v>1.0389539401394041</v>
      </c>
      <c r="D56">
        <f t="shared" si="6"/>
        <v>4.563933590190306</v>
      </c>
      <c r="E56" s="5">
        <f>[1]!T_DIST_2T(C56,D56)</f>
        <v>0.35070351855614179</v>
      </c>
      <c r="F56">
        <f>[1]!T_INV_2T(F53,D56)</f>
        <v>2.6462418917135389</v>
      </c>
      <c r="G56">
        <f>(C44-C45)-F56*B56</f>
        <v>-0.16789193608043484</v>
      </c>
      <c r="H56">
        <f>(C44-C45)+F56*B56</f>
        <v>7.3225602747101451E-2</v>
      </c>
      <c r="I56" s="27" t="str">
        <f>IF(E56&lt;F53,"yes","no")</f>
        <v>no</v>
      </c>
      <c r="J56">
        <f>J55</f>
        <v>0.43734831713870653</v>
      </c>
    </row>
    <row r="57" spans="1:1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E0236-AD3A-3949-BA72-27CD85FC06D2}">
  <dimension ref="A1:K98"/>
  <sheetViews>
    <sheetView workbookViewId="0">
      <selection activeCell="D106" sqref="D106"/>
    </sheetView>
  </sheetViews>
  <sheetFormatPr baseColWidth="10" defaultRowHeight="15" x14ac:dyDescent="0.2"/>
  <sheetData>
    <row r="1" spans="1:3" x14ac:dyDescent="0.2">
      <c r="A1" s="9" t="s">
        <v>102</v>
      </c>
    </row>
    <row r="2" spans="1:3" x14ac:dyDescent="0.2">
      <c r="A2" t="s">
        <v>45</v>
      </c>
      <c r="B2" t="s">
        <v>47</v>
      </c>
      <c r="C2" t="s">
        <v>46</v>
      </c>
    </row>
    <row r="3" spans="1:3" x14ac:dyDescent="0.2">
      <c r="A3">
        <v>6.6667000000000002E-3</v>
      </c>
      <c r="B3">
        <v>0</v>
      </c>
      <c r="C3">
        <v>0.01</v>
      </c>
    </row>
    <row r="4" spans="1:3" x14ac:dyDescent="0.2">
      <c r="A4">
        <v>8.3333000000000004E-2</v>
      </c>
      <c r="B4">
        <v>2.3333E-2</v>
      </c>
      <c r="C4">
        <v>0</v>
      </c>
    </row>
    <row r="5" spans="1:3" x14ac:dyDescent="0.2">
      <c r="A5">
        <v>1.6667000000000001E-2</v>
      </c>
      <c r="B5">
        <v>0</v>
      </c>
      <c r="C5">
        <v>0.13</v>
      </c>
    </row>
    <row r="6" spans="1:3" x14ac:dyDescent="0.2">
      <c r="A6">
        <v>3.3333E-3</v>
      </c>
      <c r="B6">
        <v>0</v>
      </c>
      <c r="C6">
        <v>3.3333E-3</v>
      </c>
    </row>
    <row r="7" spans="1:3" x14ac:dyDescent="0.2">
      <c r="A7">
        <v>7.3332999999999995E-2</v>
      </c>
      <c r="B7">
        <v>0</v>
      </c>
      <c r="C7">
        <v>9.3332999999999999E-2</v>
      </c>
    </row>
    <row r="8" spans="1:3" x14ac:dyDescent="0.2">
      <c r="A8">
        <v>0</v>
      </c>
      <c r="B8">
        <v>1.6667000000000001E-2</v>
      </c>
    </row>
    <row r="9" spans="1:3" x14ac:dyDescent="0.2">
      <c r="A9">
        <v>3.3333E-3</v>
      </c>
    </row>
    <row r="10" spans="1:3" x14ac:dyDescent="0.2">
      <c r="A10">
        <v>3.3333000000000002E-2</v>
      </c>
    </row>
    <row r="11" spans="1:3" x14ac:dyDescent="0.2">
      <c r="A11">
        <v>6.3333E-2</v>
      </c>
    </row>
    <row r="12" spans="1:3" x14ac:dyDescent="0.2">
      <c r="A12">
        <v>1.3332999999999999E-2</v>
      </c>
    </row>
    <row r="13" spans="1:3" x14ac:dyDescent="0.2">
      <c r="A13">
        <v>3.3333E-3</v>
      </c>
    </row>
    <row r="14" spans="1:3" x14ac:dyDescent="0.2">
      <c r="A14">
        <v>0.04</v>
      </c>
    </row>
    <row r="15" spans="1:3" x14ac:dyDescent="0.2">
      <c r="A15">
        <v>7.0000000000000007E-2</v>
      </c>
    </row>
    <row r="16" spans="1:3" x14ac:dyDescent="0.2">
      <c r="A16">
        <v>0.03</v>
      </c>
    </row>
    <row r="17" spans="1:11" x14ac:dyDescent="0.2">
      <c r="A17">
        <v>4.3333000000000003E-2</v>
      </c>
    </row>
    <row r="18" spans="1:11" x14ac:dyDescent="0.2">
      <c r="A18">
        <v>0</v>
      </c>
    </row>
    <row r="19" spans="1:11" x14ac:dyDescent="0.2">
      <c r="A19">
        <v>0.04</v>
      </c>
    </row>
    <row r="20" spans="1:11" x14ac:dyDescent="0.2">
      <c r="A20">
        <v>7.6666999999999999E-2</v>
      </c>
    </row>
    <row r="21" spans="1:11" x14ac:dyDescent="0.2">
      <c r="A21">
        <v>3.3333000000000002E-2</v>
      </c>
    </row>
    <row r="22" spans="1:11" x14ac:dyDescent="0.2">
      <c r="A22">
        <v>0.01</v>
      </c>
    </row>
    <row r="24" spans="1:11" x14ac:dyDescent="0.2">
      <c r="A24" t="s">
        <v>91</v>
      </c>
      <c r="G24" t="s">
        <v>99</v>
      </c>
    </row>
    <row r="25" spans="1:11" ht="16" thickBot="1" x14ac:dyDescent="0.25"/>
    <row r="26" spans="1:11" ht="16" thickTop="1" x14ac:dyDescent="0.2">
      <c r="B26" t="str">
        <f>A2</f>
        <v>HET</v>
      </c>
      <c r="C26" t="str">
        <f t="shared" ref="C26:D26" si="0">B2</f>
        <v>KO</v>
      </c>
      <c r="D26" t="str">
        <f t="shared" si="0"/>
        <v>WT</v>
      </c>
      <c r="G26" s="1" t="s">
        <v>80</v>
      </c>
      <c r="H26" s="1" t="s">
        <v>81</v>
      </c>
      <c r="I26" s="1" t="s">
        <v>86</v>
      </c>
      <c r="J26" s="1" t="s">
        <v>100</v>
      </c>
      <c r="K26" s="1" t="s">
        <v>75</v>
      </c>
    </row>
    <row r="27" spans="1:11" x14ac:dyDescent="0.2">
      <c r="A27" t="s">
        <v>92</v>
      </c>
      <c r="B27" s="10">
        <f>MEDIAN(A3:A22)</f>
        <v>3.16665E-2</v>
      </c>
      <c r="C27" s="11">
        <f t="shared" ref="C27:D27" si="1">MEDIAN(B3:B22)</f>
        <v>0</v>
      </c>
      <c r="D27" s="12">
        <f t="shared" si="1"/>
        <v>0.01</v>
      </c>
      <c r="G27" t="str">
        <f>A2</f>
        <v>HET</v>
      </c>
      <c r="H27" t="str">
        <f>B2</f>
        <v>KO</v>
      </c>
      <c r="I27" s="6">
        <f>[1]!MWTEST(A3:A22,B3:B22)</f>
        <v>1.9838379766353054E-2</v>
      </c>
      <c r="J27">
        <f>[1]!MANN(A3:A22,B3:B22)</f>
        <v>21.5</v>
      </c>
      <c r="K27">
        <f>ABS(AVERAGE(A3:A22)-AVERAGE(B3:B22))</f>
        <v>2.5499913333333332E-2</v>
      </c>
    </row>
    <row r="28" spans="1:11" x14ac:dyDescent="0.2">
      <c r="A28" t="s">
        <v>93</v>
      </c>
      <c r="B28" s="13">
        <f>[1]!RANK_SUM(A3:C22, 1,1)</f>
        <v>357.5</v>
      </c>
      <c r="C28" s="4">
        <f>[1]!RANK_SUM(A3:C22, 2,1)</f>
        <v>50.5</v>
      </c>
      <c r="D28" s="14">
        <f>[1]!RANK_SUM(A3:C22, 3,1)</f>
        <v>88</v>
      </c>
      <c r="G28" t="str">
        <f>A2</f>
        <v>HET</v>
      </c>
      <c r="H28" t="str">
        <f>C2</f>
        <v>WT</v>
      </c>
      <c r="I28" s="5">
        <f>[1]!MWTEST(A3:A22,C3:C22)</f>
        <v>0.97281342960906625</v>
      </c>
      <c r="J28">
        <f>[1]!MANN(A3:A22,C3:C22)</f>
        <v>49</v>
      </c>
      <c r="K28">
        <f>ABS(AVERAGE(A3:A22)-AVERAGE(C3:C22))</f>
        <v>1.5166680000000002E-2</v>
      </c>
    </row>
    <row r="29" spans="1:11" x14ac:dyDescent="0.2">
      <c r="A29" t="s">
        <v>94</v>
      </c>
      <c r="B29" s="13">
        <f>COUNT(A3:A22)</f>
        <v>20</v>
      </c>
      <c r="C29" s="4">
        <f t="shared" ref="C29:D29" si="2">COUNT(B3:B22)</f>
        <v>6</v>
      </c>
      <c r="D29" s="14">
        <f t="shared" si="2"/>
        <v>5</v>
      </c>
      <c r="E29" s="18">
        <f>SUM(B29:D29)</f>
        <v>31</v>
      </c>
      <c r="G29" s="3" t="str">
        <f>B2</f>
        <v>KO</v>
      </c>
      <c r="H29" s="3" t="str">
        <f>C2</f>
        <v>WT</v>
      </c>
      <c r="I29" s="23">
        <f>[1]!MWTEST(B3:B22,C3:C22)</f>
        <v>0.21325850560790904</v>
      </c>
      <c r="J29" s="3">
        <f>[1]!MANN(B3:B22,C3:C22)</f>
        <v>8</v>
      </c>
      <c r="K29" s="3">
        <f>ABS(AVERAGE(B3:B22)-AVERAGE(C3:C22))</f>
        <v>4.0666593333333334E-2</v>
      </c>
    </row>
    <row r="30" spans="1:11" x14ac:dyDescent="0.2">
      <c r="A30" t="s">
        <v>95</v>
      </c>
      <c r="B30" s="15">
        <f>B28^2/B29</f>
        <v>6390.3125</v>
      </c>
      <c r="C30" s="16">
        <f t="shared" ref="C30:D30" si="3">C28^2/C29</f>
        <v>425.04166666666669</v>
      </c>
      <c r="D30" s="17">
        <f t="shared" si="3"/>
        <v>1548.8</v>
      </c>
      <c r="E30" s="19">
        <f>SUM(B30:D30)</f>
        <v>8364.1541666666672</v>
      </c>
    </row>
    <row r="31" spans="1:11" x14ac:dyDescent="0.2">
      <c r="A31" t="s">
        <v>96</v>
      </c>
      <c r="E31" s="19">
        <f>12*E30/(E29*(E29+1))-3*(E29+1)</f>
        <v>5.1792842741935488</v>
      </c>
    </row>
    <row r="32" spans="1:11" x14ac:dyDescent="0.2">
      <c r="A32" t="s">
        <v>97</v>
      </c>
      <c r="E32" s="19">
        <f>E31/(1-[1]!TiesCorrection(A3:C22)/(31*(31^2-1)))</f>
        <v>5.2534253578732111</v>
      </c>
    </row>
    <row r="33" spans="1:5" x14ac:dyDescent="0.2">
      <c r="A33" t="s">
        <v>62</v>
      </c>
      <c r="E33" s="19">
        <f>COUNTA(B26:D26)-1</f>
        <v>2</v>
      </c>
    </row>
    <row r="34" spans="1:5" x14ac:dyDescent="0.2">
      <c r="A34" t="s">
        <v>86</v>
      </c>
      <c r="E34" s="21">
        <f>_xlfn.CHISQ.DIST.RT(E32,E33)</f>
        <v>7.2315797170230761E-2</v>
      </c>
    </row>
    <row r="35" spans="1:5" x14ac:dyDescent="0.2">
      <c r="A35" t="s">
        <v>73</v>
      </c>
      <c r="E35" s="19">
        <v>0.05</v>
      </c>
    </row>
    <row r="36" spans="1:5" x14ac:dyDescent="0.2">
      <c r="A36" t="s">
        <v>98</v>
      </c>
      <c r="E36" s="20" t="str">
        <f>IF(E34&lt;E35,"yes","no")</f>
        <v>no</v>
      </c>
    </row>
    <row r="41" spans="1:5" x14ac:dyDescent="0.2">
      <c r="A41" s="9" t="s">
        <v>90</v>
      </c>
    </row>
    <row r="42" spans="1:5" x14ac:dyDescent="0.2">
      <c r="A42" t="s">
        <v>45</v>
      </c>
      <c r="B42" t="s">
        <v>47</v>
      </c>
      <c r="C42" t="s">
        <v>46</v>
      </c>
    </row>
    <row r="43" spans="1:5" x14ac:dyDescent="0.2">
      <c r="A43">
        <v>3.3333E-3</v>
      </c>
      <c r="B43">
        <v>3.3333E-3</v>
      </c>
      <c r="C43">
        <v>6.6667000000000002E-3</v>
      </c>
    </row>
    <row r="44" spans="1:5" x14ac:dyDescent="0.2">
      <c r="A44">
        <v>3.3333E-3</v>
      </c>
      <c r="B44">
        <v>0</v>
      </c>
      <c r="C44">
        <v>0.01</v>
      </c>
    </row>
    <row r="45" spans="1:5" x14ac:dyDescent="0.2">
      <c r="A45">
        <v>0</v>
      </c>
      <c r="B45">
        <v>6.6667000000000002E-3</v>
      </c>
      <c r="C45">
        <v>0</v>
      </c>
    </row>
    <row r="46" spans="1:5" x14ac:dyDescent="0.2">
      <c r="A46">
        <v>6.6667000000000002E-3</v>
      </c>
      <c r="B46">
        <v>0.01</v>
      </c>
      <c r="C46">
        <v>0</v>
      </c>
    </row>
    <row r="47" spans="1:5" x14ac:dyDescent="0.2">
      <c r="A47">
        <v>0</v>
      </c>
      <c r="B47">
        <v>0.01</v>
      </c>
      <c r="C47">
        <v>1.3332999999999999E-2</v>
      </c>
    </row>
    <row r="48" spans="1:5" x14ac:dyDescent="0.2">
      <c r="A48">
        <v>3.3333E-3</v>
      </c>
      <c r="B48">
        <v>0</v>
      </c>
    </row>
    <row r="49" spans="1:1" x14ac:dyDescent="0.2">
      <c r="A49">
        <v>0</v>
      </c>
    </row>
    <row r="50" spans="1:1" x14ac:dyDescent="0.2">
      <c r="A50">
        <v>3.3333E-3</v>
      </c>
    </row>
    <row r="51" spans="1:1" x14ac:dyDescent="0.2">
      <c r="A51">
        <v>0</v>
      </c>
    </row>
    <row r="52" spans="1:1" x14ac:dyDescent="0.2">
      <c r="A52">
        <v>0</v>
      </c>
    </row>
    <row r="53" spans="1:1" x14ac:dyDescent="0.2">
      <c r="A53">
        <v>0</v>
      </c>
    </row>
    <row r="54" spans="1:1" x14ac:dyDescent="0.2">
      <c r="A54">
        <v>0</v>
      </c>
    </row>
    <row r="55" spans="1:1" x14ac:dyDescent="0.2">
      <c r="A55">
        <v>0.01</v>
      </c>
    </row>
    <row r="56" spans="1:1" x14ac:dyDescent="0.2">
      <c r="A56">
        <v>1.6667000000000001E-2</v>
      </c>
    </row>
    <row r="57" spans="1:1" x14ac:dyDescent="0.2">
      <c r="A57">
        <v>6.6667000000000002E-3</v>
      </c>
    </row>
    <row r="58" spans="1:1" x14ac:dyDescent="0.2">
      <c r="A58">
        <v>2.3333E-2</v>
      </c>
    </row>
    <row r="59" spans="1:1" x14ac:dyDescent="0.2">
      <c r="A59">
        <v>0</v>
      </c>
    </row>
    <row r="60" spans="1:1" x14ac:dyDescent="0.2">
      <c r="A60">
        <v>0.01</v>
      </c>
    </row>
    <row r="61" spans="1:1" x14ac:dyDescent="0.2">
      <c r="A61">
        <v>1.6667000000000001E-2</v>
      </c>
    </row>
    <row r="62" spans="1:1" x14ac:dyDescent="0.2">
      <c r="A62">
        <v>0</v>
      </c>
    </row>
    <row r="65" spans="1:11" x14ac:dyDescent="0.2">
      <c r="A65" t="s">
        <v>91</v>
      </c>
      <c r="G65" t="s">
        <v>99</v>
      </c>
    </row>
    <row r="66" spans="1:11" ht="16" thickBot="1" x14ac:dyDescent="0.25"/>
    <row r="67" spans="1:11" ht="16" thickTop="1" x14ac:dyDescent="0.2">
      <c r="B67" t="str">
        <f>A42</f>
        <v>HET</v>
      </c>
      <c r="C67" t="str">
        <f t="shared" ref="C67:D67" si="4">B42</f>
        <v>KO</v>
      </c>
      <c r="D67" t="str">
        <f t="shared" si="4"/>
        <v>WT</v>
      </c>
      <c r="G67" s="1" t="s">
        <v>80</v>
      </c>
      <c r="H67" s="1" t="s">
        <v>81</v>
      </c>
      <c r="I67" s="1" t="s">
        <v>86</v>
      </c>
      <c r="J67" s="1" t="s">
        <v>100</v>
      </c>
      <c r="K67" s="1" t="s">
        <v>75</v>
      </c>
    </row>
    <row r="68" spans="1:11" x14ac:dyDescent="0.2">
      <c r="A68" t="s">
        <v>92</v>
      </c>
      <c r="B68" s="10">
        <f>MEDIAN(A43:A62)</f>
        <v>3.3333E-3</v>
      </c>
      <c r="C68" s="11">
        <f t="shared" ref="C68:D68" si="5">MEDIAN(B43:B62)</f>
        <v>5.0000000000000001E-3</v>
      </c>
      <c r="D68" s="12">
        <f t="shared" si="5"/>
        <v>6.6667000000000002E-3</v>
      </c>
      <c r="G68" t="str">
        <f>A42</f>
        <v>HET</v>
      </c>
      <c r="H68" t="str">
        <f>B42</f>
        <v>KO</v>
      </c>
      <c r="I68" s="5">
        <f>[1]!MWTEST(A43:A62,B43:B62)</f>
        <v>0.72608452621713848</v>
      </c>
      <c r="J68">
        <f>[1]!MANN(A43:A62,B43:B62)</f>
        <v>54</v>
      </c>
      <c r="K68">
        <f>ABS(AVERAGE(A43:A62)-AVERAGE(B43:B62))</f>
        <v>1.6667999999999978E-4</v>
      </c>
    </row>
    <row r="69" spans="1:11" x14ac:dyDescent="0.2">
      <c r="A69" t="s">
        <v>93</v>
      </c>
      <c r="B69" s="13">
        <f>[1]!RANK_SUM(A43:C62, 1,1)</f>
        <v>308</v>
      </c>
      <c r="C69" s="4">
        <f>[1]!RANK_SUM(A43:C62, 2,1)</f>
        <v>100.5</v>
      </c>
      <c r="D69" s="14">
        <f>[1]!RANK_SUM(A43:C62, 3,1)</f>
        <v>87.5</v>
      </c>
      <c r="G69" t="str">
        <f>A42</f>
        <v>HET</v>
      </c>
      <c r="H69" t="str">
        <f>C42</f>
        <v>WT</v>
      </c>
      <c r="I69" s="5">
        <f>[1]!MWTEST(A43:A62,C43:C62)</f>
        <v>0.6949786729781946</v>
      </c>
      <c r="J69">
        <f>[1]!MANN(A43:A62,C43:C62)</f>
        <v>44</v>
      </c>
      <c r="K69">
        <f>ABS(AVERAGE(A43:A62)-AVERAGE(C43:C62))</f>
        <v>8.3325999999999973E-4</v>
      </c>
    </row>
    <row r="70" spans="1:11" x14ac:dyDescent="0.2">
      <c r="A70" t="s">
        <v>94</v>
      </c>
      <c r="B70" s="13">
        <f>COUNT(A43:A62)</f>
        <v>20</v>
      </c>
      <c r="C70" s="4">
        <f t="shared" ref="C70:D70" si="6">COUNT(B43:B62)</f>
        <v>6</v>
      </c>
      <c r="D70" s="14">
        <f t="shared" si="6"/>
        <v>5</v>
      </c>
      <c r="E70" s="18">
        <f>SUM(B70:D70)</f>
        <v>31</v>
      </c>
      <c r="G70" s="3" t="str">
        <f>B42</f>
        <v>KO</v>
      </c>
      <c r="H70" s="3" t="str">
        <f>C42</f>
        <v>WT</v>
      </c>
      <c r="I70" s="23">
        <f>[1]!MWTEST(B43:B62,C43:C62)</f>
        <v>0.84998636922829829</v>
      </c>
      <c r="J70" s="3">
        <f>[1]!MANN(B43:B62,C43:C62)</f>
        <v>13.5</v>
      </c>
      <c r="K70" s="3">
        <f>ABS(AVERAGE(B43:B62)-AVERAGE(C43:C62))</f>
        <v>9.9993999999999951E-4</v>
      </c>
    </row>
    <row r="71" spans="1:11" x14ac:dyDescent="0.2">
      <c r="A71" t="s">
        <v>95</v>
      </c>
      <c r="B71" s="15">
        <f>B69^2/B70</f>
        <v>4743.2</v>
      </c>
      <c r="C71" s="16">
        <f t="shared" ref="C71:D71" si="7">C69^2/C70</f>
        <v>1683.375</v>
      </c>
      <c r="D71" s="17">
        <f t="shared" si="7"/>
        <v>1531.25</v>
      </c>
      <c r="E71" s="19">
        <f>SUM(B71:D71)</f>
        <v>7957.8249999999998</v>
      </c>
    </row>
    <row r="72" spans="1:11" x14ac:dyDescent="0.2">
      <c r="A72" t="s">
        <v>96</v>
      </c>
      <c r="E72" s="19">
        <f>12*E71/(E70*(E70+1))-3*(E70+1)</f>
        <v>0.2640120967741808</v>
      </c>
    </row>
    <row r="73" spans="1:11" x14ac:dyDescent="0.2">
      <c r="A73" t="s">
        <v>97</v>
      </c>
      <c r="E73" s="19">
        <f>E72/(1-[1]!TiesCorrection(A43:C62)/(31*(31^2-1)))</f>
        <v>0.28811881188117422</v>
      </c>
    </row>
    <row r="74" spans="1:11" x14ac:dyDescent="0.2">
      <c r="A74" t="s">
        <v>62</v>
      </c>
      <c r="E74" s="19">
        <f>COUNTA(B67:D67)-1</f>
        <v>2</v>
      </c>
    </row>
    <row r="75" spans="1:11" x14ac:dyDescent="0.2">
      <c r="A75" t="s">
        <v>86</v>
      </c>
      <c r="E75" s="21">
        <f>_xlfn.CHISQ.DIST.RT(E73,E74)</f>
        <v>0.86583631071094591</v>
      </c>
    </row>
    <row r="76" spans="1:11" x14ac:dyDescent="0.2">
      <c r="A76" t="s">
        <v>73</v>
      </c>
      <c r="E76" s="19">
        <v>0.05</v>
      </c>
    </row>
    <row r="77" spans="1:11" x14ac:dyDescent="0.2">
      <c r="A77" t="s">
        <v>98</v>
      </c>
      <c r="E77" s="20" t="str">
        <f>IF(E75&lt;E76,"yes","no")</f>
        <v>no</v>
      </c>
    </row>
    <row r="81" spans="1:10" x14ac:dyDescent="0.2">
      <c r="A81" t="s">
        <v>103</v>
      </c>
    </row>
    <row r="83" spans="1:10" ht="16" thickBot="1" x14ac:dyDescent="0.25">
      <c r="A83" t="s">
        <v>104</v>
      </c>
      <c r="D83" t="s">
        <v>105</v>
      </c>
      <c r="E83">
        <v>0</v>
      </c>
    </row>
    <row r="84" spans="1:10" ht="16" thickTop="1" x14ac:dyDescent="0.2">
      <c r="A84" s="1" t="s">
        <v>106</v>
      </c>
      <c r="B84" s="1" t="s">
        <v>52</v>
      </c>
      <c r="C84" s="1" t="s">
        <v>54</v>
      </c>
      <c r="D84" s="1" t="s">
        <v>55</v>
      </c>
      <c r="E84" s="1" t="s">
        <v>88</v>
      </c>
    </row>
    <row r="85" spans="1:10" x14ac:dyDescent="0.2">
      <c r="A85" t="str">
        <f>B42</f>
        <v>KO</v>
      </c>
      <c r="B85">
        <f>COUNT(B43:B48)</f>
        <v>6</v>
      </c>
      <c r="C85">
        <f>AVERAGE(B43:B48)</f>
        <v>5.0000000000000001E-3</v>
      </c>
      <c r="D85">
        <f>_xlfn.VAR.S(B43:B48)</f>
        <v>2.1111155556000001E-5</v>
      </c>
    </row>
    <row r="86" spans="1:10" x14ac:dyDescent="0.2">
      <c r="A86" t="str">
        <f>C42</f>
        <v>WT</v>
      </c>
      <c r="B86">
        <f>COUNT(C43:C47)</f>
        <v>5</v>
      </c>
      <c r="C86">
        <f>AVERAGE(C43:C47)</f>
        <v>5.9999399999999996E-3</v>
      </c>
      <c r="D86">
        <f>_xlfn.VAR.S(C43:C47)</f>
        <v>3.5554344468000001E-5</v>
      </c>
    </row>
    <row r="87" spans="1:10" x14ac:dyDescent="0.2">
      <c r="A87" s="2" t="s">
        <v>107</v>
      </c>
      <c r="B87" s="2"/>
      <c r="C87" s="2"/>
      <c r="D87" s="2">
        <f>((B85-1)*D85+(B86-1)*D86)/(B85+B86-2)</f>
        <v>2.7530350628000005E-5</v>
      </c>
      <c r="E87" s="2">
        <f>ABS(C85-C86-E83)/SQRT(D87)</f>
        <v>0.19057593985408949</v>
      </c>
    </row>
    <row r="89" spans="1:10" ht="16" thickBot="1" x14ac:dyDescent="0.25">
      <c r="A89" t="s">
        <v>108</v>
      </c>
      <c r="E89" t="s">
        <v>50</v>
      </c>
      <c r="F89">
        <v>0.05</v>
      </c>
    </row>
    <row r="90" spans="1:10" ht="16" thickTop="1" x14ac:dyDescent="0.2">
      <c r="A90" s="1" t="s">
        <v>109</v>
      </c>
      <c r="B90" s="1" t="s">
        <v>82</v>
      </c>
      <c r="C90" s="1" t="s">
        <v>110</v>
      </c>
      <c r="D90" s="1" t="s">
        <v>62</v>
      </c>
      <c r="E90" s="1" t="s">
        <v>86</v>
      </c>
      <c r="F90" s="1" t="s">
        <v>111</v>
      </c>
      <c r="G90" s="1" t="s">
        <v>84</v>
      </c>
      <c r="H90" s="1" t="s">
        <v>85</v>
      </c>
      <c r="I90" s="1" t="s">
        <v>98</v>
      </c>
      <c r="J90" s="1" t="s">
        <v>112</v>
      </c>
    </row>
    <row r="91" spans="1:10" x14ac:dyDescent="0.2">
      <c r="A91" t="s">
        <v>113</v>
      </c>
      <c r="B91">
        <f>SQRT(D87*(1/B85+1/B86))</f>
        <v>3.1771782916502084E-3</v>
      </c>
      <c r="C91">
        <f>(ABS(C85-C86-E83))/B91</f>
        <v>0.31472580642637976</v>
      </c>
      <c r="D91">
        <f>B85+B86-2</f>
        <v>9</v>
      </c>
      <c r="E91" s="5">
        <f>_xlfn.T.DIST.RT(C91,D91)</f>
        <v>0.38007195713188752</v>
      </c>
      <c r="F91">
        <f>_xlfn.T.INV.2T(F89*2,D91)</f>
        <v>1.8331129326562374</v>
      </c>
      <c r="I91" s="27" t="str">
        <f>IF(E91&lt;F89,"yes","no")</f>
        <v>no</v>
      </c>
      <c r="J91">
        <f>SQRT(C91^2/(C91^2+D91))</f>
        <v>0.10433602179283184</v>
      </c>
    </row>
    <row r="92" spans="1:10" x14ac:dyDescent="0.2">
      <c r="A92" t="s">
        <v>114</v>
      </c>
      <c r="B92">
        <f>B91</f>
        <v>3.1771782916502084E-3</v>
      </c>
      <c r="C92">
        <f t="shared" ref="C92:D92" si="8">C91</f>
        <v>0.31472580642637976</v>
      </c>
      <c r="D92">
        <f t="shared" si="8"/>
        <v>9</v>
      </c>
      <c r="E92" s="5">
        <f>_xlfn.T.DIST.2T(C92,D92)</f>
        <v>0.76014391426377503</v>
      </c>
      <c r="F92">
        <f>_xlfn.T.INV.2T(F89,D92)</f>
        <v>2.2621571627982053</v>
      </c>
      <c r="G92">
        <f>(C85-C86)-F92*B92</f>
        <v>-8.1872166299434834E-3</v>
      </c>
      <c r="H92">
        <f>(C85-C86)+F92*B92</f>
        <v>6.1873366299434853E-3</v>
      </c>
      <c r="I92" s="27" t="str">
        <f>IF(E92&lt;F89,"yes","no")</f>
        <v>no</v>
      </c>
      <c r="J92">
        <f>J91</f>
        <v>0.10433602179283184</v>
      </c>
    </row>
    <row r="93" spans="1:1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</row>
    <row r="94" spans="1:10" ht="16" thickBot="1" x14ac:dyDescent="0.25">
      <c r="A94" t="s">
        <v>115</v>
      </c>
      <c r="E94" t="s">
        <v>50</v>
      </c>
      <c r="F94">
        <f>F89</f>
        <v>0.05</v>
      </c>
    </row>
    <row r="95" spans="1:10" ht="16" thickTop="1" x14ac:dyDescent="0.2">
      <c r="A95" s="1" t="s">
        <v>109</v>
      </c>
      <c r="B95" s="1" t="s">
        <v>82</v>
      </c>
      <c r="C95" s="1" t="s">
        <v>110</v>
      </c>
      <c r="D95" s="1" t="s">
        <v>62</v>
      </c>
      <c r="E95" s="1" t="s">
        <v>86</v>
      </c>
      <c r="F95" s="1" t="s">
        <v>111</v>
      </c>
      <c r="G95" s="1" t="s">
        <v>84</v>
      </c>
      <c r="H95" s="1" t="s">
        <v>85</v>
      </c>
      <c r="I95" s="1" t="s">
        <v>98</v>
      </c>
      <c r="J95" s="1" t="s">
        <v>112</v>
      </c>
    </row>
    <row r="96" spans="1:10" x14ac:dyDescent="0.2">
      <c r="A96" t="s">
        <v>113</v>
      </c>
      <c r="B96">
        <f>SQRT(D85/B85+D86/B86)</f>
        <v>3.2602752674582556E-3</v>
      </c>
      <c r="C96">
        <f>(ABS(C85-C86-E83))/B96</f>
        <v>0.30670416390317962</v>
      </c>
      <c r="D96">
        <f>(D85/B85+D86/B86)^2/((D85/B85)^2/(B85-1)+(D86/B86)^2/(B86-1))</f>
        <v>7.4739131115520472</v>
      </c>
      <c r="E96" s="5">
        <f>[1]!T_DIST_RT(C96,D96)</f>
        <v>0.38371908495232721</v>
      </c>
      <c r="F96">
        <f>[1]!T_INV(1-F94,D96)</f>
        <v>1.8766597550681852</v>
      </c>
      <c r="I96" s="27" t="str">
        <f>IF(E96&lt;F94,"yes","no")</f>
        <v>no</v>
      </c>
      <c r="J96">
        <f>SQRT(C96^2/(C96^2+D96))</f>
        <v>0.11148839628180592</v>
      </c>
    </row>
    <row r="97" spans="1:10" x14ac:dyDescent="0.2">
      <c r="A97" t="s">
        <v>114</v>
      </c>
      <c r="B97">
        <f>B96</f>
        <v>3.2602752674582556E-3</v>
      </c>
      <c r="C97">
        <f t="shared" ref="C97:D97" si="9">C96</f>
        <v>0.30670416390317962</v>
      </c>
      <c r="D97">
        <f t="shared" si="9"/>
        <v>7.4739131115520472</v>
      </c>
      <c r="E97" s="5">
        <f>[1]!T_DIST_2T(C97,D97)</f>
        <v>0.76743816990465441</v>
      </c>
      <c r="F97">
        <f>[1]!T_INV_2T(F94,D97)</f>
        <v>2.3345658653645862</v>
      </c>
      <c r="G97">
        <f>(C85-C86)-F97*B97</f>
        <v>-8.6112673511004392E-3</v>
      </c>
      <c r="H97">
        <f>(C85-C86)+F97*B97</f>
        <v>6.6113873511004411E-3</v>
      </c>
      <c r="I97" s="27" t="str">
        <f>IF(E97&lt;F94,"yes","no")</f>
        <v>no</v>
      </c>
      <c r="J97">
        <f>J96</f>
        <v>0.11148839628180592</v>
      </c>
    </row>
    <row r="98" spans="1:1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Normalized to Baseline</vt:lpstr>
      <vt:lpstr>Shapiro-Wilks - to baseline</vt:lpstr>
      <vt:lpstr>Kruskal Wallis - to baseline</vt:lpstr>
      <vt:lpstr>Raw</vt:lpstr>
      <vt:lpstr>Shapiro-Wilks-Raw</vt:lpstr>
      <vt:lpstr>One Way ANOVA - Raw</vt:lpstr>
      <vt:lpstr>Kruskal Wallis - Raw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Iris Bachmutsky</dc:creator>
  <cp:lastModifiedBy>Kevin Yackle</cp:lastModifiedBy>
  <dcterms:created xsi:type="dcterms:W3CDTF">2021-04-20T23:32:14Z</dcterms:created>
  <dcterms:modified xsi:type="dcterms:W3CDTF">2021-04-26T22:15:40Z</dcterms:modified>
</cp:coreProperties>
</file>