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4"/>
  <workbookPr/>
  <mc:AlternateContent xmlns:mc="http://schemas.openxmlformats.org/markup-compatibility/2006">
    <mc:Choice Requires="x15">
      <x15ac:absPath xmlns:x15ac="http://schemas.microsoft.com/office/spreadsheetml/2010/11/ac" url="/Users/emiliedemarsy/Documents/manuscripts/Pipitone_cp biogenesis/revisions/resubmission/"/>
    </mc:Choice>
  </mc:AlternateContent>
  <xr:revisionPtr revIDLastSave="0" documentId="13_ncr:1_{BFDB8C76-F0AB-C24C-841C-DD91C2515CFC}" xr6:coauthVersionLast="36" xr6:coauthVersionMax="36" xr10:uidLastSave="{00000000-0000-0000-0000-000000000000}"/>
  <bookViews>
    <workbookView xWindow="0" yWindow="460" windowWidth="28480" windowHeight="17340" xr2:uid="{00000000-000D-0000-FFFF-FFFF00000000}"/>
  </bookViews>
  <sheets>
    <sheet name="Foglio1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57" i="1" l="1"/>
  <c r="Y57" i="1"/>
  <c r="Y74" i="1" l="1"/>
  <c r="Y73" i="1"/>
  <c r="Y72" i="1"/>
  <c r="Y71" i="1"/>
  <c r="G112" i="1"/>
  <c r="C116" i="1"/>
  <c r="D116" i="1"/>
  <c r="E116" i="1"/>
  <c r="F116" i="1"/>
  <c r="C131" i="1"/>
  <c r="D131" i="1"/>
  <c r="E131" i="1"/>
  <c r="F131" i="1"/>
  <c r="C146" i="1"/>
  <c r="D146" i="1"/>
  <c r="E146" i="1"/>
  <c r="F146" i="1"/>
  <c r="Z120" i="1"/>
  <c r="C117" i="1"/>
  <c r="D117" i="1"/>
  <c r="E117" i="1"/>
  <c r="F117" i="1"/>
  <c r="C132" i="1"/>
  <c r="D132" i="1"/>
  <c r="E132" i="1"/>
  <c r="F132" i="1"/>
  <c r="C147" i="1"/>
  <c r="D147" i="1"/>
  <c r="E147" i="1"/>
  <c r="F147" i="1"/>
  <c r="Z121" i="1"/>
  <c r="C118" i="1"/>
  <c r="D118" i="1"/>
  <c r="E118" i="1"/>
  <c r="F118" i="1"/>
  <c r="C133" i="1"/>
  <c r="D133" i="1"/>
  <c r="E133" i="1"/>
  <c r="F133" i="1"/>
  <c r="C148" i="1"/>
  <c r="D148" i="1"/>
  <c r="E148" i="1"/>
  <c r="F148" i="1"/>
  <c r="Z122" i="1"/>
  <c r="C119" i="1"/>
  <c r="D119" i="1"/>
  <c r="E119" i="1"/>
  <c r="F119" i="1"/>
  <c r="C134" i="1"/>
  <c r="D134" i="1"/>
  <c r="E134" i="1"/>
  <c r="F134" i="1"/>
  <c r="C149" i="1"/>
  <c r="D149" i="1"/>
  <c r="E149" i="1"/>
  <c r="F149" i="1"/>
  <c r="Z123" i="1"/>
  <c r="C120" i="1"/>
  <c r="D120" i="1"/>
  <c r="E120" i="1"/>
  <c r="F120" i="1"/>
  <c r="C135" i="1"/>
  <c r="D135" i="1"/>
  <c r="E135" i="1"/>
  <c r="F135" i="1"/>
  <c r="C150" i="1"/>
  <c r="D150" i="1"/>
  <c r="E150" i="1"/>
  <c r="F150" i="1"/>
  <c r="Z124" i="1"/>
  <c r="C121" i="1"/>
  <c r="D121" i="1"/>
  <c r="E121" i="1"/>
  <c r="F121" i="1"/>
  <c r="C136" i="1"/>
  <c r="D136" i="1"/>
  <c r="E136" i="1"/>
  <c r="F136" i="1"/>
  <c r="C151" i="1"/>
  <c r="D151" i="1"/>
  <c r="E151" i="1"/>
  <c r="F151" i="1"/>
  <c r="Z125" i="1"/>
  <c r="C122" i="1"/>
  <c r="D122" i="1"/>
  <c r="E122" i="1"/>
  <c r="F122" i="1"/>
  <c r="C137" i="1"/>
  <c r="D137" i="1"/>
  <c r="E137" i="1"/>
  <c r="F137" i="1"/>
  <c r="C152" i="1"/>
  <c r="D152" i="1"/>
  <c r="E152" i="1"/>
  <c r="F152" i="1"/>
  <c r="Z126" i="1"/>
  <c r="C123" i="1"/>
  <c r="D123" i="1"/>
  <c r="E123" i="1"/>
  <c r="F123" i="1"/>
  <c r="C138" i="1"/>
  <c r="D138" i="1"/>
  <c r="E138" i="1"/>
  <c r="F138" i="1"/>
  <c r="C153" i="1"/>
  <c r="D153" i="1"/>
  <c r="E153" i="1"/>
  <c r="F153" i="1"/>
  <c r="Z127" i="1"/>
  <c r="C124" i="1"/>
  <c r="D124" i="1"/>
  <c r="E124" i="1"/>
  <c r="F124" i="1"/>
  <c r="C139" i="1"/>
  <c r="D139" i="1"/>
  <c r="E139" i="1"/>
  <c r="F139" i="1"/>
  <c r="C154" i="1"/>
  <c r="D154" i="1"/>
  <c r="E154" i="1"/>
  <c r="F154" i="1"/>
  <c r="Z128" i="1"/>
  <c r="Y120" i="1"/>
  <c r="Y121" i="1"/>
  <c r="Y122" i="1"/>
  <c r="Y123" i="1"/>
  <c r="Y124" i="1"/>
  <c r="Y125" i="1"/>
  <c r="Y126" i="1"/>
  <c r="Y127" i="1"/>
  <c r="Y128" i="1"/>
  <c r="T115" i="1"/>
  <c r="G116" i="1"/>
  <c r="H116" i="1"/>
  <c r="G131" i="1"/>
  <c r="H131" i="1"/>
  <c r="G146" i="1"/>
  <c r="H146" i="1"/>
  <c r="W120" i="1"/>
  <c r="G117" i="1"/>
  <c r="H117" i="1"/>
  <c r="G132" i="1"/>
  <c r="H132" i="1"/>
  <c r="G147" i="1"/>
  <c r="H147" i="1"/>
  <c r="W121" i="1"/>
  <c r="G118" i="1"/>
  <c r="H118" i="1"/>
  <c r="G133" i="1"/>
  <c r="H133" i="1"/>
  <c r="G148" i="1"/>
  <c r="H148" i="1"/>
  <c r="W122" i="1"/>
  <c r="G119" i="1"/>
  <c r="H119" i="1"/>
  <c r="G134" i="1"/>
  <c r="H134" i="1"/>
  <c r="G149" i="1"/>
  <c r="H149" i="1"/>
  <c r="W123" i="1"/>
  <c r="G120" i="1"/>
  <c r="H120" i="1"/>
  <c r="G135" i="1"/>
  <c r="H135" i="1"/>
  <c r="G150" i="1"/>
  <c r="H150" i="1"/>
  <c r="W124" i="1"/>
  <c r="G121" i="1"/>
  <c r="H121" i="1"/>
  <c r="G136" i="1"/>
  <c r="H136" i="1"/>
  <c r="G151" i="1"/>
  <c r="H151" i="1"/>
  <c r="W125" i="1"/>
  <c r="G122" i="1"/>
  <c r="H122" i="1"/>
  <c r="G137" i="1"/>
  <c r="H137" i="1"/>
  <c r="G152" i="1"/>
  <c r="H152" i="1"/>
  <c r="W126" i="1"/>
  <c r="G123" i="1"/>
  <c r="H123" i="1"/>
  <c r="G138" i="1"/>
  <c r="H138" i="1"/>
  <c r="G153" i="1"/>
  <c r="H153" i="1"/>
  <c r="W127" i="1"/>
  <c r="G124" i="1"/>
  <c r="H124" i="1"/>
  <c r="G139" i="1"/>
  <c r="H139" i="1"/>
  <c r="G154" i="1"/>
  <c r="H154" i="1"/>
  <c r="W128" i="1"/>
  <c r="V120" i="1"/>
  <c r="V121" i="1"/>
  <c r="V122" i="1"/>
  <c r="V123" i="1"/>
  <c r="V124" i="1"/>
  <c r="V125" i="1"/>
  <c r="V126" i="1"/>
  <c r="V127" i="1"/>
  <c r="V128" i="1"/>
  <c r="C115" i="1"/>
  <c r="D115" i="1"/>
  <c r="E115" i="1"/>
  <c r="F115" i="1"/>
  <c r="G115" i="1"/>
  <c r="H115" i="1"/>
  <c r="C130" i="1"/>
  <c r="D130" i="1"/>
  <c r="E130" i="1"/>
  <c r="F130" i="1"/>
  <c r="G130" i="1"/>
  <c r="H130" i="1"/>
  <c r="C145" i="1"/>
  <c r="D145" i="1"/>
  <c r="E145" i="1"/>
  <c r="F145" i="1"/>
  <c r="G145" i="1"/>
  <c r="H145" i="1"/>
  <c r="V119" i="1"/>
  <c r="C10" i="1"/>
  <c r="D10" i="1"/>
  <c r="E10" i="1"/>
  <c r="F10" i="1"/>
  <c r="T16" i="1"/>
  <c r="G10" i="1"/>
  <c r="H10" i="1"/>
  <c r="C22" i="1"/>
  <c r="D22" i="1"/>
  <c r="E22" i="1"/>
  <c r="F22" i="1"/>
  <c r="G22" i="1"/>
  <c r="H22" i="1"/>
  <c r="C34" i="1"/>
  <c r="D34" i="1"/>
  <c r="E34" i="1"/>
  <c r="F34" i="1"/>
  <c r="G34" i="1"/>
  <c r="H34" i="1"/>
  <c r="V35" i="1"/>
  <c r="Y35" i="1"/>
  <c r="C96" i="1"/>
  <c r="C9" i="1"/>
  <c r="D9" i="1"/>
  <c r="E9" i="1"/>
  <c r="F9" i="1"/>
  <c r="C21" i="1"/>
  <c r="D21" i="1"/>
  <c r="E21" i="1"/>
  <c r="F21" i="1"/>
  <c r="C33" i="1"/>
  <c r="D33" i="1"/>
  <c r="E33" i="1"/>
  <c r="F33" i="1"/>
  <c r="Z34" i="1"/>
  <c r="Z35" i="1"/>
  <c r="C11" i="1"/>
  <c r="D11" i="1"/>
  <c r="E11" i="1"/>
  <c r="F11" i="1"/>
  <c r="C23" i="1"/>
  <c r="D23" i="1"/>
  <c r="E23" i="1"/>
  <c r="F23" i="1"/>
  <c r="C35" i="1"/>
  <c r="D35" i="1"/>
  <c r="E35" i="1"/>
  <c r="F35" i="1"/>
  <c r="Z36" i="1"/>
  <c r="C12" i="1"/>
  <c r="D12" i="1"/>
  <c r="E12" i="1"/>
  <c r="F12" i="1"/>
  <c r="C24" i="1"/>
  <c r="D24" i="1"/>
  <c r="E24" i="1"/>
  <c r="F24" i="1"/>
  <c r="C36" i="1"/>
  <c r="D36" i="1"/>
  <c r="E36" i="1"/>
  <c r="F36" i="1"/>
  <c r="Z37" i="1"/>
  <c r="C8" i="1"/>
  <c r="D8" i="1"/>
  <c r="E8" i="1"/>
  <c r="F8" i="1"/>
  <c r="C20" i="1"/>
  <c r="D20" i="1"/>
  <c r="E20" i="1"/>
  <c r="F20" i="1"/>
  <c r="C32" i="1"/>
  <c r="D32" i="1"/>
  <c r="E32" i="1"/>
  <c r="F32" i="1"/>
  <c r="Z33" i="1"/>
  <c r="C7" i="1"/>
  <c r="D7" i="1"/>
  <c r="E7" i="1"/>
  <c r="F7" i="1"/>
  <c r="C31" i="1"/>
  <c r="D31" i="1"/>
  <c r="E31" i="1"/>
  <c r="F31" i="1"/>
  <c r="C43" i="1"/>
  <c r="D43" i="1"/>
  <c r="E43" i="1"/>
  <c r="F43" i="1"/>
  <c r="Z32" i="1"/>
  <c r="C4" i="1"/>
  <c r="D4" i="1"/>
  <c r="E4" i="1"/>
  <c r="F4" i="1"/>
  <c r="C16" i="1"/>
  <c r="D16" i="1"/>
  <c r="E16" i="1"/>
  <c r="F16" i="1"/>
  <c r="C28" i="1"/>
  <c r="D28" i="1"/>
  <c r="E28" i="1"/>
  <c r="F28" i="1"/>
  <c r="Z29" i="1"/>
  <c r="C5" i="1"/>
  <c r="D5" i="1"/>
  <c r="E5" i="1"/>
  <c r="F5" i="1"/>
  <c r="C17" i="1"/>
  <c r="D17" i="1"/>
  <c r="E17" i="1"/>
  <c r="F17" i="1"/>
  <c r="C29" i="1"/>
  <c r="D29" i="1"/>
  <c r="E29" i="1"/>
  <c r="F29" i="1"/>
  <c r="Z30" i="1"/>
  <c r="C6" i="1"/>
  <c r="D6" i="1"/>
  <c r="E6" i="1"/>
  <c r="F6" i="1"/>
  <c r="C18" i="1"/>
  <c r="D18" i="1"/>
  <c r="E18" i="1"/>
  <c r="F18" i="1"/>
  <c r="C30" i="1"/>
  <c r="D30" i="1"/>
  <c r="E30" i="1"/>
  <c r="F30" i="1"/>
  <c r="Z31" i="1"/>
  <c r="C3" i="1"/>
  <c r="D3" i="1"/>
  <c r="E3" i="1"/>
  <c r="F3" i="1"/>
  <c r="C15" i="1"/>
  <c r="D15" i="1"/>
  <c r="E15" i="1"/>
  <c r="F15" i="1"/>
  <c r="C27" i="1"/>
  <c r="D27" i="1"/>
  <c r="E27" i="1"/>
  <c r="F27" i="1"/>
  <c r="Z28" i="1"/>
  <c r="Y34" i="1"/>
  <c r="Y36" i="1"/>
  <c r="Y37" i="1"/>
  <c r="Y33" i="1"/>
  <c r="Y32" i="1"/>
  <c r="C52" i="1"/>
  <c r="D52" i="1"/>
  <c r="E52" i="1"/>
  <c r="F52" i="1"/>
  <c r="Y29" i="1"/>
  <c r="C53" i="1"/>
  <c r="D53" i="1"/>
  <c r="E53" i="1"/>
  <c r="F53" i="1"/>
  <c r="Y30" i="1"/>
  <c r="C54" i="1"/>
  <c r="D54" i="1"/>
  <c r="E54" i="1"/>
  <c r="F54" i="1"/>
  <c r="Y31" i="1"/>
  <c r="C51" i="1"/>
  <c r="D51" i="1"/>
  <c r="E51" i="1"/>
  <c r="F51" i="1"/>
  <c r="Y28" i="1"/>
  <c r="G7" i="1"/>
  <c r="H7" i="1"/>
  <c r="G31" i="1"/>
  <c r="H31" i="1"/>
  <c r="G43" i="1"/>
  <c r="H43" i="1"/>
  <c r="V32" i="1"/>
  <c r="G12" i="1"/>
  <c r="H12" i="1"/>
  <c r="G24" i="1"/>
  <c r="H24" i="1"/>
  <c r="G36" i="1"/>
  <c r="H36" i="1"/>
  <c r="W37" i="1"/>
  <c r="V37" i="1"/>
  <c r="G11" i="1"/>
  <c r="H11" i="1"/>
  <c r="G23" i="1"/>
  <c r="H23" i="1"/>
  <c r="G35" i="1"/>
  <c r="H35" i="1"/>
  <c r="W36" i="1"/>
  <c r="V36" i="1"/>
  <c r="G9" i="1"/>
  <c r="H9" i="1"/>
  <c r="G21" i="1"/>
  <c r="H21" i="1"/>
  <c r="G33" i="1"/>
  <c r="H33" i="1"/>
  <c r="V34" i="1"/>
  <c r="C112" i="1"/>
  <c r="C81" i="1"/>
  <c r="C113" i="1"/>
  <c r="D113" i="1"/>
  <c r="E113" i="1"/>
  <c r="F113" i="1"/>
  <c r="C128" i="1"/>
  <c r="D128" i="1"/>
  <c r="E128" i="1"/>
  <c r="F128" i="1"/>
  <c r="C143" i="1"/>
  <c r="D143" i="1"/>
  <c r="E143" i="1"/>
  <c r="F143" i="1"/>
  <c r="Z117" i="1"/>
  <c r="C114" i="1"/>
  <c r="D114" i="1"/>
  <c r="E114" i="1"/>
  <c r="F114" i="1"/>
  <c r="C129" i="1"/>
  <c r="D129" i="1"/>
  <c r="E129" i="1"/>
  <c r="F129" i="1"/>
  <c r="C144" i="1"/>
  <c r="D144" i="1"/>
  <c r="E144" i="1"/>
  <c r="F144" i="1"/>
  <c r="Z118" i="1"/>
  <c r="Z119" i="1"/>
  <c r="Y117" i="1"/>
  <c r="Y118" i="1"/>
  <c r="Y119" i="1"/>
  <c r="D112" i="1"/>
  <c r="E112" i="1"/>
  <c r="F112" i="1"/>
  <c r="C127" i="1"/>
  <c r="D127" i="1"/>
  <c r="E127" i="1"/>
  <c r="F127" i="1"/>
  <c r="C142" i="1"/>
  <c r="D142" i="1"/>
  <c r="E142" i="1"/>
  <c r="F142" i="1"/>
  <c r="Z116" i="1"/>
  <c r="Y116" i="1"/>
  <c r="G113" i="1"/>
  <c r="H113" i="1"/>
  <c r="G128" i="1"/>
  <c r="H128" i="1"/>
  <c r="G143" i="1"/>
  <c r="H143" i="1"/>
  <c r="W117" i="1"/>
  <c r="G114" i="1"/>
  <c r="H114" i="1"/>
  <c r="G129" i="1"/>
  <c r="H129" i="1"/>
  <c r="G144" i="1"/>
  <c r="H144" i="1"/>
  <c r="W118" i="1"/>
  <c r="W119" i="1"/>
  <c r="V117" i="1"/>
  <c r="V118" i="1"/>
  <c r="H112" i="1"/>
  <c r="G127" i="1"/>
  <c r="H127" i="1"/>
  <c r="G142" i="1"/>
  <c r="H142" i="1"/>
  <c r="W116" i="1"/>
  <c r="V116" i="1"/>
  <c r="C82" i="1"/>
  <c r="D82" i="1"/>
  <c r="E82" i="1"/>
  <c r="F82" i="1"/>
  <c r="C97" i="1"/>
  <c r="D97" i="1"/>
  <c r="E97" i="1"/>
  <c r="F97" i="1"/>
  <c r="Z58" i="1"/>
  <c r="C83" i="1"/>
  <c r="D83" i="1"/>
  <c r="E83" i="1"/>
  <c r="F83" i="1"/>
  <c r="C98" i="1"/>
  <c r="D98" i="1"/>
  <c r="E98" i="1"/>
  <c r="F98" i="1"/>
  <c r="Z59" i="1"/>
  <c r="C84" i="1"/>
  <c r="D84" i="1"/>
  <c r="E84" i="1"/>
  <c r="F84" i="1"/>
  <c r="C99" i="1"/>
  <c r="D99" i="1"/>
  <c r="E99" i="1"/>
  <c r="F99" i="1"/>
  <c r="Z60" i="1"/>
  <c r="C55" i="1"/>
  <c r="D55" i="1"/>
  <c r="E55" i="1"/>
  <c r="F55" i="1"/>
  <c r="C85" i="1"/>
  <c r="D85" i="1"/>
  <c r="E85" i="1"/>
  <c r="F85" i="1"/>
  <c r="C100" i="1"/>
  <c r="D100" i="1"/>
  <c r="E100" i="1"/>
  <c r="F100" i="1"/>
  <c r="Z61" i="1"/>
  <c r="C56" i="1"/>
  <c r="D56" i="1"/>
  <c r="E56" i="1"/>
  <c r="F56" i="1"/>
  <c r="C86" i="1"/>
  <c r="D86" i="1"/>
  <c r="E86" i="1"/>
  <c r="F86" i="1"/>
  <c r="C101" i="1"/>
  <c r="D101" i="1"/>
  <c r="E101" i="1"/>
  <c r="F101" i="1"/>
  <c r="Z62" i="1"/>
  <c r="C57" i="1"/>
  <c r="D57" i="1"/>
  <c r="E57" i="1"/>
  <c r="F57" i="1"/>
  <c r="C87" i="1"/>
  <c r="D87" i="1"/>
  <c r="E87" i="1"/>
  <c r="F87" i="1"/>
  <c r="C102" i="1"/>
  <c r="D102" i="1"/>
  <c r="E102" i="1"/>
  <c r="F102" i="1"/>
  <c r="Z63" i="1"/>
  <c r="C58" i="1"/>
  <c r="D58" i="1"/>
  <c r="E58" i="1"/>
  <c r="F58" i="1"/>
  <c r="C88" i="1"/>
  <c r="D88" i="1"/>
  <c r="E88" i="1"/>
  <c r="F88" i="1"/>
  <c r="C103" i="1"/>
  <c r="D103" i="1"/>
  <c r="E103" i="1"/>
  <c r="F103" i="1"/>
  <c r="Z64" i="1"/>
  <c r="C59" i="1"/>
  <c r="D59" i="1"/>
  <c r="E59" i="1"/>
  <c r="F59" i="1"/>
  <c r="C89" i="1"/>
  <c r="D89" i="1"/>
  <c r="E89" i="1"/>
  <c r="F89" i="1"/>
  <c r="C104" i="1"/>
  <c r="D104" i="1"/>
  <c r="E104" i="1"/>
  <c r="F104" i="1"/>
  <c r="Z65" i="1"/>
  <c r="C60" i="1"/>
  <c r="D60" i="1"/>
  <c r="E60" i="1"/>
  <c r="F60" i="1"/>
  <c r="C90" i="1"/>
  <c r="D90" i="1"/>
  <c r="E90" i="1"/>
  <c r="F90" i="1"/>
  <c r="C105" i="1"/>
  <c r="D105" i="1"/>
  <c r="E105" i="1"/>
  <c r="F105" i="1"/>
  <c r="Z66" i="1"/>
  <c r="C61" i="1"/>
  <c r="D61" i="1"/>
  <c r="E61" i="1"/>
  <c r="F61" i="1"/>
  <c r="C91" i="1"/>
  <c r="D91" i="1"/>
  <c r="E91" i="1"/>
  <c r="F91" i="1"/>
  <c r="C106" i="1"/>
  <c r="D106" i="1"/>
  <c r="E106" i="1"/>
  <c r="F106" i="1"/>
  <c r="Z67" i="1"/>
  <c r="C62" i="1"/>
  <c r="D62" i="1"/>
  <c r="E62" i="1"/>
  <c r="F62" i="1"/>
  <c r="C92" i="1"/>
  <c r="D92" i="1"/>
  <c r="E92" i="1"/>
  <c r="F92" i="1"/>
  <c r="C107" i="1"/>
  <c r="D107" i="1"/>
  <c r="E107" i="1"/>
  <c r="F107" i="1"/>
  <c r="Z68" i="1"/>
  <c r="C63" i="1"/>
  <c r="D63" i="1"/>
  <c r="E63" i="1"/>
  <c r="F63" i="1"/>
  <c r="C93" i="1"/>
  <c r="D93" i="1"/>
  <c r="E93" i="1"/>
  <c r="F93" i="1"/>
  <c r="C108" i="1"/>
  <c r="D108" i="1"/>
  <c r="E108" i="1"/>
  <c r="F108" i="1"/>
  <c r="Z69" i="1"/>
  <c r="Y58" i="1"/>
  <c r="Y59" i="1"/>
  <c r="Y60" i="1"/>
  <c r="Y61" i="1"/>
  <c r="Y62" i="1"/>
  <c r="Y63" i="1"/>
  <c r="Y64" i="1"/>
  <c r="Y65" i="1"/>
  <c r="Y66" i="1"/>
  <c r="Y67" i="1"/>
  <c r="Y68" i="1"/>
  <c r="Y69" i="1"/>
  <c r="D81" i="1"/>
  <c r="E81" i="1"/>
  <c r="F81" i="1"/>
  <c r="D96" i="1"/>
  <c r="E96" i="1"/>
  <c r="F96" i="1"/>
  <c r="T53" i="1"/>
  <c r="G52" i="1"/>
  <c r="H52" i="1"/>
  <c r="G82" i="1"/>
  <c r="H82" i="1"/>
  <c r="G97" i="1"/>
  <c r="H97" i="1"/>
  <c r="W58" i="1"/>
  <c r="G53" i="1"/>
  <c r="H53" i="1"/>
  <c r="G83" i="1"/>
  <c r="H83" i="1"/>
  <c r="G98" i="1"/>
  <c r="H98" i="1"/>
  <c r="W59" i="1"/>
  <c r="G54" i="1"/>
  <c r="H54" i="1"/>
  <c r="G84" i="1"/>
  <c r="H84" i="1"/>
  <c r="G99" i="1"/>
  <c r="H99" i="1"/>
  <c r="W60" i="1"/>
  <c r="G55" i="1"/>
  <c r="H55" i="1"/>
  <c r="G85" i="1"/>
  <c r="H85" i="1"/>
  <c r="G100" i="1"/>
  <c r="H100" i="1"/>
  <c r="W61" i="1"/>
  <c r="G56" i="1"/>
  <c r="H56" i="1"/>
  <c r="G86" i="1"/>
  <c r="H86" i="1"/>
  <c r="G101" i="1"/>
  <c r="H101" i="1"/>
  <c r="W62" i="1"/>
  <c r="G57" i="1"/>
  <c r="H57" i="1"/>
  <c r="G87" i="1"/>
  <c r="H87" i="1"/>
  <c r="G102" i="1"/>
  <c r="H102" i="1"/>
  <c r="W63" i="1"/>
  <c r="G58" i="1"/>
  <c r="H58" i="1"/>
  <c r="G88" i="1"/>
  <c r="H88" i="1"/>
  <c r="G103" i="1"/>
  <c r="H103" i="1"/>
  <c r="W64" i="1"/>
  <c r="G59" i="1"/>
  <c r="H59" i="1"/>
  <c r="G89" i="1"/>
  <c r="H89" i="1"/>
  <c r="G104" i="1"/>
  <c r="H104" i="1"/>
  <c r="W65" i="1"/>
  <c r="G60" i="1"/>
  <c r="H60" i="1"/>
  <c r="G90" i="1"/>
  <c r="H90" i="1"/>
  <c r="G105" i="1"/>
  <c r="H105" i="1"/>
  <c r="W66" i="1"/>
  <c r="G61" i="1"/>
  <c r="H61" i="1"/>
  <c r="G91" i="1"/>
  <c r="H91" i="1"/>
  <c r="G106" i="1"/>
  <c r="H106" i="1"/>
  <c r="W67" i="1"/>
  <c r="G62" i="1"/>
  <c r="H62" i="1"/>
  <c r="G92" i="1"/>
  <c r="H92" i="1"/>
  <c r="G107" i="1"/>
  <c r="H107" i="1"/>
  <c r="W68" i="1"/>
  <c r="G63" i="1"/>
  <c r="H63" i="1"/>
  <c r="G93" i="1"/>
  <c r="H93" i="1"/>
  <c r="G108" i="1"/>
  <c r="H108" i="1"/>
  <c r="W69" i="1"/>
  <c r="V58" i="1"/>
  <c r="V59" i="1"/>
  <c r="V60" i="1"/>
  <c r="V61" i="1"/>
  <c r="V62" i="1"/>
  <c r="V63" i="1"/>
  <c r="V64" i="1"/>
  <c r="V65" i="1"/>
  <c r="V66" i="1"/>
  <c r="V67" i="1"/>
  <c r="V68" i="1"/>
  <c r="V69" i="1"/>
  <c r="G51" i="1"/>
  <c r="H51" i="1"/>
  <c r="G81" i="1"/>
  <c r="H81" i="1"/>
  <c r="G96" i="1"/>
  <c r="H96" i="1"/>
  <c r="W57" i="1"/>
  <c r="V57" i="1"/>
  <c r="C78" i="1"/>
  <c r="C77" i="1"/>
  <c r="C76" i="1"/>
  <c r="C75" i="1"/>
  <c r="C74" i="1"/>
  <c r="C67" i="1"/>
  <c r="D67" i="1"/>
  <c r="E67" i="1"/>
  <c r="F67" i="1"/>
  <c r="G67" i="1"/>
  <c r="C68" i="1"/>
  <c r="D68" i="1"/>
  <c r="E68" i="1"/>
  <c r="F68" i="1"/>
  <c r="G68" i="1"/>
  <c r="C69" i="1"/>
  <c r="D69" i="1"/>
  <c r="E69" i="1"/>
  <c r="F69" i="1"/>
  <c r="G69" i="1"/>
  <c r="C70" i="1"/>
  <c r="D70" i="1"/>
  <c r="E70" i="1"/>
  <c r="F70" i="1"/>
  <c r="G70" i="1"/>
  <c r="C71" i="1"/>
  <c r="D71" i="1"/>
  <c r="E71" i="1"/>
  <c r="F71" i="1"/>
  <c r="G71" i="1"/>
  <c r="C72" i="1"/>
  <c r="D72" i="1"/>
  <c r="E72" i="1"/>
  <c r="F72" i="1"/>
  <c r="G72" i="1"/>
  <c r="C73" i="1"/>
  <c r="D73" i="1"/>
  <c r="E73" i="1"/>
  <c r="F73" i="1"/>
  <c r="G73" i="1"/>
  <c r="D74" i="1"/>
  <c r="E74" i="1"/>
  <c r="F74" i="1"/>
  <c r="G74" i="1"/>
  <c r="D75" i="1"/>
  <c r="E75" i="1"/>
  <c r="F75" i="1"/>
  <c r="G75" i="1"/>
  <c r="D76" i="1"/>
  <c r="E76" i="1"/>
  <c r="F76" i="1"/>
  <c r="G76" i="1"/>
  <c r="D77" i="1"/>
  <c r="E77" i="1"/>
  <c r="F77" i="1"/>
  <c r="G77" i="1"/>
  <c r="D78" i="1"/>
  <c r="E78" i="1"/>
  <c r="F78" i="1"/>
  <c r="G78" i="1"/>
  <c r="C66" i="1"/>
  <c r="D66" i="1"/>
  <c r="E66" i="1"/>
  <c r="F66" i="1"/>
  <c r="G66" i="1"/>
  <c r="H67" i="1"/>
  <c r="H68" i="1"/>
  <c r="H69" i="1"/>
  <c r="H70" i="1"/>
  <c r="H71" i="1"/>
  <c r="H72" i="1"/>
  <c r="H73" i="1"/>
  <c r="H74" i="1"/>
  <c r="H75" i="1"/>
  <c r="H76" i="1"/>
  <c r="H77" i="1"/>
  <c r="H78" i="1"/>
  <c r="H66" i="1"/>
  <c r="C46" i="1"/>
  <c r="D46" i="1"/>
  <c r="E46" i="1"/>
  <c r="F46" i="1"/>
  <c r="G46" i="1"/>
  <c r="H46" i="1"/>
  <c r="C45" i="1"/>
  <c r="D45" i="1"/>
  <c r="E45" i="1"/>
  <c r="F45" i="1"/>
  <c r="G45" i="1"/>
  <c r="H45" i="1"/>
  <c r="C44" i="1"/>
  <c r="D44" i="1"/>
  <c r="E44" i="1"/>
  <c r="F44" i="1"/>
  <c r="G44" i="1"/>
  <c r="H44" i="1"/>
  <c r="C42" i="1"/>
  <c r="D42" i="1"/>
  <c r="E42" i="1"/>
  <c r="F42" i="1"/>
  <c r="G42" i="1"/>
  <c r="H42" i="1"/>
  <c r="C41" i="1"/>
  <c r="D41" i="1"/>
  <c r="E41" i="1"/>
  <c r="F41" i="1"/>
  <c r="G41" i="1"/>
  <c r="H41" i="1"/>
  <c r="C40" i="1"/>
  <c r="D40" i="1"/>
  <c r="E40" i="1"/>
  <c r="F40" i="1"/>
  <c r="G40" i="1"/>
  <c r="H40" i="1"/>
  <c r="C39" i="1"/>
  <c r="D39" i="1"/>
  <c r="E39" i="1"/>
  <c r="F39" i="1"/>
  <c r="G39" i="1"/>
  <c r="H39" i="1"/>
  <c r="G32" i="1"/>
  <c r="H32" i="1"/>
  <c r="G30" i="1"/>
  <c r="H30" i="1"/>
  <c r="G29" i="1"/>
  <c r="H29" i="1"/>
  <c r="G28" i="1"/>
  <c r="H28" i="1"/>
  <c r="G27" i="1"/>
  <c r="H27" i="1"/>
  <c r="W35" i="1"/>
  <c r="W34" i="1"/>
  <c r="G8" i="1"/>
  <c r="H8" i="1"/>
  <c r="G20" i="1"/>
  <c r="H20" i="1"/>
  <c r="W33" i="1"/>
  <c r="W32" i="1"/>
  <c r="V33" i="1"/>
  <c r="G6" i="1"/>
  <c r="H6" i="1"/>
  <c r="G18" i="1"/>
  <c r="H18" i="1"/>
  <c r="W31" i="1"/>
  <c r="G5" i="1"/>
  <c r="H5" i="1"/>
  <c r="G17" i="1"/>
  <c r="H17" i="1"/>
  <c r="W30" i="1"/>
  <c r="V31" i="1"/>
  <c r="G4" i="1"/>
  <c r="H4" i="1"/>
  <c r="G16" i="1"/>
  <c r="H16" i="1"/>
  <c r="W29" i="1"/>
  <c r="V30" i="1"/>
  <c r="G3" i="1"/>
  <c r="H3" i="1"/>
  <c r="G15" i="1"/>
  <c r="H15" i="1"/>
  <c r="W28" i="1"/>
  <c r="V29" i="1"/>
  <c r="C19" i="1"/>
  <c r="D19" i="1"/>
  <c r="E19" i="1"/>
  <c r="F19" i="1"/>
  <c r="G19" i="1"/>
  <c r="H19" i="1"/>
  <c r="V28" i="1"/>
</calcChain>
</file>

<file path=xl/sharedStrings.xml><?xml version="1.0" encoding="utf-8"?>
<sst xmlns="http://schemas.openxmlformats.org/spreadsheetml/2006/main" count="263" uniqueCount="96">
  <si>
    <t>time points</t>
  </si>
  <si>
    <t xml:space="preserve">raw data </t>
  </si>
  <si>
    <t>ng PetC</t>
  </si>
  <si>
    <t>sample list</t>
  </si>
  <si>
    <t xml:space="preserve">bio1 </t>
  </si>
  <si>
    <t>ng PsaC</t>
  </si>
  <si>
    <t>tot PsaC</t>
  </si>
  <si>
    <t>ng/seedling</t>
  </si>
  <si>
    <t>nmol/seedling</t>
  </si>
  <si>
    <t>surface nm2</t>
  </si>
  <si>
    <t>surface in um2</t>
  </si>
  <si>
    <t>BIO1</t>
  </si>
  <si>
    <t>mg FW</t>
  </si>
  <si>
    <t>ul SB4V</t>
  </si>
  <si>
    <t>BIO2</t>
  </si>
  <si>
    <t>BIO3</t>
  </si>
  <si>
    <t>BIO4</t>
  </si>
  <si>
    <t>T0.1</t>
  </si>
  <si>
    <t>T0.2</t>
  </si>
  <si>
    <t>T0.3</t>
  </si>
  <si>
    <t>T0.4</t>
  </si>
  <si>
    <t>T4.1</t>
  </si>
  <si>
    <t>T4.2</t>
  </si>
  <si>
    <t>T4.3</t>
  </si>
  <si>
    <t>T4.4</t>
  </si>
  <si>
    <t>T8.1</t>
  </si>
  <si>
    <t>T8.2</t>
  </si>
  <si>
    <t>T8.3</t>
  </si>
  <si>
    <t>T8.4</t>
  </si>
  <si>
    <t>T12.1</t>
  </si>
  <si>
    <t>T12.2</t>
  </si>
  <si>
    <t>T12.3</t>
  </si>
  <si>
    <t>T12.4</t>
  </si>
  <si>
    <t>intercept</t>
  </si>
  <si>
    <t>T24.1</t>
  </si>
  <si>
    <t>T24.2</t>
  </si>
  <si>
    <t>T24.3</t>
  </si>
  <si>
    <t>T24.4</t>
  </si>
  <si>
    <t>slope</t>
  </si>
  <si>
    <t>T48.1</t>
  </si>
  <si>
    <t>T48.2</t>
  </si>
  <si>
    <t>T48.3</t>
  </si>
  <si>
    <t>T48.4</t>
  </si>
  <si>
    <t>T72.1</t>
  </si>
  <si>
    <t>T72.2</t>
  </si>
  <si>
    <t>T72.3</t>
  </si>
  <si>
    <t>T72.4</t>
  </si>
  <si>
    <t>T96.1</t>
  </si>
  <si>
    <t>T96.2</t>
  </si>
  <si>
    <t>T96.3</t>
  </si>
  <si>
    <t>T96.4</t>
  </si>
  <si>
    <t>T72/3</t>
  </si>
  <si>
    <t>T96/4</t>
  </si>
  <si>
    <t xml:space="preserve">loading volume </t>
  </si>
  <si>
    <t xml:space="preserve">nb seedling </t>
  </si>
  <si>
    <t>bio2</t>
  </si>
  <si>
    <t>Da PetC</t>
  </si>
  <si>
    <t>avogradro constant</t>
  </si>
  <si>
    <t xml:space="preserve">surface </t>
  </si>
  <si>
    <t>mean</t>
  </si>
  <si>
    <t>T0</t>
  </si>
  <si>
    <t>sd</t>
  </si>
  <si>
    <t>24*</t>
  </si>
  <si>
    <t>T4</t>
  </si>
  <si>
    <t>T8</t>
  </si>
  <si>
    <t>T12</t>
  </si>
  <si>
    <t>T24</t>
  </si>
  <si>
    <t>T48</t>
  </si>
  <si>
    <t>T72</t>
  </si>
  <si>
    <t>T96</t>
  </si>
  <si>
    <t>bio3</t>
  </si>
  <si>
    <t>bio4</t>
  </si>
  <si>
    <t>24/2,</t>
  </si>
  <si>
    <t>48/2</t>
  </si>
  <si>
    <t>72/3</t>
  </si>
  <si>
    <t>96/4</t>
  </si>
  <si>
    <t>96/8</t>
  </si>
  <si>
    <t>bio1</t>
  </si>
  <si>
    <t>ng PsbA</t>
  </si>
  <si>
    <t>tot PsbA</t>
  </si>
  <si>
    <t>Da PsbA</t>
  </si>
  <si>
    <t>24 /2,</t>
  </si>
  <si>
    <t xml:space="preserve">recombinant prot </t>
  </si>
  <si>
    <t xml:space="preserve">ng </t>
  </si>
  <si>
    <t>value</t>
  </si>
  <si>
    <t>ng Psba</t>
  </si>
  <si>
    <t>24_/2</t>
  </si>
  <si>
    <t>bio 1</t>
  </si>
  <si>
    <t xml:space="preserve">ng PetC </t>
  </si>
  <si>
    <t xml:space="preserve">tot PetC </t>
  </si>
  <si>
    <t>bio 2</t>
  </si>
  <si>
    <t>bio 4</t>
  </si>
  <si>
    <t xml:space="preserve">slope </t>
  </si>
  <si>
    <t xml:space="preserve">intercept </t>
  </si>
  <si>
    <t xml:space="preserve">mean </t>
  </si>
  <si>
    <t>surface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</si>
</sst>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E+00"/>
    <numFmt numFmtId="165" formatCode="0E+00"/>
  </numFmts>
  <fonts count="5">
    <font>
      <sz val="11"/>
      <color theme="1"/>
      <name val="Roboto Light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1" fontId="4" fillId="0" borderId="1" xfId="0" applyNumberFormat="1" applyFont="1" applyBorder="1"/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11" fontId="4" fillId="0" borderId="1" xfId="0" applyNumberFormat="1" applyFont="1" applyBorder="1" applyAlignment="1">
      <alignment horizontal="center"/>
    </xf>
    <xf numFmtId="11" fontId="4" fillId="0" borderId="0" xfId="0" applyNumberFormat="1" applyFont="1" applyAlignment="1">
      <alignment horizontal="center"/>
    </xf>
    <xf numFmtId="11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/>
    <xf numFmtId="11" fontId="1" fillId="0" borderId="1" xfId="0" applyNumberFormat="1" applyFont="1" applyBorder="1" applyAlignment="1">
      <alignment horizontal="center"/>
    </xf>
    <xf numFmtId="164" fontId="4" fillId="0" borderId="0" xfId="0" applyNumberFormat="1" applyFo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Bio1 PsaC recombinant protein</a:t>
            </a:r>
          </a:p>
        </c:rich>
      </c:tx>
      <c:layout>
        <c:manualLayout>
          <c:xMode val="edge"/>
          <c:yMode val="edge"/>
          <c:x val="0.3598263342082239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5.3549319981442675E-2"/>
                  <c:y val="-4.173656133526589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'[1]RECOMBINANT PROTEINS'!$K$2:$K$5</c:f>
              <c:numCache>
                <c:formatCode>General</c:formatCode>
                <c:ptCount val="4"/>
                <c:pt idx="0">
                  <c:v>3</c:v>
                </c:pt>
                <c:pt idx="1">
                  <c:v>1.5</c:v>
                </c:pt>
                <c:pt idx="2">
                  <c:v>0.75</c:v>
                </c:pt>
                <c:pt idx="3">
                  <c:v>0.32500000000000001</c:v>
                </c:pt>
              </c:numCache>
            </c:numRef>
          </c:xVal>
          <c:yVal>
            <c:numRef>
              <c:f>'[1]RECOMBINANT PROTEINS'!$L$2:$L$5</c:f>
              <c:numCache>
                <c:formatCode>General</c:formatCode>
                <c:ptCount val="4"/>
                <c:pt idx="0">
                  <c:v>3818036.41</c:v>
                </c:pt>
                <c:pt idx="1">
                  <c:v>2918488.7</c:v>
                </c:pt>
                <c:pt idx="2">
                  <c:v>1644646.92</c:v>
                </c:pt>
                <c:pt idx="3">
                  <c:v>1198189.8799999999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D07-4A8D-92F3-E81D400C6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8599984"/>
        <c:axId val="304365712"/>
      </c:scatterChart>
      <c:valAx>
        <c:axId val="42859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4365712"/>
        <c:crosses val="autoZero"/>
        <c:crossBetween val="midCat"/>
      </c:valAx>
      <c:valAx>
        <c:axId val="304365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859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PsbA mean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Foglio1!$W$57:$W$69</c:f>
                <c:numCache>
                  <c:formatCode>General</c:formatCode>
                  <c:ptCount val="13"/>
                  <c:pt idx="0">
                    <c:v>537964.9953598954</c:v>
                  </c:pt>
                  <c:pt idx="1">
                    <c:v>530286.69130567287</c:v>
                  </c:pt>
                  <c:pt idx="2">
                    <c:v>212172.05029168192</c:v>
                  </c:pt>
                  <c:pt idx="3">
                    <c:v>1288628.4621808787</c:v>
                  </c:pt>
                  <c:pt idx="4">
                    <c:v>5274262.7499841154</c:v>
                  </c:pt>
                  <c:pt idx="5">
                    <c:v>18514796.565864734</c:v>
                  </c:pt>
                  <c:pt idx="6">
                    <c:v>16139102.93766943</c:v>
                  </c:pt>
                  <c:pt idx="7">
                    <c:v>22612865.4748425</c:v>
                  </c:pt>
                  <c:pt idx="8">
                    <c:v>6418139.6033118311</c:v>
                  </c:pt>
                  <c:pt idx="9">
                    <c:v>18493295.642370563</c:v>
                  </c:pt>
                  <c:pt idx="10">
                    <c:v>11894097.386675008</c:v>
                  </c:pt>
                  <c:pt idx="11">
                    <c:v>41066029.028716281</c:v>
                  </c:pt>
                  <c:pt idx="12">
                    <c:v>51668670.630064093</c:v>
                  </c:pt>
                </c:numCache>
              </c:numRef>
            </c:plus>
            <c:minus>
              <c:numRef>
                <c:f>Foglio1!$W$57:$W$69</c:f>
                <c:numCache>
                  <c:formatCode>General</c:formatCode>
                  <c:ptCount val="13"/>
                  <c:pt idx="0">
                    <c:v>537964.9953598954</c:v>
                  </c:pt>
                  <c:pt idx="1">
                    <c:v>530286.69130567287</c:v>
                  </c:pt>
                  <c:pt idx="2">
                    <c:v>212172.05029168192</c:v>
                  </c:pt>
                  <c:pt idx="3">
                    <c:v>1288628.4621808787</c:v>
                  </c:pt>
                  <c:pt idx="4">
                    <c:v>5274262.7499841154</c:v>
                  </c:pt>
                  <c:pt idx="5">
                    <c:v>18514796.565864734</c:v>
                  </c:pt>
                  <c:pt idx="6">
                    <c:v>16139102.93766943</c:v>
                  </c:pt>
                  <c:pt idx="7">
                    <c:v>22612865.4748425</c:v>
                  </c:pt>
                  <c:pt idx="8">
                    <c:v>6418139.6033118311</c:v>
                  </c:pt>
                  <c:pt idx="9">
                    <c:v>18493295.642370563</c:v>
                  </c:pt>
                  <c:pt idx="10">
                    <c:v>11894097.386675008</c:v>
                  </c:pt>
                  <c:pt idx="11">
                    <c:v>41066029.028716281</c:v>
                  </c:pt>
                  <c:pt idx="12">
                    <c:v>51668670.630064093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Foglio1!$U$57:$U$69</c:f>
              <c:strCache>
                <c:ptCount val="13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24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24 /2,</c:v>
                </c:pt>
                <c:pt idx="9">
                  <c:v>48/2</c:v>
                </c:pt>
                <c:pt idx="10">
                  <c:v>72/3</c:v>
                </c:pt>
                <c:pt idx="11">
                  <c:v>96/4</c:v>
                </c:pt>
                <c:pt idx="12">
                  <c:v>96/8</c:v>
                </c:pt>
              </c:strCache>
            </c:strRef>
          </c:cat>
          <c:val>
            <c:numRef>
              <c:f>Foglio1!$V$57:$V$69</c:f>
              <c:numCache>
                <c:formatCode>0.0E+00</c:formatCode>
                <c:ptCount val="13"/>
                <c:pt idx="0">
                  <c:v>2040031.1452479642</c:v>
                </c:pt>
                <c:pt idx="1">
                  <c:v>2735888.7498963228</c:v>
                </c:pt>
                <c:pt idx="2">
                  <c:v>4401938.3113197768</c:v>
                </c:pt>
                <c:pt idx="3">
                  <c:v>9912968.1658575721</c:v>
                </c:pt>
                <c:pt idx="4">
                  <c:v>25511803.887423102</c:v>
                </c:pt>
                <c:pt idx="5">
                  <c:v>53174251.885134339</c:v>
                </c:pt>
                <c:pt idx="6">
                  <c:v>85083751.955984294</c:v>
                </c:pt>
                <c:pt idx="7">
                  <c:v>112291159.561876</c:v>
                </c:pt>
                <c:pt idx="8">
                  <c:v>27540269.050655108</c:v>
                </c:pt>
                <c:pt idx="9">
                  <c:v>60597071.681532331</c:v>
                </c:pt>
                <c:pt idx="10">
                  <c:v>114756424.62535264</c:v>
                </c:pt>
                <c:pt idx="11">
                  <c:v>164848082.54797927</c:v>
                </c:pt>
                <c:pt idx="12">
                  <c:v>182999991.60629615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A6-4F96-8C74-A9C875C7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406848"/>
        <c:axId val="481404048"/>
      </c:barChart>
      <c:catAx>
        <c:axId val="48140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1404048"/>
        <c:crosses val="autoZero"/>
        <c:auto val="1"/>
        <c:lblAlgn val="ctr"/>
        <c:lblOffset val="100"/>
        <c:noMultiLvlLbl val="0"/>
      </c:catAx>
      <c:valAx>
        <c:axId val="481404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1406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Bio 2 PetC recombinant protein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3756736657917759"/>
          <c:y val="0.10226851851851854"/>
          <c:w val="0.81365485564304463"/>
          <c:h val="0.77736111111111106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Foglio1!$J$127:$J$130</c:f>
              <c:numCache>
                <c:formatCode>General</c:formatCode>
                <c:ptCount val="4"/>
                <c:pt idx="0">
                  <c:v>10</c:v>
                </c:pt>
                <c:pt idx="1">
                  <c:v>5</c:v>
                </c:pt>
                <c:pt idx="2">
                  <c:v>2.5</c:v>
                </c:pt>
                <c:pt idx="3">
                  <c:v>1.25</c:v>
                </c:pt>
              </c:numCache>
            </c:numRef>
          </c:xVal>
          <c:yVal>
            <c:numRef>
              <c:f>Foglio1!$K$127:$K$130</c:f>
              <c:numCache>
                <c:formatCode>0.00E+00</c:formatCode>
                <c:ptCount val="4"/>
                <c:pt idx="0">
                  <c:v>432169.29</c:v>
                </c:pt>
                <c:pt idx="1">
                  <c:v>104405.46</c:v>
                </c:pt>
                <c:pt idx="2">
                  <c:v>27687.32</c:v>
                </c:pt>
                <c:pt idx="3">
                  <c:v>13429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B18-488A-BD89-3C04C764A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744464"/>
        <c:axId val="477735504"/>
      </c:scatterChart>
      <c:valAx>
        <c:axId val="47774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7735504"/>
        <c:crosses val="autoZero"/>
        <c:crossBetween val="midCat"/>
      </c:valAx>
      <c:valAx>
        <c:axId val="477735504"/>
        <c:scaling>
          <c:orientation val="minMax"/>
        </c:scaling>
        <c:delete val="0"/>
        <c:axPos val="l"/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7744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Bio4 PetC recombinant protein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Foglio1!$J$142:$J$144</c:f>
              <c:numCache>
                <c:formatCode>General</c:formatCode>
                <c:ptCount val="3"/>
                <c:pt idx="0">
                  <c:v>10</c:v>
                </c:pt>
                <c:pt idx="1">
                  <c:v>2.5</c:v>
                </c:pt>
                <c:pt idx="2">
                  <c:v>1.25</c:v>
                </c:pt>
              </c:numCache>
            </c:numRef>
          </c:xVal>
          <c:yVal>
            <c:numRef>
              <c:f>Foglio1!$K$142:$K$144</c:f>
              <c:numCache>
                <c:formatCode>0.00E+00</c:formatCode>
                <c:ptCount val="3"/>
                <c:pt idx="0">
                  <c:v>1108924</c:v>
                </c:pt>
                <c:pt idx="1">
                  <c:v>164473.75</c:v>
                </c:pt>
                <c:pt idx="2">
                  <c:v>47507.43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FB4-45B6-856E-DBB6AFAD4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670656"/>
        <c:axId val="432794256"/>
      </c:scatterChart>
      <c:valAx>
        <c:axId val="438670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2794256"/>
        <c:crosses val="autoZero"/>
        <c:crossBetween val="midCat"/>
      </c:valAx>
      <c:valAx>
        <c:axId val="432794256"/>
        <c:scaling>
          <c:orientation val="minMax"/>
        </c:scaling>
        <c:delete val="0"/>
        <c:axPos val="l"/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8670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Bio1</a:t>
            </a:r>
            <a:r>
              <a:rPr lang="en-GB" baseline="0"/>
              <a:t> PetC recombinant protein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Foglio1!$J$112:$J$115</c:f>
              <c:numCache>
                <c:formatCode>General</c:formatCode>
                <c:ptCount val="4"/>
                <c:pt idx="0">
                  <c:v>10</c:v>
                </c:pt>
                <c:pt idx="1">
                  <c:v>5</c:v>
                </c:pt>
                <c:pt idx="2">
                  <c:v>2.5</c:v>
                </c:pt>
                <c:pt idx="3">
                  <c:v>1.25</c:v>
                </c:pt>
              </c:numCache>
            </c:numRef>
          </c:xVal>
          <c:yVal>
            <c:numRef>
              <c:f>Foglio1!$K$112:$K$115</c:f>
              <c:numCache>
                <c:formatCode>0.00E+00</c:formatCode>
                <c:ptCount val="4"/>
                <c:pt idx="0">
                  <c:v>663917.47</c:v>
                </c:pt>
                <c:pt idx="1">
                  <c:v>207376.98</c:v>
                </c:pt>
                <c:pt idx="2">
                  <c:v>52406.06</c:v>
                </c:pt>
                <c:pt idx="3">
                  <c:v>78435.28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366-475A-899A-085B6AB5D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462560"/>
        <c:axId val="427462000"/>
      </c:scatterChart>
      <c:valAx>
        <c:axId val="427462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7462000"/>
        <c:crosses val="autoZero"/>
        <c:crossBetween val="midCat"/>
      </c:valAx>
      <c:valAx>
        <c:axId val="427462000"/>
        <c:scaling>
          <c:orientation val="minMax"/>
        </c:scaling>
        <c:delete val="0"/>
        <c:axPos val="l"/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74625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en-GB"/>
              <a:t>PsaC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90000"/>
              </a:schemeClr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Foglio1!$Z$28:$Z$37</c:f>
                <c:numCache>
                  <c:formatCode>General</c:formatCode>
                  <c:ptCount val="10"/>
                  <c:pt idx="0">
                    <c:v>1.0055855966898204E-5</c:v>
                  </c:pt>
                  <c:pt idx="1">
                    <c:v>6.0523844256429586E-6</c:v>
                  </c:pt>
                  <c:pt idx="2">
                    <c:v>6.9614262588618121E-6</c:v>
                  </c:pt>
                  <c:pt idx="3">
                    <c:v>2.486362229960732E-6</c:v>
                  </c:pt>
                  <c:pt idx="4">
                    <c:v>2.3850754194130369E-5</c:v>
                  </c:pt>
                  <c:pt idx="5">
                    <c:v>7.1901863319051665E-5</c:v>
                  </c:pt>
                  <c:pt idx="6">
                    <c:v>4.1809055705395618E-5</c:v>
                  </c:pt>
                  <c:pt idx="7">
                    <c:v>1.0453097872273411E-4</c:v>
                  </c:pt>
                  <c:pt idx="8">
                    <c:v>1.5356057780441988E-4</c:v>
                  </c:pt>
                  <c:pt idx="9">
                    <c:v>1.3882947275143084E-4</c:v>
                  </c:pt>
                </c:numCache>
              </c:numRef>
            </c:plus>
            <c:minus>
              <c:numRef>
                <c:f>Foglio1!$Z$28:$Z$37</c:f>
                <c:numCache>
                  <c:formatCode>General</c:formatCode>
                  <c:ptCount val="10"/>
                  <c:pt idx="0">
                    <c:v>1.0055855966898204E-5</c:v>
                  </c:pt>
                  <c:pt idx="1">
                    <c:v>6.0523844256429586E-6</c:v>
                  </c:pt>
                  <c:pt idx="2">
                    <c:v>6.9614262588618121E-6</c:v>
                  </c:pt>
                  <c:pt idx="3">
                    <c:v>2.486362229960732E-6</c:v>
                  </c:pt>
                  <c:pt idx="4">
                    <c:v>2.3850754194130369E-5</c:v>
                  </c:pt>
                  <c:pt idx="5">
                    <c:v>7.1901863319051665E-5</c:v>
                  </c:pt>
                  <c:pt idx="6">
                    <c:v>4.1809055705395618E-5</c:v>
                  </c:pt>
                  <c:pt idx="7">
                    <c:v>1.0453097872273411E-4</c:v>
                  </c:pt>
                  <c:pt idx="8">
                    <c:v>1.5356057780441988E-4</c:v>
                  </c:pt>
                  <c:pt idx="9">
                    <c:v>1.3882947275143084E-4</c:v>
                  </c:pt>
                </c:numCache>
              </c:numRef>
            </c:minus>
            <c:spPr>
              <a:noFill/>
              <a:ln w="317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Foglio1!$U$28:$U$35</c:f>
              <c:strCache>
                <c:ptCount val="8"/>
                <c:pt idx="0">
                  <c:v>T0</c:v>
                </c:pt>
                <c:pt idx="1">
                  <c:v>T4</c:v>
                </c:pt>
                <c:pt idx="2">
                  <c:v>T8</c:v>
                </c:pt>
                <c:pt idx="3">
                  <c:v>T12</c:v>
                </c:pt>
                <c:pt idx="4">
                  <c:v>T24</c:v>
                </c:pt>
                <c:pt idx="5">
                  <c:v>T48</c:v>
                </c:pt>
                <c:pt idx="6">
                  <c:v>T72</c:v>
                </c:pt>
                <c:pt idx="7">
                  <c:v>T96</c:v>
                </c:pt>
              </c:strCache>
            </c:strRef>
          </c:cat>
          <c:val>
            <c:numRef>
              <c:f>Foglio1!$Y$28:$Y$35</c:f>
              <c:numCache>
                <c:formatCode>0.00E+00</c:formatCode>
                <c:ptCount val="8"/>
                <c:pt idx="0">
                  <c:v>-1.1871527213683758E-5</c:v>
                </c:pt>
                <c:pt idx="1">
                  <c:v>-3.8064665738118744E-6</c:v>
                </c:pt>
                <c:pt idx="2">
                  <c:v>3.0425357288157471E-7</c:v>
                </c:pt>
                <c:pt idx="3">
                  <c:v>1.6166844716773889E-5</c:v>
                </c:pt>
                <c:pt idx="4">
                  <c:v>7.3461566542357007E-5</c:v>
                </c:pt>
                <c:pt idx="5">
                  <c:v>1.162322996962776E-4</c:v>
                </c:pt>
                <c:pt idx="6">
                  <c:v>1.6823216638991336E-4</c:v>
                </c:pt>
                <c:pt idx="7">
                  <c:v>2.3462921975314977E-4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E6-FE4D-B7F4-B8FBA8E09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406848"/>
        <c:axId val="481404048"/>
      </c:barChart>
      <c:catAx>
        <c:axId val="48140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fr-FR"/>
          </a:p>
        </c:txPr>
        <c:crossAx val="481404048"/>
        <c:crosses val="autoZero"/>
        <c:auto val="1"/>
        <c:lblAlgn val="ctr"/>
        <c:lblOffset val="100"/>
        <c:noMultiLvlLbl val="0"/>
      </c:catAx>
      <c:valAx>
        <c:axId val="481404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fr-FR"/>
          </a:p>
        </c:txPr>
        <c:crossAx val="481406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Helvetica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en-GB"/>
              <a:t>PetC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90000"/>
              </a:schemeClr>
            </a:solidFill>
            <a:ln>
              <a:solidFill>
                <a:schemeClr val="bg2">
                  <a:lumMod val="25000"/>
                </a:schemeClr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Foglio1!$Z$28:$Z$37</c:f>
                <c:numCache>
                  <c:formatCode>General</c:formatCode>
                  <c:ptCount val="10"/>
                  <c:pt idx="0">
                    <c:v>1.0055855966898204E-5</c:v>
                  </c:pt>
                  <c:pt idx="1">
                    <c:v>6.0523844256429586E-6</c:v>
                  </c:pt>
                  <c:pt idx="2">
                    <c:v>6.9614262588618121E-6</c:v>
                  </c:pt>
                  <c:pt idx="3">
                    <c:v>2.486362229960732E-6</c:v>
                  </c:pt>
                  <c:pt idx="4">
                    <c:v>2.3850754194130369E-5</c:v>
                  </c:pt>
                  <c:pt idx="5">
                    <c:v>7.1901863319051665E-5</c:v>
                  </c:pt>
                  <c:pt idx="6">
                    <c:v>4.1809055705395618E-5</c:v>
                  </c:pt>
                  <c:pt idx="7">
                    <c:v>1.0453097872273411E-4</c:v>
                  </c:pt>
                  <c:pt idx="8">
                    <c:v>1.5356057780441988E-4</c:v>
                  </c:pt>
                  <c:pt idx="9">
                    <c:v>1.3882947275143084E-4</c:v>
                  </c:pt>
                </c:numCache>
              </c:numRef>
            </c:plus>
            <c:minus>
              <c:numRef>
                <c:f>Foglio1!$Z$28:$Z$37</c:f>
                <c:numCache>
                  <c:formatCode>General</c:formatCode>
                  <c:ptCount val="10"/>
                  <c:pt idx="0">
                    <c:v>1.0055855966898204E-5</c:v>
                  </c:pt>
                  <c:pt idx="1">
                    <c:v>6.0523844256429586E-6</c:v>
                  </c:pt>
                  <c:pt idx="2">
                    <c:v>6.9614262588618121E-6</c:v>
                  </c:pt>
                  <c:pt idx="3">
                    <c:v>2.486362229960732E-6</c:v>
                  </c:pt>
                  <c:pt idx="4">
                    <c:v>2.3850754194130369E-5</c:v>
                  </c:pt>
                  <c:pt idx="5">
                    <c:v>7.1901863319051665E-5</c:v>
                  </c:pt>
                  <c:pt idx="6">
                    <c:v>4.1809055705395618E-5</c:v>
                  </c:pt>
                  <c:pt idx="7">
                    <c:v>1.0453097872273411E-4</c:v>
                  </c:pt>
                  <c:pt idx="8">
                    <c:v>1.5356057780441988E-4</c:v>
                  </c:pt>
                  <c:pt idx="9">
                    <c:v>1.3882947275143084E-4</c:v>
                  </c:pt>
                </c:numCache>
              </c:numRef>
            </c:minus>
            <c:spPr>
              <a:noFill/>
              <a:ln w="317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Foglio1!$U$116:$U$123</c:f>
              <c:numCache>
                <c:formatCode>General</c:formatCode>
                <c:ptCount val="8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24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</c:numCache>
            </c:numRef>
          </c:cat>
          <c:val>
            <c:numRef>
              <c:f>Foglio1!$Y$116:$Y$123</c:f>
              <c:numCache>
                <c:formatCode>0.0E+00</c:formatCode>
                <c:ptCount val="8"/>
                <c:pt idx="0">
                  <c:v>2.6787710614071929E-5</c:v>
                </c:pt>
                <c:pt idx="1">
                  <c:v>2.8283470551700727E-5</c:v>
                </c:pt>
                <c:pt idx="2">
                  <c:v>2.5139820806401991E-5</c:v>
                </c:pt>
                <c:pt idx="3">
                  <c:v>5.2696817768362004E-5</c:v>
                </c:pt>
                <c:pt idx="4">
                  <c:v>1.2039152986083501E-4</c:v>
                </c:pt>
                <c:pt idx="5">
                  <c:v>2.6824173993304106E-4</c:v>
                </c:pt>
                <c:pt idx="6">
                  <c:v>9.9346467683694034E-4</c:v>
                </c:pt>
                <c:pt idx="7">
                  <c:v>1.4691538691122441E-3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CC-584D-A641-822D84473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406848"/>
        <c:axId val="481404048"/>
      </c:barChart>
      <c:catAx>
        <c:axId val="48140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fr-FR"/>
          </a:p>
        </c:txPr>
        <c:crossAx val="481404048"/>
        <c:crosses val="autoZero"/>
        <c:auto val="1"/>
        <c:lblAlgn val="ctr"/>
        <c:lblOffset val="100"/>
        <c:noMultiLvlLbl val="0"/>
      </c:catAx>
      <c:valAx>
        <c:axId val="481404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fr-FR"/>
          </a:p>
        </c:txPr>
        <c:crossAx val="481406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Helvetica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r>
              <a:rPr lang="en-GB"/>
              <a:t>PsbA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elvetica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Foglio1!$Z$57:$Z$64</c:f>
                <c:numCache>
                  <c:formatCode>General</c:formatCode>
                  <c:ptCount val="8"/>
                  <c:pt idx="0">
                    <c:v>1.8080656920398143E-6</c:v>
                  </c:pt>
                  <c:pt idx="1">
                    <c:v>1.7822594067736085E-6</c:v>
                  </c:pt>
                  <c:pt idx="2">
                    <c:v>7.1309659225224263E-7</c:v>
                  </c:pt>
                  <c:pt idx="3">
                    <c:v>4.3309972439685864E-6</c:v>
                  </c:pt>
                  <c:pt idx="4">
                    <c:v>1.7726457318417475E-5</c:v>
                  </c:pt>
                  <c:pt idx="5">
                    <c:v>6.2227038477552469E-5</c:v>
                  </c:pt>
                  <c:pt idx="6">
                    <c:v>5.4242485242701259E-5</c:v>
                  </c:pt>
                  <c:pt idx="7">
                    <c:v>7.6000384070384007E-5</c:v>
                  </c:pt>
                </c:numCache>
              </c:numRef>
            </c:plus>
            <c:minus>
              <c:numRef>
                <c:f>Foglio1!$Z$57:$Z$64</c:f>
                <c:numCache>
                  <c:formatCode>General</c:formatCode>
                  <c:ptCount val="8"/>
                  <c:pt idx="0">
                    <c:v>1.8080656920398143E-6</c:v>
                  </c:pt>
                  <c:pt idx="1">
                    <c:v>1.7822594067736085E-6</c:v>
                  </c:pt>
                  <c:pt idx="2">
                    <c:v>7.1309659225224263E-7</c:v>
                  </c:pt>
                  <c:pt idx="3">
                    <c:v>4.3309972439685864E-6</c:v>
                  </c:pt>
                  <c:pt idx="4">
                    <c:v>1.7726457318417475E-5</c:v>
                  </c:pt>
                  <c:pt idx="5">
                    <c:v>6.2227038477552469E-5</c:v>
                  </c:pt>
                  <c:pt idx="6">
                    <c:v>5.4242485242701259E-5</c:v>
                  </c:pt>
                  <c:pt idx="7">
                    <c:v>7.6000384070384007E-5</c:v>
                  </c:pt>
                </c:numCache>
              </c:numRef>
            </c:minus>
            <c:spPr>
              <a:noFill/>
              <a:ln w="317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Foglio1!$U$57:$U$64</c:f>
              <c:numCache>
                <c:formatCode>General</c:formatCode>
                <c:ptCount val="8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24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</c:numCache>
            </c:numRef>
          </c:cat>
          <c:val>
            <c:numRef>
              <c:f>Foglio1!$Y$57:$Y$64</c:f>
              <c:numCache>
                <c:formatCode>0.0E+00</c:formatCode>
                <c:ptCount val="8"/>
                <c:pt idx="0">
                  <c:v>6.8564132540778704E-6</c:v>
                </c:pt>
                <c:pt idx="1">
                  <c:v>9.1951458340071654E-6</c:v>
                </c:pt>
                <c:pt idx="2">
                  <c:v>1.4794631077898341E-5</c:v>
                </c:pt>
                <c:pt idx="3">
                  <c:v>3.331684738145332E-5</c:v>
                </c:pt>
                <c:pt idx="4">
                  <c:v>8.5743529316510391E-5</c:v>
                </c:pt>
                <c:pt idx="5">
                  <c:v>1.787152349365702E-4</c:v>
                </c:pt>
                <c:pt idx="6">
                  <c:v>2.8596100896625113E-4</c:v>
                </c:pt>
                <c:pt idx="7">
                  <c:v>3.7740335314451152E-4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7D-2645-9C91-2C1627CC8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406848"/>
        <c:axId val="481404048"/>
      </c:barChart>
      <c:catAx>
        <c:axId val="48140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fr-FR"/>
          </a:p>
        </c:txPr>
        <c:crossAx val="481404048"/>
        <c:crosses val="autoZero"/>
        <c:auto val="1"/>
        <c:lblAlgn val="ctr"/>
        <c:lblOffset val="100"/>
        <c:noMultiLvlLbl val="0"/>
      </c:catAx>
      <c:valAx>
        <c:axId val="481404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fr-FR"/>
          </a:p>
        </c:txPr>
        <c:crossAx val="481406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Helvetica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Bio2 PsaC recombinant protein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'[1]RECOMBINANT PROTEINS'!$K$15:$K$18</c:f>
              <c:numCache>
                <c:formatCode>General</c:formatCode>
                <c:ptCount val="4"/>
                <c:pt idx="0">
                  <c:v>3</c:v>
                </c:pt>
                <c:pt idx="1">
                  <c:v>1.5</c:v>
                </c:pt>
                <c:pt idx="2">
                  <c:v>0.75</c:v>
                </c:pt>
                <c:pt idx="3">
                  <c:v>0.32500000000000001</c:v>
                </c:pt>
              </c:numCache>
            </c:numRef>
          </c:xVal>
          <c:yVal>
            <c:numRef>
              <c:f>'[1]RECOMBINANT PROTEINS'!$L$15:$L$18</c:f>
              <c:numCache>
                <c:formatCode>General</c:formatCode>
                <c:ptCount val="4"/>
                <c:pt idx="0">
                  <c:v>5106170.21</c:v>
                </c:pt>
                <c:pt idx="1">
                  <c:v>3523887.85</c:v>
                </c:pt>
                <c:pt idx="2">
                  <c:v>1897023.5</c:v>
                </c:pt>
                <c:pt idx="3">
                  <c:v>789221.13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CF8-439D-B0B9-F107938E8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8977808"/>
        <c:axId val="431869744"/>
      </c:scatterChart>
      <c:valAx>
        <c:axId val="308977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1869744"/>
        <c:crosses val="autoZero"/>
        <c:crossBetween val="midCat"/>
      </c:valAx>
      <c:valAx>
        <c:axId val="43186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8977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Bio3 PsaC recombinant protein</a:t>
            </a:r>
          </a:p>
        </c:rich>
      </c:tx>
      <c:layout>
        <c:manualLayout>
          <c:xMode val="edge"/>
          <c:yMode val="edge"/>
          <c:x val="0.3598263342082239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'[1]RECOMBINANT PROTEINS'!$K$28:$K$31</c:f>
              <c:numCache>
                <c:formatCode>General</c:formatCode>
                <c:ptCount val="4"/>
                <c:pt idx="0">
                  <c:v>3</c:v>
                </c:pt>
                <c:pt idx="1">
                  <c:v>1.5</c:v>
                </c:pt>
                <c:pt idx="2">
                  <c:v>0.75</c:v>
                </c:pt>
                <c:pt idx="3">
                  <c:v>0.32500000000000001</c:v>
                </c:pt>
              </c:numCache>
            </c:numRef>
          </c:xVal>
          <c:yVal>
            <c:numRef>
              <c:f>'[1]RECOMBINANT PROTEINS'!$L$28:$L$31</c:f>
              <c:numCache>
                <c:formatCode>General</c:formatCode>
                <c:ptCount val="4"/>
                <c:pt idx="0">
                  <c:v>3019429</c:v>
                </c:pt>
                <c:pt idx="1">
                  <c:v>2016539.23</c:v>
                </c:pt>
                <c:pt idx="2">
                  <c:v>1067386.1000000001</c:v>
                </c:pt>
                <c:pt idx="3">
                  <c:v>908640.24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AD0-43FB-973E-44F33235D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872544"/>
        <c:axId val="431873104"/>
      </c:scatterChart>
      <c:valAx>
        <c:axId val="43187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1873104"/>
        <c:crosses val="autoZero"/>
        <c:crossBetween val="midCat"/>
      </c:valAx>
      <c:valAx>
        <c:axId val="431873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1872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Bio4 PsaC recombinant protein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5812558087244205"/>
                  <c:y val="-5.237302262655568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'[1]RECOMBINANT PROTEINS'!$K$40:$K$42</c:f>
              <c:numCache>
                <c:formatCode>General</c:formatCode>
                <c:ptCount val="3"/>
                <c:pt idx="0">
                  <c:v>2.1</c:v>
                </c:pt>
                <c:pt idx="1">
                  <c:v>0.75</c:v>
                </c:pt>
                <c:pt idx="2">
                  <c:v>0.32500000000000001</c:v>
                </c:pt>
              </c:numCache>
            </c:numRef>
          </c:xVal>
          <c:yVal>
            <c:numRef>
              <c:f>'[1]RECOMBINANT PROTEINS'!$L$40:$L$42</c:f>
              <c:numCache>
                <c:formatCode>General</c:formatCode>
                <c:ptCount val="3"/>
                <c:pt idx="0">
                  <c:v>2811926.81</c:v>
                </c:pt>
                <c:pt idx="1">
                  <c:v>787792.34</c:v>
                </c:pt>
                <c:pt idx="2">
                  <c:v>571743.21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C7C-4E6C-8914-2C0F9622E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875904"/>
        <c:axId val="431876464"/>
      </c:scatterChart>
      <c:valAx>
        <c:axId val="43187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1876464"/>
        <c:crosses val="autoZero"/>
        <c:crossBetween val="midCat"/>
      </c:valAx>
      <c:valAx>
        <c:axId val="431876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1875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'[1]RECOMBINANT PROTEINS'!$U$19:$U$26</c:f>
                <c:numCache>
                  <c:formatCode>General</c:formatCode>
                  <c:ptCount val="8"/>
                  <c:pt idx="0">
                    <c:v>1771362.0365020162</c:v>
                  </c:pt>
                  <c:pt idx="1">
                    <c:v>1023795.4182228115</c:v>
                  </c:pt>
                  <c:pt idx="2">
                    <c:v>1211444.325855274</c:v>
                  </c:pt>
                  <c:pt idx="3">
                    <c:v>435579.08434202685</c:v>
                  </c:pt>
                  <c:pt idx="4">
                    <c:v>4288934.9299874008</c:v>
                  </c:pt>
                  <c:pt idx="5">
                    <c:v>12906841.792883553</c:v>
                  </c:pt>
                  <c:pt idx="6">
                    <c:v>7483099.4853902115</c:v>
                  </c:pt>
                  <c:pt idx="7">
                    <c:v>18777176.81446154</c:v>
                  </c:pt>
                </c:numCache>
              </c:numRef>
            </c:plus>
            <c:minus>
              <c:numRef>
                <c:f>'[1]RECOMBINANT PROTEINS'!$U$19:$U$26</c:f>
                <c:numCache>
                  <c:formatCode>General</c:formatCode>
                  <c:ptCount val="8"/>
                  <c:pt idx="0">
                    <c:v>1771362.0365020162</c:v>
                  </c:pt>
                  <c:pt idx="1">
                    <c:v>1023795.4182228115</c:v>
                  </c:pt>
                  <c:pt idx="2">
                    <c:v>1211444.325855274</c:v>
                  </c:pt>
                  <c:pt idx="3">
                    <c:v>435579.08434202685</c:v>
                  </c:pt>
                  <c:pt idx="4">
                    <c:v>4288934.9299874008</c:v>
                  </c:pt>
                  <c:pt idx="5">
                    <c:v>12906841.792883553</c:v>
                  </c:pt>
                  <c:pt idx="6">
                    <c:v>7483099.4853902115</c:v>
                  </c:pt>
                  <c:pt idx="7">
                    <c:v>18777176.81446154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'[1]RECOMBINANT PROTEINS'!$S$18:$S$25</c:f>
              <c:strCache>
                <c:ptCount val="8"/>
                <c:pt idx="0">
                  <c:v>T0</c:v>
                </c:pt>
                <c:pt idx="1">
                  <c:v>T4</c:v>
                </c:pt>
                <c:pt idx="2">
                  <c:v>T8</c:v>
                </c:pt>
                <c:pt idx="3">
                  <c:v>T12</c:v>
                </c:pt>
                <c:pt idx="4">
                  <c:v>T24</c:v>
                </c:pt>
                <c:pt idx="5">
                  <c:v>T48</c:v>
                </c:pt>
                <c:pt idx="6">
                  <c:v>T72</c:v>
                </c:pt>
                <c:pt idx="7">
                  <c:v>T96</c:v>
                </c:pt>
              </c:strCache>
            </c:strRef>
          </c:cat>
          <c:val>
            <c:numRef>
              <c:f>'[1]RECOMBINANT PROTEINS'!$T$18:$T$25</c:f>
              <c:numCache>
                <c:formatCode>General</c:formatCode>
                <c:ptCount val="8"/>
                <c:pt idx="0">
                  <c:v>-4227389.6577550396</c:v>
                </c:pt>
                <c:pt idx="1">
                  <c:v>-2626052.2258853172</c:v>
                </c:pt>
                <c:pt idx="2">
                  <c:v>-1803095.4286149882</c:v>
                </c:pt>
                <c:pt idx="3">
                  <c:v>911089.67808701936</c:v>
                </c:pt>
                <c:pt idx="4">
                  <c:v>13246447.83540033</c:v>
                </c:pt>
                <c:pt idx="5">
                  <c:v>20926880.205995467</c:v>
                </c:pt>
                <c:pt idx="6">
                  <c:v>30309824.195397053</c:v>
                </c:pt>
                <c:pt idx="7">
                  <c:v>42251409.913845979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3B-405E-BF9B-BFD7FC609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3720976"/>
        <c:axId val="433721536"/>
      </c:barChart>
      <c:catAx>
        <c:axId val="433720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721536"/>
        <c:crosses val="autoZero"/>
        <c:auto val="1"/>
        <c:lblAlgn val="ctr"/>
        <c:lblOffset val="100"/>
        <c:noMultiLvlLbl val="0"/>
      </c:catAx>
      <c:valAx>
        <c:axId val="4337215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720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Bio1 PsbA</a:t>
            </a:r>
            <a:r>
              <a:rPr lang="en-GB" baseline="0"/>
              <a:t> recombinant protein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Foglio1!$J$51:$J$54</c:f>
              <c:numCache>
                <c:formatCode>General</c:formatCode>
                <c:ptCount val="4"/>
                <c:pt idx="0">
                  <c:v>10</c:v>
                </c:pt>
                <c:pt idx="1">
                  <c:v>5</c:v>
                </c:pt>
                <c:pt idx="2">
                  <c:v>2.5</c:v>
                </c:pt>
                <c:pt idx="3">
                  <c:v>1.25</c:v>
                </c:pt>
              </c:numCache>
            </c:numRef>
          </c:xVal>
          <c:yVal>
            <c:numRef>
              <c:f>Foglio1!$K$51:$K$54</c:f>
              <c:numCache>
                <c:formatCode>0.00E+00</c:formatCode>
                <c:ptCount val="4"/>
                <c:pt idx="0">
                  <c:v>7085905.0999999996</c:v>
                </c:pt>
                <c:pt idx="1">
                  <c:v>4014536.37</c:v>
                </c:pt>
                <c:pt idx="2">
                  <c:v>1292281.25</c:v>
                </c:pt>
                <c:pt idx="3">
                  <c:v>541033.91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E11-4ACF-A41F-ED01BBD0E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546368"/>
        <c:axId val="469545808"/>
      </c:scatterChart>
      <c:valAx>
        <c:axId val="46954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9545808"/>
        <c:crosses val="autoZero"/>
        <c:crossBetween val="midCat"/>
      </c:valAx>
      <c:valAx>
        <c:axId val="469545808"/>
        <c:scaling>
          <c:orientation val="minMax"/>
        </c:scaling>
        <c:delete val="0"/>
        <c:axPos val="l"/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95463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Bio 2</a:t>
            </a:r>
            <a:r>
              <a:rPr lang="en-GB" baseline="0"/>
              <a:t> PsbA recombinant protein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(Foglio1!$J$66,Foglio1!$J$68:$J$69)</c:f>
              <c:numCache>
                <c:formatCode>General</c:formatCode>
                <c:ptCount val="3"/>
                <c:pt idx="0">
                  <c:v>10</c:v>
                </c:pt>
                <c:pt idx="1">
                  <c:v>2.5</c:v>
                </c:pt>
                <c:pt idx="2">
                  <c:v>1.25</c:v>
                </c:pt>
              </c:numCache>
            </c:numRef>
          </c:xVal>
          <c:yVal>
            <c:numRef>
              <c:f>(Foglio1!$K$66,Foglio1!$K$68:$K$69)</c:f>
              <c:numCache>
                <c:formatCode>0.00E+00</c:formatCode>
                <c:ptCount val="3"/>
                <c:pt idx="0">
                  <c:v>4905676.7999999998</c:v>
                </c:pt>
                <c:pt idx="1">
                  <c:v>1920178.46</c:v>
                </c:pt>
                <c:pt idx="2">
                  <c:v>731795.51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DE7-4DD0-AA4E-384CA5DCB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8792928"/>
        <c:axId val="468790128"/>
      </c:scatterChart>
      <c:valAx>
        <c:axId val="46879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8790128"/>
        <c:crosses val="autoZero"/>
        <c:crossBetween val="midCat"/>
      </c:valAx>
      <c:valAx>
        <c:axId val="468790128"/>
        <c:scaling>
          <c:orientation val="minMax"/>
        </c:scaling>
        <c:delete val="0"/>
        <c:axPos val="l"/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8792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Bio3 PsbA recombinant protein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Foglio1!$J$82:$J$85</c:f>
              <c:numCache>
                <c:formatCode>General</c:formatCode>
                <c:ptCount val="4"/>
                <c:pt idx="0">
                  <c:v>8.3000000000000007</c:v>
                </c:pt>
                <c:pt idx="1">
                  <c:v>4.1500000000000004</c:v>
                </c:pt>
                <c:pt idx="2">
                  <c:v>2.0750000000000002</c:v>
                </c:pt>
                <c:pt idx="3">
                  <c:v>1.0375000000000001</c:v>
                </c:pt>
              </c:numCache>
            </c:numRef>
          </c:xVal>
          <c:yVal>
            <c:numRef>
              <c:f>Foglio1!$K$82:$K$85</c:f>
              <c:numCache>
                <c:formatCode>0.00E+00</c:formatCode>
                <c:ptCount val="4"/>
                <c:pt idx="0">
                  <c:v>3091093.78</c:v>
                </c:pt>
                <c:pt idx="1">
                  <c:v>1138945.83</c:v>
                </c:pt>
                <c:pt idx="2">
                  <c:v>609663.68000000005</c:v>
                </c:pt>
                <c:pt idx="3">
                  <c:v>204550.77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FE2-4E12-903E-E36C16226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794816"/>
        <c:axId val="430260672"/>
      </c:scatterChart>
      <c:valAx>
        <c:axId val="43279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0260672"/>
        <c:crosses val="autoZero"/>
        <c:crossBetween val="midCat"/>
      </c:valAx>
      <c:valAx>
        <c:axId val="430260672"/>
        <c:scaling>
          <c:orientation val="minMax"/>
        </c:scaling>
        <c:delete val="0"/>
        <c:axPos val="l"/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2794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Bio4 PsbA recombinant protein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Foglio1!$J$97:$J$99</c:f>
              <c:numCache>
                <c:formatCode>General</c:formatCode>
                <c:ptCount val="3"/>
                <c:pt idx="0">
                  <c:v>10</c:v>
                </c:pt>
                <c:pt idx="1">
                  <c:v>2.5</c:v>
                </c:pt>
                <c:pt idx="2">
                  <c:v>1.25</c:v>
                </c:pt>
              </c:numCache>
            </c:numRef>
          </c:xVal>
          <c:yVal>
            <c:numRef>
              <c:f>Foglio1!$K$97:$K$99</c:f>
              <c:numCache>
                <c:formatCode>0.00E+00</c:formatCode>
                <c:ptCount val="3"/>
                <c:pt idx="0">
                  <c:v>4635159</c:v>
                </c:pt>
                <c:pt idx="1">
                  <c:v>722119.35</c:v>
                </c:pt>
                <c:pt idx="2">
                  <c:v>414897.91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20B-49B8-AC9B-36EBC66E8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414688"/>
        <c:axId val="481408528"/>
      </c:scatterChart>
      <c:valAx>
        <c:axId val="48141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1408528"/>
        <c:crosses val="autoZero"/>
        <c:crossBetween val="midCat"/>
      </c:valAx>
      <c:valAx>
        <c:axId val="481408528"/>
        <c:scaling>
          <c:orientation val="minMax"/>
        </c:scaling>
        <c:delete val="0"/>
        <c:axPos val="l"/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1414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757237</xdr:colOff>
      <xdr:row>1</xdr:row>
      <xdr:rowOff>0</xdr:rowOff>
    </xdr:from>
    <xdr:to>
      <xdr:col>16</xdr:col>
      <xdr:colOff>390525</xdr:colOff>
      <xdr:row>12</xdr:row>
      <xdr:rowOff>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4763</xdr:colOff>
      <xdr:row>13</xdr:row>
      <xdr:rowOff>19050</xdr:rowOff>
    </xdr:from>
    <xdr:to>
      <xdr:col>16</xdr:col>
      <xdr:colOff>428625</xdr:colOff>
      <xdr:row>24</xdr:row>
      <xdr:rowOff>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757239</xdr:colOff>
      <xdr:row>25</xdr:row>
      <xdr:rowOff>19050</xdr:rowOff>
    </xdr:from>
    <xdr:to>
      <xdr:col>16</xdr:col>
      <xdr:colOff>476251</xdr:colOff>
      <xdr:row>35</xdr:row>
      <xdr:rowOff>171450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28576</xdr:colOff>
      <xdr:row>37</xdr:row>
      <xdr:rowOff>19050</xdr:rowOff>
    </xdr:from>
    <xdr:to>
      <xdr:col>16</xdr:col>
      <xdr:colOff>542926</xdr:colOff>
      <xdr:row>46</xdr:row>
      <xdr:rowOff>9526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34365</xdr:colOff>
      <xdr:row>39</xdr:row>
      <xdr:rowOff>67515</xdr:rowOff>
    </xdr:from>
    <xdr:to>
      <xdr:col>23</xdr:col>
      <xdr:colOff>78347</xdr:colOff>
      <xdr:row>49</xdr:row>
      <xdr:rowOff>148478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4762</xdr:colOff>
      <xdr:row>49</xdr:row>
      <xdr:rowOff>19050</xdr:rowOff>
    </xdr:from>
    <xdr:to>
      <xdr:col>17</xdr:col>
      <xdr:colOff>4762</xdr:colOff>
      <xdr:row>62</xdr:row>
      <xdr:rowOff>171449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14287</xdr:colOff>
      <xdr:row>64</xdr:row>
      <xdr:rowOff>23812</xdr:rowOff>
    </xdr:from>
    <xdr:to>
      <xdr:col>17</xdr:col>
      <xdr:colOff>14287</xdr:colOff>
      <xdr:row>77</xdr:row>
      <xdr:rowOff>171450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42862</xdr:colOff>
      <xdr:row>79</xdr:row>
      <xdr:rowOff>14287</xdr:rowOff>
    </xdr:from>
    <xdr:to>
      <xdr:col>17</xdr:col>
      <xdr:colOff>42862</xdr:colOff>
      <xdr:row>93</xdr:row>
      <xdr:rowOff>90487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119062</xdr:colOff>
      <xdr:row>95</xdr:row>
      <xdr:rowOff>14287</xdr:rowOff>
    </xdr:from>
    <xdr:to>
      <xdr:col>17</xdr:col>
      <xdr:colOff>38100</xdr:colOff>
      <xdr:row>108</xdr:row>
      <xdr:rowOff>180975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260350</xdr:colOff>
      <xdr:row>77</xdr:row>
      <xdr:rowOff>77787</xdr:rowOff>
    </xdr:from>
    <xdr:to>
      <xdr:col>24</xdr:col>
      <xdr:colOff>123825</xdr:colOff>
      <xdr:row>92</xdr:row>
      <xdr:rowOff>158750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142874</xdr:colOff>
      <xdr:row>125</xdr:row>
      <xdr:rowOff>41274</xdr:rowOff>
    </xdr:from>
    <xdr:to>
      <xdr:col>17</xdr:col>
      <xdr:colOff>142874</xdr:colOff>
      <xdr:row>139</xdr:row>
      <xdr:rowOff>117474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142875</xdr:colOff>
      <xdr:row>140</xdr:row>
      <xdr:rowOff>30691</xdr:rowOff>
    </xdr:from>
    <xdr:to>
      <xdr:col>17</xdr:col>
      <xdr:colOff>142875</xdr:colOff>
      <xdr:row>154</xdr:row>
      <xdr:rowOff>106891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11</xdr:col>
      <xdr:colOff>142874</xdr:colOff>
      <xdr:row>109</xdr:row>
      <xdr:rowOff>189441</xdr:rowOff>
    </xdr:from>
    <xdr:to>
      <xdr:col>17</xdr:col>
      <xdr:colOff>142874</xdr:colOff>
      <xdr:row>124</xdr:row>
      <xdr:rowOff>75141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24</xdr:col>
      <xdr:colOff>897468</xdr:colOff>
      <xdr:row>38</xdr:row>
      <xdr:rowOff>152400</xdr:rowOff>
    </xdr:from>
    <xdr:to>
      <xdr:col>30</xdr:col>
      <xdr:colOff>237068</xdr:colOff>
      <xdr:row>55</xdr:row>
      <xdr:rowOff>0</xdr:rowOff>
    </xdr:to>
    <xdr:graphicFrame macro="">
      <xdr:nvGraphicFramePr>
        <xdr:cNvPr id="17" name="Grafico 11">
          <a:extLst>
            <a:ext uri="{FF2B5EF4-FFF2-40B4-BE49-F238E27FC236}">
              <a16:creationId xmlns:a16="http://schemas.microsoft.com/office/drawing/2014/main" id="{D0E53BDC-D92A-FC46-9936-01F9E1F77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20</xdr:col>
      <xdr:colOff>787870</xdr:colOff>
      <xdr:row>134</xdr:row>
      <xdr:rowOff>47037</xdr:rowOff>
    </xdr:from>
    <xdr:to>
      <xdr:col>25</xdr:col>
      <xdr:colOff>585611</xdr:colOff>
      <xdr:row>150</xdr:row>
      <xdr:rowOff>80905</xdr:rowOff>
    </xdr:to>
    <xdr:graphicFrame macro="">
      <xdr:nvGraphicFramePr>
        <xdr:cNvPr id="19" name="Grafico 11">
          <a:extLst>
            <a:ext uri="{FF2B5EF4-FFF2-40B4-BE49-F238E27FC236}">
              <a16:creationId xmlns:a16="http://schemas.microsoft.com/office/drawing/2014/main" id="{0A82F21F-9061-B246-B2A7-BCA6D7DBED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25</xdr:col>
      <xdr:colOff>203200</xdr:colOff>
      <xdr:row>77</xdr:row>
      <xdr:rowOff>101600</xdr:rowOff>
    </xdr:from>
    <xdr:to>
      <xdr:col>30</xdr:col>
      <xdr:colOff>483541</xdr:colOff>
      <xdr:row>93</xdr:row>
      <xdr:rowOff>135468</xdr:rowOff>
    </xdr:to>
    <xdr:graphicFrame macro="">
      <xdr:nvGraphicFramePr>
        <xdr:cNvPr id="20" name="Grafico 11">
          <a:extLst>
            <a:ext uri="{FF2B5EF4-FFF2-40B4-BE49-F238E27FC236}">
              <a16:creationId xmlns:a16="http://schemas.microsoft.com/office/drawing/2014/main" id="{8F0428C2-DFAD-474E-9064-F4DFD6F14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Federico/Desktop/rosi/Manuscript/file%20ticheck/PsaC_CB_DET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_list"/>
      <sheetName val="bio_1"/>
      <sheetName val="bio_2"/>
      <sheetName val="bio3"/>
      <sheetName val="bio4"/>
      <sheetName val="average and SD "/>
      <sheetName val="RECOMBINANT PROTEINS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K2">
            <v>3</v>
          </cell>
          <cell r="L2">
            <v>3818036.41</v>
          </cell>
        </row>
        <row r="3">
          <cell r="K3">
            <v>1.5</v>
          </cell>
          <cell r="L3">
            <v>2918488.7</v>
          </cell>
        </row>
        <row r="4">
          <cell r="K4">
            <v>0.75</v>
          </cell>
          <cell r="L4">
            <v>1644646.92</v>
          </cell>
        </row>
        <row r="5">
          <cell r="K5">
            <v>0.32500000000000001</v>
          </cell>
          <cell r="L5">
            <v>1198189.8799999999</v>
          </cell>
        </row>
        <row r="15">
          <cell r="K15">
            <v>3</v>
          </cell>
          <cell r="L15">
            <v>5106170.21</v>
          </cell>
        </row>
        <row r="16">
          <cell r="K16">
            <v>1.5</v>
          </cell>
          <cell r="L16">
            <v>3523887.85</v>
          </cell>
        </row>
        <row r="17">
          <cell r="K17">
            <v>0.75</v>
          </cell>
          <cell r="L17">
            <v>1897023.5</v>
          </cell>
        </row>
        <row r="18">
          <cell r="K18">
            <v>0.32500000000000001</v>
          </cell>
          <cell r="L18">
            <v>789221.13</v>
          </cell>
          <cell r="S18" t="str">
            <v>T0</v>
          </cell>
          <cell r="T18">
            <v>-4227389.6577550396</v>
          </cell>
        </row>
        <row r="19">
          <cell r="S19" t="str">
            <v>T4</v>
          </cell>
          <cell r="T19">
            <v>-2626052.2258853172</v>
          </cell>
          <cell r="U19">
            <v>1771362.0365020162</v>
          </cell>
        </row>
        <row r="20">
          <cell r="S20" t="str">
            <v>T8</v>
          </cell>
          <cell r="T20">
            <v>-1803095.4286149882</v>
          </cell>
          <cell r="U20">
            <v>1023795.4182228115</v>
          </cell>
        </row>
        <row r="21">
          <cell r="S21" t="str">
            <v>T12</v>
          </cell>
          <cell r="T21">
            <v>911089.67808701936</v>
          </cell>
          <cell r="U21">
            <v>1211444.325855274</v>
          </cell>
        </row>
        <row r="22">
          <cell r="S22" t="str">
            <v>T24</v>
          </cell>
          <cell r="T22">
            <v>13246447.83540033</v>
          </cell>
          <cell r="U22">
            <v>435579.08434202685</v>
          </cell>
        </row>
        <row r="23">
          <cell r="S23" t="str">
            <v>T48</v>
          </cell>
          <cell r="T23">
            <v>20926880.205995467</v>
          </cell>
          <cell r="U23">
            <v>4288934.9299874008</v>
          </cell>
        </row>
        <row r="24">
          <cell r="S24" t="str">
            <v>T72</v>
          </cell>
          <cell r="T24">
            <v>30309824.195397053</v>
          </cell>
          <cell r="U24">
            <v>12906841.792883553</v>
          </cell>
        </row>
        <row r="25">
          <cell r="S25" t="str">
            <v>T96</v>
          </cell>
          <cell r="T25">
            <v>42251409.913845979</v>
          </cell>
          <cell r="U25">
            <v>7483099.4853902115</v>
          </cell>
        </row>
        <row r="26">
          <cell r="U26">
            <v>18777176.81446154</v>
          </cell>
        </row>
        <row r="28">
          <cell r="K28">
            <v>3</v>
          </cell>
          <cell r="L28">
            <v>3019429</v>
          </cell>
        </row>
        <row r="29">
          <cell r="K29">
            <v>1.5</v>
          </cell>
          <cell r="L29">
            <v>2016539.23</v>
          </cell>
        </row>
        <row r="30">
          <cell r="K30">
            <v>0.75</v>
          </cell>
          <cell r="L30">
            <v>1067386.1000000001</v>
          </cell>
        </row>
        <row r="31">
          <cell r="K31">
            <v>0.32500000000000001</v>
          </cell>
          <cell r="L31">
            <v>908640.24</v>
          </cell>
        </row>
        <row r="40">
          <cell r="K40">
            <v>2.1</v>
          </cell>
          <cell r="L40">
            <v>2811926.81</v>
          </cell>
        </row>
        <row r="41">
          <cell r="K41">
            <v>0.75</v>
          </cell>
          <cell r="L41">
            <v>787792.34</v>
          </cell>
        </row>
        <row r="42">
          <cell r="K42">
            <v>0.32500000000000001</v>
          </cell>
          <cell r="L42">
            <v>571743.21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54"/>
  <sheetViews>
    <sheetView tabSelected="1" topLeftCell="A101" zoomScale="88" zoomScaleNormal="70" workbookViewId="0">
      <selection activeCell="S139" sqref="S139"/>
    </sheetView>
  </sheetViews>
  <sheetFormatPr baseColWidth="10" defaultColWidth="8.83203125" defaultRowHeight="15"/>
  <cols>
    <col min="1" max="1" width="9.1640625" style="8" customWidth="1"/>
    <col min="2" max="2" width="7.1640625" style="8" customWidth="1"/>
    <col min="3" max="5" width="9.1640625" style="8" bestFit="1" customWidth="1"/>
    <col min="6" max="6" width="11.5" style="8" customWidth="1"/>
    <col min="7" max="7" width="9.83203125" style="8" bestFit="1" customWidth="1"/>
    <col min="8" max="8" width="9.6640625" style="8" bestFit="1" customWidth="1"/>
    <col min="9" max="9" width="8.83203125" style="8"/>
    <col min="10" max="10" width="9.33203125" style="8" bestFit="1" customWidth="1"/>
    <col min="11" max="11" width="10.1640625" style="8" bestFit="1" customWidth="1"/>
    <col min="12" max="17" width="8.83203125" style="8"/>
    <col min="18" max="18" width="7.1640625" style="8" bestFit="1" customWidth="1"/>
    <col min="19" max="19" width="8.1640625" style="8" bestFit="1" customWidth="1"/>
    <col min="20" max="20" width="11" style="8" bestFit="1" customWidth="1"/>
    <col min="21" max="22" width="12.6640625" style="8" customWidth="1"/>
    <col min="23" max="23" width="9.5" style="8" customWidth="1"/>
    <col min="24" max="24" width="1.6640625" style="8" customWidth="1"/>
    <col min="25" max="25" width="12.6640625" style="8" customWidth="1"/>
    <col min="26" max="26" width="12.83203125" style="8" customWidth="1"/>
    <col min="27" max="27" width="8.6640625" style="8" customWidth="1"/>
    <col min="28" max="28" width="1.6640625" style="8" customWidth="1"/>
    <col min="29" max="29" width="9.83203125" style="8" customWidth="1"/>
    <col min="30" max="30" width="9.5" style="8" customWidth="1"/>
    <col min="31" max="31" width="7" style="8" customWidth="1"/>
    <col min="32" max="32" width="4.6640625" style="8" customWidth="1"/>
    <col min="33" max="35" width="12.6640625" style="8" customWidth="1"/>
    <col min="36" max="16384" width="8.83203125" style="8"/>
  </cols>
  <sheetData>
    <row r="1" spans="1:35">
      <c r="A1" s="8" t="s">
        <v>0</v>
      </c>
      <c r="B1" s="8" t="s">
        <v>1</v>
      </c>
      <c r="J1" s="9" t="s">
        <v>2</v>
      </c>
      <c r="K1" s="9" t="s">
        <v>1</v>
      </c>
      <c r="U1" s="26" t="s">
        <v>3</v>
      </c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</row>
    <row r="2" spans="1:35">
      <c r="B2" s="14" t="s">
        <v>4</v>
      </c>
      <c r="C2" s="8" t="s">
        <v>5</v>
      </c>
      <c r="D2" s="8" t="s">
        <v>6</v>
      </c>
      <c r="E2" s="8" t="s">
        <v>7</v>
      </c>
      <c r="F2" s="8" t="s">
        <v>8</v>
      </c>
      <c r="G2" s="8" t="s">
        <v>9</v>
      </c>
      <c r="H2" s="8" t="s">
        <v>10</v>
      </c>
      <c r="J2" s="10">
        <v>3</v>
      </c>
      <c r="K2" s="11">
        <v>3818036.41</v>
      </c>
      <c r="U2" s="10" t="s">
        <v>11</v>
      </c>
      <c r="V2" s="10" t="s">
        <v>12</v>
      </c>
      <c r="W2" s="10" t="s">
        <v>13</v>
      </c>
      <c r="X2" s="10"/>
      <c r="Y2" s="10" t="s">
        <v>14</v>
      </c>
      <c r="Z2" s="10" t="s">
        <v>12</v>
      </c>
      <c r="AA2" s="10" t="s">
        <v>13</v>
      </c>
      <c r="AB2" s="10"/>
      <c r="AC2" s="10" t="s">
        <v>15</v>
      </c>
      <c r="AD2" s="10" t="s">
        <v>12</v>
      </c>
      <c r="AE2" s="10" t="s">
        <v>13</v>
      </c>
      <c r="AF2" s="10"/>
      <c r="AG2" s="10" t="s">
        <v>16</v>
      </c>
      <c r="AH2" s="10" t="s">
        <v>12</v>
      </c>
      <c r="AI2" s="10" t="s">
        <v>13</v>
      </c>
    </row>
    <row r="3" spans="1:35">
      <c r="A3" s="1">
        <v>0</v>
      </c>
      <c r="B3" s="12">
        <v>278592.03000000003</v>
      </c>
      <c r="C3" s="13">
        <f>(B3-$K$7)/$K$8</f>
        <v>-0.7292252648390749</v>
      </c>
      <c r="D3" s="13">
        <f t="shared" ref="D3:D10" si="0">C3/$T$12*W3</f>
        <v>-27.36053193676214</v>
      </c>
      <c r="E3" s="13">
        <f t="shared" ref="E3:E12" si="1">D3/$T$13</f>
        <v>-0.27360531936762139</v>
      </c>
      <c r="F3" s="2">
        <f t="shared" ref="F3:F12" si="2">E3/$T$14</f>
        <v>-3.0400591040846823E-5</v>
      </c>
      <c r="G3" s="13">
        <f t="shared" ref="G3:G12" si="3">F3*$T$15*$T$16</f>
        <v>-5493082795170.6123</v>
      </c>
      <c r="H3" s="2">
        <f>G3/1000000</f>
        <v>-5493082.7951706126</v>
      </c>
      <c r="J3" s="10">
        <v>1.5</v>
      </c>
      <c r="K3" s="11">
        <v>2918488.7</v>
      </c>
      <c r="U3" s="10" t="s">
        <v>17</v>
      </c>
      <c r="V3" s="10">
        <v>46.900000000000091</v>
      </c>
      <c r="W3" s="10">
        <v>187.60000000000036</v>
      </c>
      <c r="X3" s="10"/>
      <c r="Y3" s="10" t="s">
        <v>18</v>
      </c>
      <c r="Z3" s="10">
        <v>49.700000000000045</v>
      </c>
      <c r="AA3" s="10">
        <v>198.80000000000018</v>
      </c>
      <c r="AB3" s="10"/>
      <c r="AC3" s="10" t="s">
        <v>19</v>
      </c>
      <c r="AD3" s="10">
        <v>50.600000000000023</v>
      </c>
      <c r="AE3" s="10">
        <v>202.40000000000009</v>
      </c>
      <c r="AF3" s="10"/>
      <c r="AG3" s="10" t="s">
        <v>20</v>
      </c>
      <c r="AH3" s="10">
        <v>46</v>
      </c>
      <c r="AI3" s="10">
        <v>184</v>
      </c>
    </row>
    <row r="4" spans="1:35">
      <c r="A4" s="1">
        <v>4</v>
      </c>
      <c r="B4" s="12">
        <v>487438.92</v>
      </c>
      <c r="C4" s="13">
        <f t="shared" ref="C4:C10" si="4">(B4-$K$7)/$K$8</f>
        <v>-0.5181152757561055</v>
      </c>
      <c r="D4" s="13">
        <f t="shared" si="0"/>
        <v>-19.481134368429565</v>
      </c>
      <c r="E4" s="13">
        <f t="shared" si="1"/>
        <v>-0.19481134368429565</v>
      </c>
      <c r="F4" s="2">
        <f t="shared" si="2"/>
        <v>-2.1645704853810626E-5</v>
      </c>
      <c r="G4" s="13">
        <f t="shared" si="3"/>
        <v>-3911162410035.042</v>
      </c>
      <c r="H4" s="2">
        <f t="shared" ref="H4:H12" si="5">G4/1000000</f>
        <v>-3911162.4100350421</v>
      </c>
      <c r="J4" s="10">
        <v>0.75</v>
      </c>
      <c r="K4" s="11">
        <v>1644646.92</v>
      </c>
      <c r="U4" s="10" t="s">
        <v>21</v>
      </c>
      <c r="V4" s="10">
        <v>47</v>
      </c>
      <c r="W4" s="10">
        <v>188</v>
      </c>
      <c r="X4" s="10"/>
      <c r="Y4" s="10" t="s">
        <v>22</v>
      </c>
      <c r="Z4" s="10">
        <v>48.400000000000091</v>
      </c>
      <c r="AA4" s="10">
        <v>193.60000000000036</v>
      </c>
      <c r="AB4" s="10"/>
      <c r="AC4" s="10" t="s">
        <v>23</v>
      </c>
      <c r="AD4" s="10">
        <v>40.799999999999955</v>
      </c>
      <c r="AE4" s="10">
        <v>163.19999999999982</v>
      </c>
      <c r="AF4" s="10"/>
      <c r="AG4" s="10" t="s">
        <v>24</v>
      </c>
      <c r="AH4" s="10">
        <v>41.099999999999909</v>
      </c>
      <c r="AI4" s="10">
        <v>164.39999999999964</v>
      </c>
    </row>
    <row r="5" spans="1:35">
      <c r="A5" s="1">
        <v>8</v>
      </c>
      <c r="B5" s="12">
        <v>564048.52</v>
      </c>
      <c r="C5" s="13">
        <f t="shared" si="4"/>
        <v>-0.44067552159146045</v>
      </c>
      <c r="D5" s="13">
        <f t="shared" si="0"/>
        <v>-14.806697525473071</v>
      </c>
      <c r="E5" s="13">
        <f t="shared" si="1"/>
        <v>-0.1480669752547307</v>
      </c>
      <c r="F5" s="2">
        <f t="shared" si="2"/>
        <v>-1.6451886139414521E-5</v>
      </c>
      <c r="G5" s="13">
        <f t="shared" si="3"/>
        <v>-2972691306530.8096</v>
      </c>
      <c r="H5" s="2">
        <f t="shared" si="5"/>
        <v>-2972691.3065308095</v>
      </c>
      <c r="J5" s="10">
        <v>0.32500000000000001</v>
      </c>
      <c r="K5" s="11">
        <v>1198189.8799999999</v>
      </c>
      <c r="U5" s="10" t="s">
        <v>25</v>
      </c>
      <c r="V5" s="10">
        <v>42</v>
      </c>
      <c r="W5" s="10">
        <v>168</v>
      </c>
      <c r="X5" s="10"/>
      <c r="Y5" s="10" t="s">
        <v>26</v>
      </c>
      <c r="Z5" s="10">
        <v>36.5</v>
      </c>
      <c r="AA5" s="10">
        <v>146</v>
      </c>
      <c r="AB5" s="10"/>
      <c r="AC5" s="10" t="s">
        <v>27</v>
      </c>
      <c r="AD5" s="10">
        <v>50.5</v>
      </c>
      <c r="AE5" s="10">
        <v>202</v>
      </c>
      <c r="AF5" s="10"/>
      <c r="AG5" s="10" t="s">
        <v>28</v>
      </c>
      <c r="AH5" s="10">
        <v>45.200000000000045</v>
      </c>
      <c r="AI5" s="10">
        <v>180.80000000000018</v>
      </c>
    </row>
    <row r="6" spans="1:35">
      <c r="A6" s="1">
        <v>12</v>
      </c>
      <c r="B6" s="12">
        <v>1119804.51</v>
      </c>
      <c r="C6" s="13">
        <f t="shared" si="4"/>
        <v>0.12110273127931426</v>
      </c>
      <c r="D6" s="13">
        <f t="shared" si="0"/>
        <v>3.1486710132621707</v>
      </c>
      <c r="E6" s="13">
        <f t="shared" si="1"/>
        <v>3.1486710132621706E-2</v>
      </c>
      <c r="F6" s="2">
        <f t="shared" si="2"/>
        <v>3.4985233480690785E-6</v>
      </c>
      <c r="G6" s="13">
        <f t="shared" si="3"/>
        <v>632148183762.60181</v>
      </c>
      <c r="H6" s="2">
        <f t="shared" si="5"/>
        <v>632148.18376260181</v>
      </c>
      <c r="J6" s="14"/>
      <c r="K6" s="14"/>
      <c r="U6" s="10" t="s">
        <v>29</v>
      </c>
      <c r="V6" s="10">
        <v>32.5</v>
      </c>
      <c r="W6" s="10">
        <v>130</v>
      </c>
      <c r="X6" s="10"/>
      <c r="Y6" s="10" t="s">
        <v>30</v>
      </c>
      <c r="Z6" s="10">
        <v>36.6</v>
      </c>
      <c r="AA6" s="10">
        <v>146.4</v>
      </c>
      <c r="AB6" s="10"/>
      <c r="AC6" s="10" t="s">
        <v>31</v>
      </c>
      <c r="AD6" s="10">
        <v>42</v>
      </c>
      <c r="AE6" s="10">
        <v>168</v>
      </c>
      <c r="AF6" s="10"/>
      <c r="AG6" s="10" t="s">
        <v>32</v>
      </c>
      <c r="AH6" s="10">
        <v>41.3</v>
      </c>
      <c r="AI6" s="10">
        <v>165.2</v>
      </c>
    </row>
    <row r="7" spans="1:35">
      <c r="A7" s="1">
        <v>24</v>
      </c>
      <c r="B7" s="12">
        <v>2956349.16</v>
      </c>
      <c r="C7" s="13">
        <f t="shared" si="4"/>
        <v>1.9775484797024099</v>
      </c>
      <c r="D7" s="13">
        <f t="shared" si="0"/>
        <v>77.045288769205953</v>
      </c>
      <c r="E7" s="13">
        <f t="shared" si="1"/>
        <v>0.77045288769205955</v>
      </c>
      <c r="F7" s="2">
        <f t="shared" si="2"/>
        <v>8.5605876410228845E-5</v>
      </c>
      <c r="G7" s="13">
        <f t="shared" si="3"/>
        <v>15468125808564.25</v>
      </c>
      <c r="H7" s="2">
        <f t="shared" si="5"/>
        <v>15468125.808564249</v>
      </c>
      <c r="J7" s="18" t="s">
        <v>33</v>
      </c>
      <c r="K7" s="18">
        <v>1000000</v>
      </c>
      <c r="U7" s="10" t="s">
        <v>34</v>
      </c>
      <c r="V7" s="10">
        <v>48.700000000000045</v>
      </c>
      <c r="W7" s="10">
        <v>194.80000000000018</v>
      </c>
      <c r="X7" s="10"/>
      <c r="Y7" s="10" t="s">
        <v>35</v>
      </c>
      <c r="Z7" s="10">
        <v>50.399999999999977</v>
      </c>
      <c r="AA7" s="10">
        <v>201.59999999999991</v>
      </c>
      <c r="AB7" s="10"/>
      <c r="AC7" s="10" t="s">
        <v>36</v>
      </c>
      <c r="AD7" s="10">
        <v>46.599999999999909</v>
      </c>
      <c r="AE7" s="10">
        <v>186.39999999999964</v>
      </c>
      <c r="AF7" s="10"/>
      <c r="AG7" s="10" t="s">
        <v>37</v>
      </c>
      <c r="AH7" s="10">
        <v>48.199999999999932</v>
      </c>
      <c r="AI7" s="10">
        <v>192.79999999999973</v>
      </c>
    </row>
    <row r="8" spans="1:35">
      <c r="A8" s="1">
        <v>48</v>
      </c>
      <c r="B8" s="12">
        <v>4105444.1</v>
      </c>
      <c r="C8" s="13">
        <f t="shared" si="4"/>
        <v>3.1390952005498951</v>
      </c>
      <c r="D8" s="13">
        <f t="shared" si="0"/>
        <v>153.69010101892297</v>
      </c>
      <c r="E8" s="13">
        <f t="shared" si="1"/>
        <v>1.5369010101892298</v>
      </c>
      <c r="F8" s="2">
        <f t="shared" si="2"/>
        <v>1.7076677890991442E-4</v>
      </c>
      <c r="G8" s="13">
        <f t="shared" si="3"/>
        <v>30855849281232.438</v>
      </c>
      <c r="H8" s="2">
        <f t="shared" si="5"/>
        <v>30855849.281232439</v>
      </c>
      <c r="J8" s="18" t="s">
        <v>38</v>
      </c>
      <c r="K8" s="18">
        <v>989280</v>
      </c>
      <c r="U8" s="10" t="s">
        <v>39</v>
      </c>
      <c r="V8" s="10">
        <v>61.200000000000045</v>
      </c>
      <c r="W8" s="10">
        <v>244.80000000000018</v>
      </c>
      <c r="X8" s="10"/>
      <c r="Y8" s="10" t="s">
        <v>40</v>
      </c>
      <c r="Z8" s="10">
        <v>53.300000000000068</v>
      </c>
      <c r="AA8" s="10">
        <v>213.20000000000027</v>
      </c>
      <c r="AB8" s="10"/>
      <c r="AC8" s="10" t="s">
        <v>41</v>
      </c>
      <c r="AD8" s="10">
        <v>46.300000000000068</v>
      </c>
      <c r="AE8" s="10">
        <v>185.20000000000027</v>
      </c>
      <c r="AF8" s="10"/>
      <c r="AG8" s="10" t="s">
        <v>42</v>
      </c>
      <c r="AH8" s="10">
        <v>50.300000000000068</v>
      </c>
      <c r="AI8" s="10">
        <v>201.20000000000027</v>
      </c>
    </row>
    <row r="9" spans="1:35">
      <c r="A9" s="14">
        <v>72</v>
      </c>
      <c r="B9" s="12">
        <v>4449015</v>
      </c>
      <c r="C9" s="13">
        <f t="shared" si="4"/>
        <v>3.4863890910561217</v>
      </c>
      <c r="D9" s="13">
        <f t="shared" si="0"/>
        <v>172.08816553452999</v>
      </c>
      <c r="E9" s="13">
        <f t="shared" si="1"/>
        <v>1.7208816553452999</v>
      </c>
      <c r="F9" s="2">
        <f t="shared" si="2"/>
        <v>1.9120907281614444E-4</v>
      </c>
      <c r="G9" s="13">
        <f t="shared" si="3"/>
        <v>34549567367149.137</v>
      </c>
      <c r="H9" s="2">
        <f t="shared" si="5"/>
        <v>34549567.367149137</v>
      </c>
      <c r="U9" s="10" t="s">
        <v>43</v>
      </c>
      <c r="V9" s="10">
        <v>61.699999999999932</v>
      </c>
      <c r="W9" s="10">
        <v>246.79999999999973</v>
      </c>
      <c r="X9" s="10"/>
      <c r="Y9" s="10" t="s">
        <v>44</v>
      </c>
      <c r="Z9" s="10">
        <v>60.900000000000091</v>
      </c>
      <c r="AA9" s="10">
        <v>243.60000000000036</v>
      </c>
      <c r="AB9" s="10"/>
      <c r="AC9" s="10" t="s">
        <v>45</v>
      </c>
      <c r="AD9" s="10">
        <v>54.800000000000068</v>
      </c>
      <c r="AE9" s="10">
        <v>219.20000000000027</v>
      </c>
      <c r="AF9" s="10"/>
      <c r="AG9" s="10" t="s">
        <v>46</v>
      </c>
      <c r="AH9" s="10">
        <v>57.200000000000045</v>
      </c>
      <c r="AI9" s="10">
        <v>228.80000000000018</v>
      </c>
    </row>
    <row r="10" spans="1:35">
      <c r="A10" s="14">
        <v>96</v>
      </c>
      <c r="B10" s="12">
        <v>5315086.38</v>
      </c>
      <c r="C10" s="13">
        <f t="shared" si="4"/>
        <v>4.361845362283681</v>
      </c>
      <c r="D10" s="13">
        <f t="shared" si="0"/>
        <v>259.96598359210742</v>
      </c>
      <c r="E10" s="13">
        <f t="shared" si="1"/>
        <v>2.5996598359210741</v>
      </c>
      <c r="F10" s="2">
        <f t="shared" si="2"/>
        <v>2.8885109288011936E-4</v>
      </c>
      <c r="G10" s="13">
        <f t="shared" si="3"/>
        <v>52192503972508.766</v>
      </c>
      <c r="H10" s="2">
        <f t="shared" si="5"/>
        <v>52192503.972508766</v>
      </c>
      <c r="U10" s="10" t="s">
        <v>47</v>
      </c>
      <c r="V10" s="10">
        <v>74.5</v>
      </c>
      <c r="W10" s="10">
        <v>298</v>
      </c>
      <c r="X10" s="10"/>
      <c r="Y10" s="10" t="s">
        <v>48</v>
      </c>
      <c r="Z10" s="10">
        <v>63.699999999999932</v>
      </c>
      <c r="AA10" s="10">
        <v>254.79999999999973</v>
      </c>
      <c r="AB10" s="10"/>
      <c r="AC10" s="10" t="s">
        <v>49</v>
      </c>
      <c r="AD10" s="10">
        <v>65.200000000000045</v>
      </c>
      <c r="AE10" s="10">
        <v>260.80000000000018</v>
      </c>
      <c r="AF10" s="10"/>
      <c r="AG10" s="10" t="s">
        <v>50</v>
      </c>
      <c r="AH10" s="10">
        <v>63.299999999999955</v>
      </c>
      <c r="AI10" s="10">
        <v>253.19999999999982</v>
      </c>
    </row>
    <row r="11" spans="1:35">
      <c r="A11" s="14" t="s">
        <v>51</v>
      </c>
      <c r="B11" s="12">
        <v>2898156.48</v>
      </c>
      <c r="C11" s="13">
        <f>(B11-$K$7)/$K$8*3</f>
        <v>5.7561756428918001</v>
      </c>
      <c r="D11" s="13">
        <f>C11/$T$12*W9</f>
        <v>284.12482973313894</v>
      </c>
      <c r="E11" s="13">
        <f t="shared" si="1"/>
        <v>2.8412482973313895</v>
      </c>
      <c r="F11" s="13">
        <f t="shared" si="2"/>
        <v>3.1569425525904328E-4</v>
      </c>
      <c r="G11" s="13">
        <f t="shared" si="3"/>
        <v>57042794982756.531</v>
      </c>
      <c r="H11" s="13">
        <f t="shared" si="5"/>
        <v>57042794.982756533</v>
      </c>
      <c r="U11" s="10"/>
      <c r="V11" s="10"/>
    </row>
    <row r="12" spans="1:35">
      <c r="A12" s="14" t="s">
        <v>52</v>
      </c>
      <c r="B12" s="12">
        <v>2204118.7200000002</v>
      </c>
      <c r="C12" s="13">
        <f>(B12-$K$7)/$K$8*4</f>
        <v>4.8686669901342396</v>
      </c>
      <c r="D12" s="13">
        <f>C12/$T$12*W10</f>
        <v>290.17255261200069</v>
      </c>
      <c r="E12" s="13">
        <f t="shared" si="1"/>
        <v>2.901725526120007</v>
      </c>
      <c r="F12" s="13">
        <f t="shared" si="2"/>
        <v>3.2241394734666744E-4</v>
      </c>
      <c r="G12" s="13">
        <f t="shared" si="3"/>
        <v>58256976146069.336</v>
      </c>
      <c r="H12" s="13">
        <f t="shared" si="5"/>
        <v>58256976.146069333</v>
      </c>
      <c r="S12" s="16" t="s">
        <v>53</v>
      </c>
      <c r="T12" s="16">
        <v>5</v>
      </c>
    </row>
    <row r="13" spans="1:35">
      <c r="S13" s="16" t="s">
        <v>54</v>
      </c>
      <c r="T13" s="16">
        <v>100</v>
      </c>
    </row>
    <row r="14" spans="1:35">
      <c r="B14" s="8" t="s">
        <v>55</v>
      </c>
      <c r="C14" s="8" t="s">
        <v>5</v>
      </c>
      <c r="D14" s="8" t="s">
        <v>6</v>
      </c>
      <c r="E14" s="8" t="s">
        <v>7</v>
      </c>
      <c r="F14" s="8" t="s">
        <v>8</v>
      </c>
      <c r="G14" s="8" t="s">
        <v>9</v>
      </c>
      <c r="H14" s="8" t="s">
        <v>10</v>
      </c>
      <c r="J14" s="9" t="s">
        <v>5</v>
      </c>
      <c r="K14" s="9" t="s">
        <v>1</v>
      </c>
      <c r="S14" s="16" t="s">
        <v>56</v>
      </c>
      <c r="T14" s="16">
        <v>9000</v>
      </c>
    </row>
    <row r="15" spans="1:35">
      <c r="A15" s="1">
        <v>0</v>
      </c>
      <c r="B15" s="13">
        <v>93556.74</v>
      </c>
      <c r="C15" s="12">
        <f>(B15-$K$20)/$K$21</f>
        <v>-0.27380013000000003</v>
      </c>
      <c r="D15" s="12">
        <f t="shared" ref="D15:D22" si="6">C15/$T$12*AA3</f>
        <v>-10.886293168800011</v>
      </c>
      <c r="E15" s="12">
        <f t="shared" ref="E15:E24" si="7">D15/$T$13</f>
        <v>-0.10886293168800011</v>
      </c>
      <c r="F15" s="3">
        <f t="shared" ref="F15:F24" si="8">E15/$T$14</f>
        <v>-1.2095881298666679E-5</v>
      </c>
      <c r="G15" s="12">
        <f t="shared" ref="G15:G24" si="9">F15*$T$15*$T$16</f>
        <v>-2185604791856.082</v>
      </c>
      <c r="H15" s="3">
        <f>G15/1000000</f>
        <v>-2185604.7918560822</v>
      </c>
      <c r="J15" s="10">
        <v>3</v>
      </c>
      <c r="K15" s="11">
        <v>5106170.21</v>
      </c>
      <c r="S15" s="16" t="s">
        <v>57</v>
      </c>
      <c r="T15" s="10">
        <v>602300000000000</v>
      </c>
    </row>
    <row r="16" spans="1:35">
      <c r="A16" s="1">
        <v>4</v>
      </c>
      <c r="B16" s="13">
        <v>163190.66</v>
      </c>
      <c r="C16" s="12">
        <f>(B16-$K$20)/$K$21</f>
        <v>-0.23898316999999999</v>
      </c>
      <c r="D16" s="12">
        <f t="shared" si="6"/>
        <v>-9.2534283424000172</v>
      </c>
      <c r="E16" s="12">
        <f t="shared" si="7"/>
        <v>-9.2534283424000177E-2</v>
      </c>
      <c r="F16" s="3">
        <f t="shared" si="8"/>
        <v>-1.028158704711113E-5</v>
      </c>
      <c r="G16" s="12">
        <f t="shared" si="9"/>
        <v>-1857779963542.51</v>
      </c>
      <c r="H16" s="3">
        <f t="shared" ref="H16:H24" si="10">G16/1000000</f>
        <v>-1857779.9635425101</v>
      </c>
      <c r="J16" s="10">
        <v>1.5</v>
      </c>
      <c r="K16" s="11">
        <v>3523887.85</v>
      </c>
      <c r="S16" s="16" t="s">
        <v>58</v>
      </c>
      <c r="T16" s="10">
        <f>15*20</f>
        <v>300</v>
      </c>
    </row>
    <row r="17" spans="1:26">
      <c r="A17" s="1">
        <v>8</v>
      </c>
      <c r="B17" s="13">
        <v>475572</v>
      </c>
      <c r="C17" s="12">
        <f>(B17-$K$20)/$K$21</f>
        <v>-8.2792500000000005E-2</v>
      </c>
      <c r="D17" s="12">
        <f t="shared" si="6"/>
        <v>-2.4175409999999999</v>
      </c>
      <c r="E17" s="12">
        <f t="shared" si="7"/>
        <v>-2.4175409999999998E-2</v>
      </c>
      <c r="F17" s="3">
        <f t="shared" si="8"/>
        <v>-2.6861566666666665E-6</v>
      </c>
      <c r="G17" s="12">
        <f t="shared" si="9"/>
        <v>-485361648100</v>
      </c>
      <c r="H17" s="3">
        <f t="shared" si="10"/>
        <v>-485361.64809999999</v>
      </c>
      <c r="J17" s="10">
        <v>0.75</v>
      </c>
      <c r="K17" s="11">
        <v>1897023.5</v>
      </c>
    </row>
    <row r="18" spans="1:26">
      <c r="A18" s="1">
        <v>12</v>
      </c>
      <c r="B18" s="13">
        <v>858389.53</v>
      </c>
      <c r="C18" s="12">
        <f>(B18-$K$20)/$K$21</f>
        <v>0.10861626500000002</v>
      </c>
      <c r="D18" s="12">
        <f t="shared" si="6"/>
        <v>3.180284239200001</v>
      </c>
      <c r="E18" s="12">
        <f t="shared" si="7"/>
        <v>3.1802842392000014E-2</v>
      </c>
      <c r="F18" s="3">
        <f t="shared" si="8"/>
        <v>3.533649154666668E-6</v>
      </c>
      <c r="G18" s="12">
        <f t="shared" si="9"/>
        <v>638495065756.72021</v>
      </c>
      <c r="H18" s="3">
        <f t="shared" si="10"/>
        <v>638495.06575672026</v>
      </c>
      <c r="J18" s="10">
        <v>0.32500000000000001</v>
      </c>
      <c r="K18" s="11">
        <v>789221.13</v>
      </c>
    </row>
    <row r="19" spans="1:26">
      <c r="A19" s="4" t="s">
        <v>62</v>
      </c>
      <c r="B19" s="5">
        <v>473915.68</v>
      </c>
      <c r="C19" s="6">
        <f>(B19-$K$20)/$K$21*2</f>
        <v>-0.16724132</v>
      </c>
      <c r="D19" s="12">
        <f t="shared" si="6"/>
        <v>-6.7431700223999966</v>
      </c>
      <c r="E19" s="6">
        <f t="shared" si="7"/>
        <v>-6.7431700223999969E-2</v>
      </c>
      <c r="F19" s="6">
        <f t="shared" si="8"/>
        <v>-7.4924111359999968E-6</v>
      </c>
      <c r="G19" s="6">
        <f t="shared" si="9"/>
        <v>-1353803768163.8394</v>
      </c>
      <c r="H19" s="7">
        <f t="shared" si="10"/>
        <v>-1353803.7681638394</v>
      </c>
    </row>
    <row r="20" spans="1:26">
      <c r="A20" s="1">
        <v>48</v>
      </c>
      <c r="B20" s="13">
        <v>2108051.25</v>
      </c>
      <c r="C20" s="12">
        <f>(B20-$K$20)/$K$21</f>
        <v>0.73344712499999998</v>
      </c>
      <c r="D20" s="12">
        <f t="shared" si="6"/>
        <v>31.274185410000037</v>
      </c>
      <c r="E20" s="12">
        <f t="shared" si="7"/>
        <v>0.31274185410000038</v>
      </c>
      <c r="F20" s="3">
        <f t="shared" si="8"/>
        <v>3.4749094900000044E-5</v>
      </c>
      <c r="G20" s="12">
        <f t="shared" si="9"/>
        <v>6278813957481.0078</v>
      </c>
      <c r="H20" s="3">
        <f t="shared" si="10"/>
        <v>6278813.957481008</v>
      </c>
      <c r="J20" s="18" t="s">
        <v>33</v>
      </c>
      <c r="K20" s="18">
        <v>641157</v>
      </c>
    </row>
    <row r="21" spans="1:26">
      <c r="A21" s="1">
        <v>72</v>
      </c>
      <c r="B21" s="13">
        <v>5073678.04</v>
      </c>
      <c r="C21" s="12">
        <f>(B21-$K$20)/$K$21</f>
        <v>2.2162605200000001</v>
      </c>
      <c r="D21" s="12">
        <f t="shared" si="6"/>
        <v>107.97621253440018</v>
      </c>
      <c r="E21" s="12">
        <f t="shared" si="7"/>
        <v>1.0797621253440017</v>
      </c>
      <c r="F21" s="3">
        <f t="shared" si="8"/>
        <v>1.1997356948266686E-4</v>
      </c>
      <c r="G21" s="12">
        <f t="shared" si="9"/>
        <v>21678024269823.074</v>
      </c>
      <c r="H21" s="3">
        <f t="shared" si="10"/>
        <v>21678024.269823074</v>
      </c>
      <c r="J21" s="18" t="s">
        <v>38</v>
      </c>
      <c r="K21" s="18">
        <v>2000000</v>
      </c>
    </row>
    <row r="22" spans="1:26">
      <c r="A22" s="1">
        <v>96</v>
      </c>
      <c r="B22" s="13">
        <v>4672371.1100000003</v>
      </c>
      <c r="C22" s="12">
        <f>(B22-$K$20)/$K$21</f>
        <v>2.0156070550000003</v>
      </c>
      <c r="D22" s="12">
        <f t="shared" si="6"/>
        <v>102.7153355227999</v>
      </c>
      <c r="E22" s="12">
        <f t="shared" si="7"/>
        <v>1.027153355227999</v>
      </c>
      <c r="F22" s="3">
        <f t="shared" si="8"/>
        <v>1.1412815058088878E-4</v>
      </c>
      <c r="G22" s="12">
        <f t="shared" si="9"/>
        <v>20621815528460.793</v>
      </c>
      <c r="H22" s="3">
        <f t="shared" si="10"/>
        <v>20621815.528460793</v>
      </c>
    </row>
    <row r="23" spans="1:26">
      <c r="A23" s="14" t="s">
        <v>51</v>
      </c>
      <c r="B23" s="13">
        <v>1048614.8500000001</v>
      </c>
      <c r="C23" s="12">
        <f>(B23-$K$20)/$K$21*3</f>
        <v>0.61118677500000007</v>
      </c>
      <c r="D23" s="12">
        <f>C23/$T$12*AA9</f>
        <v>29.777019678000048</v>
      </c>
      <c r="E23" s="12">
        <f t="shared" si="7"/>
        <v>0.2977701967800005</v>
      </c>
      <c r="F23" s="12">
        <f t="shared" si="8"/>
        <v>3.3085577420000058E-5</v>
      </c>
      <c r="G23" s="12">
        <f t="shared" si="9"/>
        <v>5978232984019.8105</v>
      </c>
      <c r="H23" s="12">
        <f t="shared" si="10"/>
        <v>5978232.9840198103</v>
      </c>
    </row>
    <row r="24" spans="1:26">
      <c r="A24" s="14" t="s">
        <v>52</v>
      </c>
      <c r="B24" s="13">
        <v>1322170.8</v>
      </c>
      <c r="C24" s="12">
        <f>(B24-$K$20)/$K$21*4</f>
        <v>1.3620276</v>
      </c>
      <c r="D24" s="12">
        <f>C24/$T$12*AA10</f>
        <v>69.408926495999935</v>
      </c>
      <c r="E24" s="12">
        <f t="shared" si="7"/>
        <v>0.69408926495999934</v>
      </c>
      <c r="F24" s="12">
        <f t="shared" si="8"/>
        <v>7.7121029439999926E-5</v>
      </c>
      <c r="G24" s="12">
        <f t="shared" si="9"/>
        <v>13934998809513.586</v>
      </c>
      <c r="H24" s="12">
        <f t="shared" si="10"/>
        <v>13934998.809513586</v>
      </c>
    </row>
    <row r="26" spans="1:26">
      <c r="B26" s="8" t="s">
        <v>70</v>
      </c>
      <c r="C26" s="8" t="s">
        <v>5</v>
      </c>
      <c r="D26" s="8" t="s">
        <v>6</v>
      </c>
      <c r="E26" s="8" t="s">
        <v>7</v>
      </c>
      <c r="F26" s="8" t="s">
        <v>8</v>
      </c>
      <c r="G26" s="8" t="s">
        <v>9</v>
      </c>
      <c r="H26" s="8" t="s">
        <v>10</v>
      </c>
      <c r="J26" s="9" t="s">
        <v>5</v>
      </c>
      <c r="K26" s="9" t="s">
        <v>1</v>
      </c>
      <c r="V26" s="26" t="s">
        <v>95</v>
      </c>
      <c r="W26" s="26"/>
      <c r="Y26" s="26" t="s">
        <v>8</v>
      </c>
      <c r="Z26" s="26"/>
    </row>
    <row r="27" spans="1:26">
      <c r="A27" s="1">
        <v>0</v>
      </c>
      <c r="B27" s="13">
        <v>88926.46</v>
      </c>
      <c r="C27" s="13">
        <f t="shared" ref="C27:C34" si="11">(B27-$K$32)/$K$33</f>
        <v>-0.6328407210160768</v>
      </c>
      <c r="D27" s="13">
        <f t="shared" ref="D27:D34" si="12">C27/$T$12*AE3</f>
        <v>-25.617392386730799</v>
      </c>
      <c r="E27" s="13">
        <f t="shared" ref="E27:E36" si="13">D27/$T$13</f>
        <v>-0.25617392386730797</v>
      </c>
      <c r="F27" s="2">
        <f t="shared" ref="F27:F36" si="14">E27/$T$14</f>
        <v>-2.8463769318589775E-5</v>
      </c>
      <c r="G27" s="13">
        <f t="shared" ref="G27:G36" si="15">F27*$T$15*$T$16</f>
        <v>-5143118478175.9863</v>
      </c>
      <c r="H27" s="2">
        <f>G27/1000000</f>
        <v>-5143118.4781759866</v>
      </c>
      <c r="J27" s="17">
        <v>3</v>
      </c>
      <c r="K27" s="18">
        <v>3019429</v>
      </c>
      <c r="U27" s="9"/>
      <c r="V27" s="10" t="s">
        <v>94</v>
      </c>
      <c r="W27" s="10" t="s">
        <v>61</v>
      </c>
      <c r="Y27" s="10" t="s">
        <v>59</v>
      </c>
      <c r="Z27" s="10" t="s">
        <v>61</v>
      </c>
    </row>
    <row r="28" spans="1:26">
      <c r="A28" s="1">
        <v>4</v>
      </c>
      <c r="B28" s="13">
        <v>328877.65999999997</v>
      </c>
      <c r="C28" s="13">
        <f t="shared" si="11"/>
        <v>-0.34061608609714306</v>
      </c>
      <c r="D28" s="13">
        <f t="shared" si="12"/>
        <v>-11.117709050210737</v>
      </c>
      <c r="E28" s="13">
        <f t="shared" si="13"/>
        <v>-0.11117709050210736</v>
      </c>
      <c r="F28" s="2">
        <f t="shared" si="14"/>
        <v>-1.2353010055789707E-5</v>
      </c>
      <c r="G28" s="13">
        <f t="shared" si="15"/>
        <v>-2232065386980.6421</v>
      </c>
      <c r="H28" s="2">
        <f t="shared" ref="H28:H36" si="16">G28/1000000</f>
        <v>-2232065.3869806421</v>
      </c>
      <c r="J28" s="17">
        <v>1.5</v>
      </c>
      <c r="K28" s="18">
        <v>2016539.23</v>
      </c>
      <c r="U28" s="21" t="s">
        <v>60</v>
      </c>
      <c r="V28" s="22">
        <f>AVERAGE(H3,H15,H27)</f>
        <v>-4273935.3550675604</v>
      </c>
      <c r="W28" s="22">
        <f>STDEV(H3,H15,H27)</f>
        <v>1816992.6146588363</v>
      </c>
      <c r="Y28" s="24">
        <f>AVERAGE(F15,F27,F51)</f>
        <v>-1.1871527213683758E-5</v>
      </c>
      <c r="Z28" s="24">
        <f>STDEV(F3,F15,F27)</f>
        <v>1.0055855966898204E-5</v>
      </c>
    </row>
    <row r="29" spans="1:26">
      <c r="A29" s="1">
        <v>8</v>
      </c>
      <c r="B29" s="13">
        <v>400482.88</v>
      </c>
      <c r="C29" s="13">
        <f t="shared" si="11"/>
        <v>-0.25341164922502096</v>
      </c>
      <c r="D29" s="13">
        <f t="shared" si="12"/>
        <v>-10.237830628690846</v>
      </c>
      <c r="E29" s="13">
        <f t="shared" si="13"/>
        <v>-0.10237830628690846</v>
      </c>
      <c r="F29" s="2">
        <f t="shared" si="14"/>
        <v>-1.1375367365212051E-5</v>
      </c>
      <c r="G29" s="13">
        <f t="shared" si="15"/>
        <v>-2055415129220.1653</v>
      </c>
      <c r="H29" s="2">
        <f t="shared" si="16"/>
        <v>-2055415.1292201653</v>
      </c>
      <c r="J29" s="17">
        <v>0.75</v>
      </c>
      <c r="K29" s="18">
        <v>1067386.1000000001</v>
      </c>
      <c r="U29" s="21" t="s">
        <v>63</v>
      </c>
      <c r="V29" s="22">
        <f>AVERAGE(H4,H16,H28)</f>
        <v>-2667002.5868527312</v>
      </c>
      <c r="W29" s="22">
        <f>STDEV(H4,H16,H28)</f>
        <v>1093605.3418694267</v>
      </c>
      <c r="Y29" s="24">
        <f t="shared" ref="Y29:Y31" si="17">AVERAGE(F16,F28,F52)</f>
        <v>-3.8064665738118744E-6</v>
      </c>
      <c r="Z29" s="24">
        <f t="shared" ref="Z29:Z31" si="18">STDEV(F4,F16,F28)</f>
        <v>6.0523844256429586E-6</v>
      </c>
    </row>
    <row r="30" spans="1:26">
      <c r="A30" s="1">
        <v>12</v>
      </c>
      <c r="B30" s="13">
        <v>780613.75</v>
      </c>
      <c r="C30" s="13">
        <f t="shared" si="11"/>
        <v>0.20953083536003916</v>
      </c>
      <c r="D30" s="13">
        <f t="shared" si="12"/>
        <v>7.0402360680973155</v>
      </c>
      <c r="E30" s="13">
        <f t="shared" si="13"/>
        <v>7.040236068097315E-2</v>
      </c>
      <c r="F30" s="2">
        <f t="shared" si="14"/>
        <v>7.8224845201081278E-6</v>
      </c>
      <c r="G30" s="13">
        <f t="shared" si="15"/>
        <v>1413444727938.3376</v>
      </c>
      <c r="H30" s="2">
        <f t="shared" si="16"/>
        <v>1413444.7279383377</v>
      </c>
      <c r="J30" s="17">
        <v>0.32500000000000001</v>
      </c>
      <c r="K30" s="18">
        <v>908640.24</v>
      </c>
      <c r="U30" s="21" t="s">
        <v>64</v>
      </c>
      <c r="V30" s="22">
        <f>AVERAGE(H5,H17,H29)</f>
        <v>-1837822.6946169913</v>
      </c>
      <c r="W30" s="22">
        <f>STDEV(H5,H17,H29)</f>
        <v>1257860.110713741</v>
      </c>
      <c r="Y30" s="24">
        <f t="shared" si="17"/>
        <v>3.0425357288157471E-7</v>
      </c>
      <c r="Z30" s="24">
        <f t="shared" si="18"/>
        <v>6.9614262588618121E-6</v>
      </c>
    </row>
    <row r="31" spans="1:26">
      <c r="A31" s="1">
        <v>24</v>
      </c>
      <c r="B31" s="13">
        <v>1520086.98</v>
      </c>
      <c r="C31" s="13">
        <f t="shared" si="11"/>
        <v>1.110098511908749</v>
      </c>
      <c r="D31" s="13">
        <f t="shared" si="12"/>
        <v>41.384472523958081</v>
      </c>
      <c r="E31" s="13">
        <f t="shared" si="13"/>
        <v>0.41384472523958082</v>
      </c>
      <c r="F31" s="2">
        <f t="shared" si="14"/>
        <v>4.5982747248842313E-5</v>
      </c>
      <c r="G31" s="13">
        <f t="shared" si="15"/>
        <v>8308622600393.3174</v>
      </c>
      <c r="H31" s="2">
        <f t="shared" si="16"/>
        <v>8308622.6003933176</v>
      </c>
      <c r="U31" s="21" t="s">
        <v>65</v>
      </c>
      <c r="V31" s="22">
        <f>AVERAGE(H6,H18,H30)</f>
        <v>894695.99248588656</v>
      </c>
      <c r="W31" s="22">
        <f>STDEV(H6,H18,H30)</f>
        <v>449260.79133160471</v>
      </c>
      <c r="Y31" s="24">
        <f t="shared" si="17"/>
        <v>1.6166844716773889E-5</v>
      </c>
      <c r="Z31" s="24">
        <f t="shared" si="18"/>
        <v>2.486362229960732E-6</v>
      </c>
    </row>
    <row r="32" spans="1:26">
      <c r="A32" s="1">
        <v>48</v>
      </c>
      <c r="B32" s="13">
        <v>3465253.91</v>
      </c>
      <c r="C32" s="13">
        <f t="shared" si="11"/>
        <v>3.4790205926303011</v>
      </c>
      <c r="D32" s="13">
        <f t="shared" si="12"/>
        <v>128.86292275102653</v>
      </c>
      <c r="E32" s="13">
        <f t="shared" si="13"/>
        <v>1.2886292275102653</v>
      </c>
      <c r="F32" s="2">
        <f t="shared" si="14"/>
        <v>1.4318102527891837E-4</v>
      </c>
      <c r="G32" s="13">
        <f t="shared" si="15"/>
        <v>25871379457647.762</v>
      </c>
      <c r="H32" s="2">
        <f t="shared" si="16"/>
        <v>25871379.457647763</v>
      </c>
      <c r="J32" s="18" t="s">
        <v>33</v>
      </c>
      <c r="K32" s="18">
        <v>608564</v>
      </c>
      <c r="U32" s="21" t="s">
        <v>66</v>
      </c>
      <c r="V32" s="22">
        <f>AVERAGE(H7,H31,H43)</f>
        <v>13273770.458538488</v>
      </c>
      <c r="W32" s="22">
        <f>STDEV(H7,H31,H43)</f>
        <v>4309592.7753374176</v>
      </c>
      <c r="Y32" s="24">
        <f>AVERAGE(F31,F43,F7)</f>
        <v>7.3461566542357007E-5</v>
      </c>
      <c r="Z32" s="24">
        <f>STDEV(F7,F31,F43)</f>
        <v>2.3850754194130369E-5</v>
      </c>
    </row>
    <row r="33" spans="1:26">
      <c r="A33" s="1">
        <v>72</v>
      </c>
      <c r="B33" s="13">
        <v>3870610.4</v>
      </c>
      <c r="C33" s="13">
        <f t="shared" si="11"/>
        <v>3.9726841054707052</v>
      </c>
      <c r="D33" s="13">
        <f t="shared" si="12"/>
        <v>174.16247118383592</v>
      </c>
      <c r="E33" s="13">
        <f t="shared" si="13"/>
        <v>1.7416247118383592</v>
      </c>
      <c r="F33" s="2">
        <f t="shared" si="14"/>
        <v>1.9351385687092881E-4</v>
      </c>
      <c r="G33" s="13">
        <f t="shared" si="15"/>
        <v>34966018798008.129</v>
      </c>
      <c r="H33" s="2">
        <f t="shared" si="16"/>
        <v>34966018.798008129</v>
      </c>
      <c r="J33" s="18" t="s">
        <v>38</v>
      </c>
      <c r="K33" s="18">
        <v>821119</v>
      </c>
      <c r="U33" s="21" t="s">
        <v>67</v>
      </c>
      <c r="V33" s="22">
        <f>AVERAGE(H8,H20,H32)</f>
        <v>21002014.232120402</v>
      </c>
      <c r="W33" s="22">
        <f>STDEV(H8,H20,H32)</f>
        <v>12991947.683119452</v>
      </c>
      <c r="Y33" s="24">
        <f>AVERAGE(F8,F20,F32)</f>
        <v>1.162322996962776E-4</v>
      </c>
      <c r="Z33" s="24">
        <f>STDEV(F8,F20,F32)</f>
        <v>7.1901863319051665E-5</v>
      </c>
    </row>
    <row r="34" spans="1:26">
      <c r="A34" s="1">
        <v>96</v>
      </c>
      <c r="B34" s="13">
        <v>4871858.78</v>
      </c>
      <c r="C34" s="13">
        <f t="shared" si="11"/>
        <v>5.1920547204485592</v>
      </c>
      <c r="D34" s="13">
        <f t="shared" si="12"/>
        <v>270.81757421859703</v>
      </c>
      <c r="E34" s="13">
        <f t="shared" si="13"/>
        <v>2.7081757421859702</v>
      </c>
      <c r="F34" s="2">
        <f t="shared" si="14"/>
        <v>3.0090841579844116E-4</v>
      </c>
      <c r="G34" s="13">
        <f t="shared" si="15"/>
        <v>54371141650620.336</v>
      </c>
      <c r="H34" s="2">
        <f t="shared" si="16"/>
        <v>54371141.650620334</v>
      </c>
      <c r="U34" s="21" t="s">
        <v>68</v>
      </c>
      <c r="V34" s="22">
        <f>AVERAGE(H9,H21,H33)</f>
        <v>30397870.144993443</v>
      </c>
      <c r="W34" s="22">
        <f>STDEV(H9,H21,H33)</f>
        <v>7554478.2754079383</v>
      </c>
      <c r="Y34" s="24">
        <f t="shared" ref="Y34:Y37" si="19">AVERAGE(F9,F21,F33)</f>
        <v>1.6823216638991336E-4</v>
      </c>
      <c r="Z34" s="24">
        <f t="shared" ref="Z34:Z37" si="20">STDEV(F9,F21,F33)</f>
        <v>4.1809055705395618E-5</v>
      </c>
    </row>
    <row r="35" spans="1:26">
      <c r="A35" s="14" t="s">
        <v>51</v>
      </c>
      <c r="B35" s="13">
        <v>1003386.24</v>
      </c>
      <c r="C35" s="13">
        <f>(B35-$K$32)/$K$33*3</f>
        <v>1.4425031207413299</v>
      </c>
      <c r="D35" s="13">
        <f>C35/$T$12*AE9</f>
        <v>63.239336813299985</v>
      </c>
      <c r="E35" s="13">
        <f t="shared" si="13"/>
        <v>0.63239336813299984</v>
      </c>
      <c r="F35" s="13">
        <f t="shared" si="14"/>
        <v>7.0265929792555536E-5</v>
      </c>
      <c r="G35" s="13">
        <f t="shared" si="15"/>
        <v>12696350854216.859</v>
      </c>
      <c r="H35" s="13">
        <f t="shared" si="16"/>
        <v>12696350.854216859</v>
      </c>
      <c r="U35" s="21" t="s">
        <v>69</v>
      </c>
      <c r="V35" s="22">
        <f>AVERAGE(H10,H22,H34)</f>
        <v>42395153.717196636</v>
      </c>
      <c r="W35" s="22">
        <f>STDEV(H10,H22,H34)</f>
        <v>18887702.545410812</v>
      </c>
      <c r="Y35" s="24">
        <f>AVERAGE(F10,F22,F34)</f>
        <v>2.3462921975314977E-4</v>
      </c>
      <c r="Z35" s="24">
        <f t="shared" si="20"/>
        <v>1.0453097872273411E-4</v>
      </c>
    </row>
    <row r="36" spans="1:26">
      <c r="A36" s="14" t="s">
        <v>52</v>
      </c>
      <c r="B36" s="13">
        <v>917067</v>
      </c>
      <c r="C36" s="13">
        <f>(B36-$K$32)/$K$33*4</f>
        <v>1.5028418536168326</v>
      </c>
      <c r="D36" s="13">
        <f>C36/$T$12*AE10</f>
        <v>78.388231084654038</v>
      </c>
      <c r="E36" s="13">
        <f t="shared" si="13"/>
        <v>0.78388231084654036</v>
      </c>
      <c r="F36" s="13">
        <f t="shared" si="14"/>
        <v>8.7098034538504488E-5</v>
      </c>
      <c r="G36" s="13">
        <f t="shared" si="15"/>
        <v>15737743860762.375</v>
      </c>
      <c r="H36" s="13">
        <f t="shared" si="16"/>
        <v>15737743.860762374</v>
      </c>
      <c r="U36" s="10" t="s">
        <v>51</v>
      </c>
      <c r="V36" s="11">
        <f>AVERAGE(H11,H23,H35)</f>
        <v>25239126.2736644</v>
      </c>
      <c r="W36" s="11">
        <f>STDEV(H11,H23,H35)</f>
        <v>27746860.803480629</v>
      </c>
      <c r="Y36" s="18">
        <f t="shared" si="19"/>
        <v>1.396819208238663E-4</v>
      </c>
      <c r="Z36" s="18">
        <f t="shared" si="20"/>
        <v>1.5356057780441988E-4</v>
      </c>
    </row>
    <row r="37" spans="1:26">
      <c r="B37" s="19"/>
      <c r="U37" s="10" t="s">
        <v>52</v>
      </c>
      <c r="V37" s="11">
        <f>AVERAGE(H12,H24,H36)</f>
        <v>29309906.272115096</v>
      </c>
      <c r="W37" s="11">
        <f>STDEV(H12,H24,H36)</f>
        <v>25085097.431456041</v>
      </c>
      <c r="Y37" s="18">
        <f t="shared" si="19"/>
        <v>1.622110037750573E-4</v>
      </c>
      <c r="Z37" s="18">
        <f t="shared" si="20"/>
        <v>1.3882947275143084E-4</v>
      </c>
    </row>
    <row r="38" spans="1:26">
      <c r="A38" s="14"/>
      <c r="B38" s="19" t="s">
        <v>71</v>
      </c>
      <c r="C38" s="14" t="s">
        <v>5</v>
      </c>
      <c r="D38" s="14" t="s">
        <v>6</v>
      </c>
      <c r="E38" s="14" t="s">
        <v>7</v>
      </c>
      <c r="F38" s="14" t="s">
        <v>8</v>
      </c>
      <c r="G38" s="14" t="s">
        <v>9</v>
      </c>
      <c r="H38" s="14" t="s">
        <v>10</v>
      </c>
      <c r="J38" s="10" t="s">
        <v>5</v>
      </c>
      <c r="K38" s="10" t="s">
        <v>1</v>
      </c>
    </row>
    <row r="39" spans="1:26">
      <c r="A39" s="14">
        <v>0</v>
      </c>
      <c r="B39" s="12">
        <v>581248.74</v>
      </c>
      <c r="C39" s="12">
        <f t="shared" ref="C39:C46" si="21">(B39-$K$46)/$K$45</f>
        <v>0.58730504000000006</v>
      </c>
      <c r="D39" s="12">
        <f t="shared" ref="D39:D46" si="22">C39/$T$12*AI3</f>
        <v>21.612825472000001</v>
      </c>
      <c r="E39" s="12">
        <f t="shared" ref="E39:E46" si="23">D39/$T$13</f>
        <v>0.21612825472</v>
      </c>
      <c r="F39" s="12">
        <f t="shared" ref="F39:F46" si="24">E39/$T$14</f>
        <v>2.4014250524444445E-5</v>
      </c>
      <c r="G39" s="12">
        <f t="shared" ref="G39:G46" si="25">F39*$T$15*$T$16</f>
        <v>4339134927261.8667</v>
      </c>
      <c r="H39" s="12">
        <f>G39/1000000</f>
        <v>4339134.9272618666</v>
      </c>
      <c r="J39" s="10">
        <v>2.1</v>
      </c>
      <c r="K39" s="18">
        <v>2811926.81</v>
      </c>
    </row>
    <row r="40" spans="1:26">
      <c r="A40" s="14">
        <v>4</v>
      </c>
      <c r="B40" s="12">
        <v>322103.36</v>
      </c>
      <c r="C40" s="12">
        <f t="shared" si="21"/>
        <v>0.32815965999999996</v>
      </c>
      <c r="D40" s="12">
        <f t="shared" si="22"/>
        <v>10.789889620799974</v>
      </c>
      <c r="E40" s="12">
        <f t="shared" si="23"/>
        <v>0.10789889620799974</v>
      </c>
      <c r="F40" s="12">
        <f t="shared" si="24"/>
        <v>1.1988766245333305E-5</v>
      </c>
      <c r="G40" s="12">
        <f t="shared" si="25"/>
        <v>2166250172869.2747</v>
      </c>
      <c r="H40" s="12">
        <f t="shared" ref="H40:H46" si="26">G40/1000000</f>
        <v>2166250.1728692749</v>
      </c>
      <c r="J40" s="10">
        <v>0.75</v>
      </c>
      <c r="K40" s="18">
        <v>787792.34</v>
      </c>
    </row>
    <row r="41" spans="1:26">
      <c r="A41" s="14">
        <v>8</v>
      </c>
      <c r="B41" s="12">
        <v>607101.35</v>
      </c>
      <c r="C41" s="12">
        <f t="shared" si="21"/>
        <v>0.61315765</v>
      </c>
      <c r="D41" s="12">
        <f t="shared" si="22"/>
        <v>22.171780624000021</v>
      </c>
      <c r="E41" s="12">
        <f t="shared" si="23"/>
        <v>0.2217178062400002</v>
      </c>
      <c r="F41" s="12">
        <f t="shared" si="24"/>
        <v>2.4635311804444467E-5</v>
      </c>
      <c r="G41" s="12">
        <f t="shared" si="25"/>
        <v>4451354489945.0703</v>
      </c>
      <c r="H41" s="12">
        <f t="shared" si="26"/>
        <v>4451354.4899450699</v>
      </c>
      <c r="J41" s="10">
        <v>0.32500000000000001</v>
      </c>
      <c r="K41" s="18">
        <v>571743.21</v>
      </c>
    </row>
    <row r="42" spans="1:26">
      <c r="A42" s="14">
        <v>12</v>
      </c>
      <c r="B42" s="12">
        <v>1740079.45</v>
      </c>
      <c r="C42" s="12">
        <f t="shared" si="21"/>
        <v>1.7461357500000001</v>
      </c>
      <c r="D42" s="12">
        <f t="shared" si="22"/>
        <v>57.692325180000005</v>
      </c>
      <c r="E42" s="12">
        <f t="shared" si="23"/>
        <v>0.57692325180000004</v>
      </c>
      <c r="F42" s="12">
        <f t="shared" si="24"/>
        <v>6.4102583533333338E-5</v>
      </c>
      <c r="G42" s="12">
        <f t="shared" si="25"/>
        <v>11582695818638.002</v>
      </c>
      <c r="H42" s="12">
        <f t="shared" si="26"/>
        <v>11582695.818638002</v>
      </c>
    </row>
    <row r="43" spans="1:26">
      <c r="A43" s="1">
        <v>24</v>
      </c>
      <c r="B43" s="3">
        <v>2066466.22</v>
      </c>
      <c r="C43" s="3">
        <f t="shared" si="21"/>
        <v>2.0725225200000001</v>
      </c>
      <c r="D43" s="3">
        <f t="shared" si="22"/>
        <v>79.916468371199898</v>
      </c>
      <c r="E43" s="3">
        <f t="shared" si="23"/>
        <v>0.799164683711999</v>
      </c>
      <c r="F43" s="3">
        <f t="shared" si="24"/>
        <v>8.8796075967999884E-5</v>
      </c>
      <c r="G43" s="3">
        <f t="shared" si="25"/>
        <v>16044562966657.898</v>
      </c>
      <c r="H43" s="3">
        <f t="shared" si="26"/>
        <v>16044562.966657899</v>
      </c>
      <c r="J43" s="14">
        <v>1.5</v>
      </c>
      <c r="K43" s="14">
        <v>1364973.81</v>
      </c>
    </row>
    <row r="44" spans="1:26">
      <c r="A44" s="14">
        <v>48</v>
      </c>
      <c r="B44" s="12">
        <v>3310305.29</v>
      </c>
      <c r="C44" s="12">
        <f t="shared" si="21"/>
        <v>3.3163615899999996</v>
      </c>
      <c r="D44" s="12">
        <f t="shared" si="22"/>
        <v>133.45039038160019</v>
      </c>
      <c r="E44" s="12">
        <f t="shared" si="23"/>
        <v>1.3345039038160018</v>
      </c>
      <c r="F44" s="12">
        <f t="shared" si="24"/>
        <v>1.4827821153511132E-4</v>
      </c>
      <c r="G44" s="12">
        <f t="shared" si="25"/>
        <v>26792390042279.266</v>
      </c>
      <c r="H44" s="12">
        <f t="shared" si="26"/>
        <v>26792390.042279266</v>
      </c>
    </row>
    <row r="45" spans="1:26">
      <c r="A45" s="14">
        <v>72</v>
      </c>
      <c r="B45" s="12">
        <v>2603616.19</v>
      </c>
      <c r="C45" s="12">
        <f t="shared" si="21"/>
        <v>2.6096724899999999</v>
      </c>
      <c r="D45" s="12">
        <f t="shared" si="22"/>
        <v>119.4186131424001</v>
      </c>
      <c r="E45" s="12">
        <f t="shared" si="23"/>
        <v>1.194186131424001</v>
      </c>
      <c r="F45" s="12">
        <f t="shared" si="24"/>
        <v>1.3268734793600012E-4</v>
      </c>
      <c r="G45" s="12">
        <f t="shared" si="25"/>
        <v>23975276898555.863</v>
      </c>
      <c r="H45" s="12">
        <f t="shared" si="26"/>
        <v>23975276.898555864</v>
      </c>
      <c r="J45" s="15" t="s">
        <v>33</v>
      </c>
      <c r="K45" s="9">
        <v>1000000</v>
      </c>
    </row>
    <row r="46" spans="1:26">
      <c r="A46" s="14">
        <v>96</v>
      </c>
      <c r="B46" s="12">
        <v>4395510.78</v>
      </c>
      <c r="C46" s="12">
        <f t="shared" si="21"/>
        <v>4.4015670800000004</v>
      </c>
      <c r="D46" s="12">
        <f t="shared" si="22"/>
        <v>222.89535693119987</v>
      </c>
      <c r="E46" s="12">
        <f t="shared" si="23"/>
        <v>2.2289535693119986</v>
      </c>
      <c r="F46" s="12">
        <f t="shared" si="24"/>
        <v>2.4766150770133316E-4</v>
      </c>
      <c r="G46" s="12">
        <f t="shared" si="25"/>
        <v>44749957826553.891</v>
      </c>
      <c r="H46" s="12">
        <f t="shared" si="26"/>
        <v>44749957.826553889</v>
      </c>
      <c r="J46" s="15" t="s">
        <v>38</v>
      </c>
      <c r="K46" s="9">
        <v>-6056.3</v>
      </c>
    </row>
    <row r="49" spans="1:26">
      <c r="S49" s="8" t="s">
        <v>53</v>
      </c>
      <c r="T49" s="8">
        <v>5</v>
      </c>
    </row>
    <row r="50" spans="1:26">
      <c r="A50" s="14"/>
      <c r="B50" s="14" t="s">
        <v>77</v>
      </c>
      <c r="C50" s="14" t="s">
        <v>78</v>
      </c>
      <c r="D50" s="14" t="s">
        <v>79</v>
      </c>
      <c r="E50" s="14" t="s">
        <v>7</v>
      </c>
      <c r="F50" s="14" t="s">
        <v>8</v>
      </c>
      <c r="G50" s="14" t="s">
        <v>9</v>
      </c>
      <c r="H50" s="14" t="s">
        <v>10</v>
      </c>
      <c r="J50" s="10" t="s">
        <v>78</v>
      </c>
      <c r="K50" s="10" t="s">
        <v>1</v>
      </c>
      <c r="S50" s="8" t="s">
        <v>54</v>
      </c>
      <c r="T50" s="8">
        <v>100</v>
      </c>
    </row>
    <row r="51" spans="1:26">
      <c r="A51" s="1">
        <v>0</v>
      </c>
      <c r="B51" s="13">
        <v>44944.06</v>
      </c>
      <c r="C51" s="13">
        <f t="shared" ref="C51:C58" si="27">(B51-$K$56)/$K$57</f>
        <v>0.50083321187579033</v>
      </c>
      <c r="D51" s="13">
        <f t="shared" ref="D51:D58" si="28">C51/$T$12*W3</f>
        <v>18.791262109579691</v>
      </c>
      <c r="E51" s="13">
        <f t="shared" ref="E51:E63" si="29">D51/$T$13</f>
        <v>0.1879126210957969</v>
      </c>
      <c r="F51" s="2">
        <f>E51/$T$51</f>
        <v>4.9450689762051814E-6</v>
      </c>
      <c r="G51" s="13">
        <f>F51*$T$52*$T$53</f>
        <v>1471337031917.9802</v>
      </c>
      <c r="H51" s="2">
        <f>G51/1000000</f>
        <v>1471337.0319179802</v>
      </c>
      <c r="J51" s="10">
        <v>10</v>
      </c>
      <c r="K51" s="18">
        <v>7085905.0999999996</v>
      </c>
      <c r="S51" s="8" t="s">
        <v>80</v>
      </c>
      <c r="T51" s="8">
        <v>38000</v>
      </c>
    </row>
    <row r="52" spans="1:26">
      <c r="A52" s="1">
        <v>4</v>
      </c>
      <c r="B52" s="13">
        <v>526734.86</v>
      </c>
      <c r="C52" s="13">
        <f t="shared" si="27"/>
        <v>1.1334507991906331</v>
      </c>
      <c r="D52" s="13">
        <f t="shared" si="28"/>
        <v>42.617750049567803</v>
      </c>
      <c r="E52" s="13">
        <f t="shared" si="29"/>
        <v>0.42617750049567804</v>
      </c>
      <c r="F52" s="2">
        <f t="shared" ref="F52:F63" si="30">E52/$T$51</f>
        <v>1.1215197381465212E-5</v>
      </c>
      <c r="G52" s="13">
        <f t="shared" ref="G52:G63" si="31">F52*$T$52*$T$53</f>
        <v>3336927211131.1094</v>
      </c>
      <c r="H52" s="2">
        <f t="shared" ref="H52:H63" si="32">G52/1000000</f>
        <v>3336927.2111311094</v>
      </c>
      <c r="J52" s="10">
        <v>5</v>
      </c>
      <c r="K52" s="18">
        <v>4014536.37</v>
      </c>
      <c r="S52" s="8" t="s">
        <v>57</v>
      </c>
      <c r="T52" s="8">
        <v>602300000000000</v>
      </c>
    </row>
    <row r="53" spans="1:26">
      <c r="A53" s="1">
        <v>8</v>
      </c>
      <c r="B53" s="13">
        <v>953274.27</v>
      </c>
      <c r="C53" s="13">
        <f t="shared" si="27"/>
        <v>1.6935202991663416</v>
      </c>
      <c r="D53" s="13">
        <f t="shared" si="28"/>
        <v>56.902282051989083</v>
      </c>
      <c r="E53" s="13">
        <f t="shared" si="29"/>
        <v>0.56902282051989084</v>
      </c>
      <c r="F53" s="2">
        <f t="shared" si="30"/>
        <v>1.4974284750523443E-5</v>
      </c>
      <c r="G53" s="13">
        <f t="shared" si="31"/>
        <v>4455391782388.6924</v>
      </c>
      <c r="H53" s="2">
        <f t="shared" si="32"/>
        <v>4455391.7823886927</v>
      </c>
      <c r="J53" s="10">
        <v>2.5</v>
      </c>
      <c r="K53" s="18">
        <v>1292281.25</v>
      </c>
      <c r="S53" s="8" t="s">
        <v>58</v>
      </c>
      <c r="T53" s="8">
        <f>19*26</f>
        <v>494</v>
      </c>
    </row>
    <row r="54" spans="1:26">
      <c r="A54" s="1">
        <v>12</v>
      </c>
      <c r="B54" s="13">
        <v>3797997.5</v>
      </c>
      <c r="C54" s="13">
        <f t="shared" si="27"/>
        <v>5.4287969925799286</v>
      </c>
      <c r="D54" s="13">
        <f t="shared" si="28"/>
        <v>141.14872180707815</v>
      </c>
      <c r="E54" s="13">
        <f t="shared" si="29"/>
        <v>1.4114872180707814</v>
      </c>
      <c r="F54" s="2">
        <f t="shared" si="30"/>
        <v>3.7144400475546878E-5</v>
      </c>
      <c r="G54" s="13">
        <f t="shared" si="31"/>
        <v>11051803768772.412</v>
      </c>
      <c r="H54" s="2">
        <f t="shared" si="32"/>
        <v>11051803.768772412</v>
      </c>
      <c r="J54" s="10">
        <v>1.25</v>
      </c>
      <c r="K54" s="18">
        <v>541033.91</v>
      </c>
    </row>
    <row r="55" spans="1:26">
      <c r="A55" s="14">
        <v>24</v>
      </c>
      <c r="B55" s="13">
        <v>7114432.120000001</v>
      </c>
      <c r="C55" s="13">
        <f t="shared" si="27"/>
        <v>9.7834564584556123</v>
      </c>
      <c r="D55" s="13">
        <f t="shared" si="28"/>
        <v>381.16346362143105</v>
      </c>
      <c r="E55" s="13">
        <f t="shared" si="29"/>
        <v>3.8116346362143103</v>
      </c>
      <c r="F55" s="13">
        <f t="shared" si="30"/>
        <v>1.0030617463721869E-4</v>
      </c>
      <c r="G55" s="13">
        <f t="shared" si="31"/>
        <v>29844718038094.43</v>
      </c>
      <c r="H55" s="13">
        <f t="shared" si="32"/>
        <v>29844718.038094431</v>
      </c>
    </row>
    <row r="56" spans="1:26">
      <c r="A56" s="14">
        <v>48</v>
      </c>
      <c r="B56" s="13">
        <v>9534927.7100000009</v>
      </c>
      <c r="C56" s="13">
        <f t="shared" si="27"/>
        <v>12.961699131939659</v>
      </c>
      <c r="D56" s="13">
        <f t="shared" si="28"/>
        <v>634.60478949976618</v>
      </c>
      <c r="E56" s="13">
        <f t="shared" si="29"/>
        <v>6.3460478949976622</v>
      </c>
      <c r="F56" s="13">
        <f t="shared" si="30"/>
        <v>1.6700126039467531E-4</v>
      </c>
      <c r="G56" s="13">
        <f t="shared" si="31"/>
        <v>49688920413042.188</v>
      </c>
      <c r="H56" s="13">
        <f t="shared" si="32"/>
        <v>49688920.413042188</v>
      </c>
      <c r="J56" s="18" t="s">
        <v>33</v>
      </c>
      <c r="K56" s="10">
        <v>-336482</v>
      </c>
      <c r="U56" s="14"/>
      <c r="V56" s="14" t="s">
        <v>58</v>
      </c>
      <c r="W56" s="14" t="s">
        <v>61</v>
      </c>
      <c r="X56" s="14"/>
      <c r="Y56" s="14" t="s">
        <v>8</v>
      </c>
      <c r="Z56" s="14"/>
    </row>
    <row r="57" spans="1:26">
      <c r="A57" s="14">
        <v>752</v>
      </c>
      <c r="B57" s="13">
        <v>13270103.5</v>
      </c>
      <c r="C57" s="13">
        <f t="shared" si="27"/>
        <v>17.866188583516177</v>
      </c>
      <c r="D57" s="13">
        <f t="shared" si="28"/>
        <v>881.87506848235751</v>
      </c>
      <c r="E57" s="13">
        <f t="shared" si="29"/>
        <v>8.8187506848235753</v>
      </c>
      <c r="F57" s="13">
        <f t="shared" si="30"/>
        <v>2.3207238644272566E-4</v>
      </c>
      <c r="G57" s="13">
        <f t="shared" si="31"/>
        <v>69049935987100.117</v>
      </c>
      <c r="H57" s="13">
        <f t="shared" si="32"/>
        <v>69049935.987100124</v>
      </c>
      <c r="J57" s="18" t="s">
        <v>38</v>
      </c>
      <c r="K57" s="10">
        <v>761583</v>
      </c>
      <c r="U57" s="1">
        <v>0</v>
      </c>
      <c r="V57" s="2">
        <f t="shared" ref="V57:V69" si="33">AVERAGE(H51,H81,H96)</f>
        <v>2040031.1452479642</v>
      </c>
      <c r="W57" s="2">
        <f t="shared" ref="W57:W69" si="34">STDEV(H51,H81,H96)</f>
        <v>537964.9953598954</v>
      </c>
      <c r="X57" s="14"/>
      <c r="Y57" s="2">
        <f>AVERAGE(F51,F81,F96)</f>
        <v>6.8564132540778704E-6</v>
      </c>
      <c r="Z57" s="20">
        <f>STDEV(F51,F81,F96)</f>
        <v>1.8080656920398143E-6</v>
      </c>
    </row>
    <row r="58" spans="1:26">
      <c r="A58" s="14">
        <v>96</v>
      </c>
      <c r="B58" s="13">
        <v>15887782.5</v>
      </c>
      <c r="C58" s="13">
        <f t="shared" si="27"/>
        <v>21.303343824638944</v>
      </c>
      <c r="D58" s="13">
        <f t="shared" si="28"/>
        <v>1269.679291948481</v>
      </c>
      <c r="E58" s="13">
        <f t="shared" si="29"/>
        <v>12.69679291948481</v>
      </c>
      <c r="F58" s="13">
        <f t="shared" si="30"/>
        <v>3.3412612946012661E-4</v>
      </c>
      <c r="G58" s="13">
        <f t="shared" si="31"/>
        <v>99414618880274.125</v>
      </c>
      <c r="H58" s="13">
        <f t="shared" si="32"/>
        <v>99414618.880274132</v>
      </c>
      <c r="U58" s="1">
        <v>4</v>
      </c>
      <c r="V58" s="2">
        <f t="shared" si="33"/>
        <v>2735888.7498963228</v>
      </c>
      <c r="W58" s="2">
        <f t="shared" si="34"/>
        <v>530286.69130567287</v>
      </c>
      <c r="X58" s="14"/>
      <c r="Y58" s="2">
        <f t="shared" ref="Y58:Y69" si="35">AVERAGE(F52,F82,F97)</f>
        <v>9.1951458340071654E-6</v>
      </c>
      <c r="Z58" s="20">
        <f t="shared" ref="Z58:Z69" si="36">STDEV(F52,F82,F97)</f>
        <v>1.7822594067736085E-6</v>
      </c>
    </row>
    <row r="59" spans="1:26">
      <c r="A59" s="1" t="s">
        <v>72</v>
      </c>
      <c r="B59" s="13">
        <v>4017360.0999999996</v>
      </c>
      <c r="C59" s="13">
        <f>(B59-$K$56)/$K$57*2</f>
        <v>11.433664091766753</v>
      </c>
      <c r="D59" s="13">
        <f>C59/$T$12*W7</f>
        <v>445.45555301523314</v>
      </c>
      <c r="E59" s="13">
        <f t="shared" si="29"/>
        <v>4.454555530152331</v>
      </c>
      <c r="F59" s="2">
        <f t="shared" si="30"/>
        <v>1.172251455303245E-4</v>
      </c>
      <c r="G59" s="13">
        <f t="shared" si="31"/>
        <v>34878724345539.734</v>
      </c>
      <c r="H59" s="2">
        <f t="shared" si="32"/>
        <v>34878724.345539734</v>
      </c>
      <c r="U59" s="1">
        <v>8</v>
      </c>
      <c r="V59" s="2">
        <f t="shared" si="33"/>
        <v>4401938.3113197768</v>
      </c>
      <c r="W59" s="2">
        <f t="shared" si="34"/>
        <v>212172.05029168192</v>
      </c>
      <c r="X59" s="14"/>
      <c r="Y59" s="2">
        <f t="shared" si="35"/>
        <v>1.4794631077898341E-5</v>
      </c>
      <c r="Z59" s="20">
        <f t="shared" si="36"/>
        <v>7.1309659225224263E-7</v>
      </c>
    </row>
    <row r="60" spans="1:26">
      <c r="A60" s="1" t="s">
        <v>73</v>
      </c>
      <c r="B60" s="13">
        <v>6080431</v>
      </c>
      <c r="C60" s="13">
        <f>(B60-$K$56)/$K$57*2</f>
        <v>16.851513229680808</v>
      </c>
      <c r="D60" s="13">
        <f>C60/$T$12*W8</f>
        <v>825.05008772517294</v>
      </c>
      <c r="E60" s="13">
        <f t="shared" si="29"/>
        <v>8.2505008772517296</v>
      </c>
      <c r="F60" s="2">
        <f t="shared" si="30"/>
        <v>2.1711844413820341E-4</v>
      </c>
      <c r="G60" s="13">
        <f t="shared" si="31"/>
        <v>64600596818793.312</v>
      </c>
      <c r="H60" s="2">
        <f t="shared" si="32"/>
        <v>64600596.818793312</v>
      </c>
      <c r="U60" s="1">
        <v>12</v>
      </c>
      <c r="V60" s="2">
        <f t="shared" si="33"/>
        <v>9912968.1658575721</v>
      </c>
      <c r="W60" s="2">
        <f t="shared" si="34"/>
        <v>1288628.4621808787</v>
      </c>
      <c r="X60" s="14"/>
      <c r="Y60" s="2">
        <f t="shared" si="35"/>
        <v>3.331684738145332E-5</v>
      </c>
      <c r="Z60" s="20">
        <f t="shared" si="36"/>
        <v>4.3309972439685864E-6</v>
      </c>
    </row>
    <row r="61" spans="1:26">
      <c r="A61" s="1" t="s">
        <v>74</v>
      </c>
      <c r="B61" s="13">
        <v>7010123.75</v>
      </c>
      <c r="C61" s="13">
        <f>(B61-$K$56)/$K$57*3</f>
        <v>28.939481645467403</v>
      </c>
      <c r="D61" s="13">
        <f>C61/$T$12*W9</f>
        <v>1428.4528140202694</v>
      </c>
      <c r="E61" s="13">
        <f t="shared" si="29"/>
        <v>14.284528140202694</v>
      </c>
      <c r="F61" s="2">
        <f t="shared" si="30"/>
        <v>3.7590863526849194E-4</v>
      </c>
      <c r="G61" s="13">
        <f t="shared" si="31"/>
        <v>111846426884973.08</v>
      </c>
      <c r="H61" s="2">
        <f t="shared" si="32"/>
        <v>111846426.88497308</v>
      </c>
      <c r="U61" s="14">
        <v>24</v>
      </c>
      <c r="V61" s="13">
        <f t="shared" si="33"/>
        <v>25511803.887423102</v>
      </c>
      <c r="W61" s="13">
        <f t="shared" si="34"/>
        <v>5274262.7499841154</v>
      </c>
      <c r="X61" s="14"/>
      <c r="Y61" s="13">
        <f t="shared" si="35"/>
        <v>8.5743529316510391E-5</v>
      </c>
      <c r="Z61" s="19">
        <f t="shared" si="36"/>
        <v>1.7726457318417475E-5</v>
      </c>
    </row>
    <row r="62" spans="1:26">
      <c r="A62" s="14" t="s">
        <v>75</v>
      </c>
      <c r="B62" s="13">
        <v>7415812.5</v>
      </c>
      <c r="C62" s="13">
        <f>(B62-$K$56)/$K$57*4</f>
        <v>40.716741313816094</v>
      </c>
      <c r="D62" s="13">
        <f>C62/$T$12*W10</f>
        <v>2426.717782303439</v>
      </c>
      <c r="E62" s="13">
        <f t="shared" si="29"/>
        <v>24.267177823034391</v>
      </c>
      <c r="F62" s="13">
        <f t="shared" si="30"/>
        <v>6.3860994271143132E-4</v>
      </c>
      <c r="G62" s="13">
        <f t="shared" si="31"/>
        <v>190009575636576.97</v>
      </c>
      <c r="H62" s="13">
        <f t="shared" si="32"/>
        <v>190009575.63657698</v>
      </c>
      <c r="U62" s="14">
        <v>48</v>
      </c>
      <c r="V62" s="13">
        <f t="shared" si="33"/>
        <v>53174251.885134339</v>
      </c>
      <c r="W62" s="13">
        <f t="shared" si="34"/>
        <v>18514796.565864734</v>
      </c>
      <c r="X62" s="14"/>
      <c r="Y62" s="13">
        <f t="shared" si="35"/>
        <v>1.787152349365702E-4</v>
      </c>
      <c r="Z62" s="19">
        <f t="shared" si="36"/>
        <v>6.2227038477552469E-5</v>
      </c>
    </row>
    <row r="63" spans="1:26">
      <c r="A63" s="1" t="s">
        <v>76</v>
      </c>
      <c r="B63" s="13">
        <v>4480336.97</v>
      </c>
      <c r="C63" s="13">
        <f>(B63-$K$56)/$K$57*8</f>
        <v>50.597967339081883</v>
      </c>
      <c r="D63" s="13">
        <f>C63/$T$12*W10</f>
        <v>3015.6388534092798</v>
      </c>
      <c r="E63" s="13">
        <f t="shared" si="29"/>
        <v>30.156388534092798</v>
      </c>
      <c r="F63" s="2">
        <f t="shared" si="30"/>
        <v>7.9358917194981044E-4</v>
      </c>
      <c r="G63" s="13">
        <f t="shared" si="31"/>
        <v>236121506583093.19</v>
      </c>
      <c r="H63" s="2">
        <f t="shared" si="32"/>
        <v>236121506.5830932</v>
      </c>
      <c r="U63" s="14">
        <v>72</v>
      </c>
      <c r="V63" s="13">
        <f t="shared" si="33"/>
        <v>85083751.955984294</v>
      </c>
      <c r="W63" s="13">
        <f t="shared" si="34"/>
        <v>16139102.93766943</v>
      </c>
      <c r="X63" s="14"/>
      <c r="Y63" s="13">
        <f t="shared" si="35"/>
        <v>2.8596100896625113E-4</v>
      </c>
      <c r="Z63" s="19">
        <f t="shared" si="36"/>
        <v>5.4242485242701259E-5</v>
      </c>
    </row>
    <row r="64" spans="1:26">
      <c r="U64" s="14">
        <v>96</v>
      </c>
      <c r="V64" s="13">
        <f t="shared" si="33"/>
        <v>112291159.561876</v>
      </c>
      <c r="W64" s="13">
        <f t="shared" si="34"/>
        <v>22612865.4748425</v>
      </c>
      <c r="X64" s="14"/>
      <c r="Y64" s="13">
        <f t="shared" si="35"/>
        <v>3.7740335314451152E-4</v>
      </c>
      <c r="Z64" s="19">
        <f t="shared" si="36"/>
        <v>7.6000384070384007E-5</v>
      </c>
    </row>
    <row r="65" spans="1:26">
      <c r="B65" s="14" t="s">
        <v>55</v>
      </c>
      <c r="C65" s="14" t="s">
        <v>78</v>
      </c>
      <c r="D65" s="14" t="s">
        <v>79</v>
      </c>
      <c r="E65" s="14" t="s">
        <v>7</v>
      </c>
      <c r="F65" s="14" t="s">
        <v>8</v>
      </c>
      <c r="G65" s="14" t="s">
        <v>9</v>
      </c>
      <c r="H65" s="14" t="s">
        <v>10</v>
      </c>
      <c r="J65" s="10" t="s">
        <v>78</v>
      </c>
      <c r="K65" s="10" t="s">
        <v>1</v>
      </c>
      <c r="U65" s="1" t="s">
        <v>81</v>
      </c>
      <c r="V65" s="2">
        <f t="shared" si="33"/>
        <v>27540269.050655108</v>
      </c>
      <c r="W65" s="2">
        <f t="shared" si="34"/>
        <v>6418139.6033118311</v>
      </c>
      <c r="X65" s="14"/>
      <c r="Y65" s="2">
        <f t="shared" si="35"/>
        <v>9.2561070050148892E-5</v>
      </c>
      <c r="Z65" s="20">
        <f t="shared" si="36"/>
        <v>2.1570953730375709E-5</v>
      </c>
    </row>
    <row r="66" spans="1:26">
      <c r="A66" s="14">
        <v>0</v>
      </c>
      <c r="B66" s="13">
        <v>8632.85</v>
      </c>
      <c r="C66" s="13">
        <f t="shared" ref="C66:C73" si="37">(B66-$K$73)/$K$72</f>
        <v>-1.0022607486512043</v>
      </c>
      <c r="D66" s="13">
        <f>C66/$T$49*AA3</f>
        <v>-39.849887366371924</v>
      </c>
      <c r="E66" s="13">
        <f>D66/$T$50</f>
        <v>-0.39849887366371922</v>
      </c>
      <c r="F66" s="13">
        <f>E66/$T$51</f>
        <v>-1.0486812464834716E-5</v>
      </c>
      <c r="G66" s="13">
        <f>F66*$T$52*$T$53</f>
        <v>-3120206330899.5547</v>
      </c>
      <c r="H66" s="13">
        <f>G66/1000000</f>
        <v>-3120206.3308995548</v>
      </c>
      <c r="J66" s="10">
        <v>10</v>
      </c>
      <c r="K66" s="18">
        <v>4905676.7999999998</v>
      </c>
      <c r="U66" s="1" t="s">
        <v>73</v>
      </c>
      <c r="V66" s="2">
        <f t="shared" si="33"/>
        <v>60597071.681532331</v>
      </c>
      <c r="W66" s="2">
        <f t="shared" si="34"/>
        <v>18493295.642370563</v>
      </c>
      <c r="X66" s="14"/>
      <c r="Y66" s="2">
        <f t="shared" si="35"/>
        <v>2.0366285407131079E-4</v>
      </c>
      <c r="Z66" s="20">
        <f t="shared" si="36"/>
        <v>6.2154775258844454E-5</v>
      </c>
    </row>
    <row r="67" spans="1:26">
      <c r="A67" s="14">
        <v>4</v>
      </c>
      <c r="B67" s="13">
        <v>140124.35999999999</v>
      </c>
      <c r="C67" s="13">
        <f t="shared" si="37"/>
        <v>-0.70971609099504984</v>
      </c>
      <c r="D67" s="13">
        <f t="shared" ref="D67:D73" si="38">C67/$T$49*AA4</f>
        <v>-27.480207043328381</v>
      </c>
      <c r="E67" s="13">
        <f t="shared" ref="E67:E78" si="39">D67/$T$50</f>
        <v>-0.27480207043328381</v>
      </c>
      <c r="F67" s="13">
        <f t="shared" ref="F67:F78" si="40">E67/$T$51</f>
        <v>-7.2316334324548369E-6</v>
      </c>
      <c r="G67" s="13">
        <f t="shared" ref="G67:G78" si="41">F67*$T$52*$T$53</f>
        <v>-2151672731285.5686</v>
      </c>
      <c r="H67" s="13">
        <f t="shared" ref="H67:H78" si="42">G67/1000000</f>
        <v>-2151672.7312855688</v>
      </c>
      <c r="J67" s="10">
        <v>5</v>
      </c>
      <c r="K67" s="18">
        <v>4000645.51</v>
      </c>
      <c r="U67" s="1" t="s">
        <v>74</v>
      </c>
      <c r="V67" s="2">
        <f t="shared" si="33"/>
        <v>114756424.62535264</v>
      </c>
      <c r="W67" s="2">
        <f t="shared" si="34"/>
        <v>11894097.386675008</v>
      </c>
      <c r="X67" s="14"/>
      <c r="Y67" s="2">
        <f t="shared" si="35"/>
        <v>3.856889502028749E-4</v>
      </c>
      <c r="Z67" s="20">
        <f t="shared" si="36"/>
        <v>3.9975295062163873E-5</v>
      </c>
    </row>
    <row r="68" spans="1:26">
      <c r="A68" s="14">
        <v>8</v>
      </c>
      <c r="B68" s="13">
        <v>410095.32</v>
      </c>
      <c r="C68" s="13">
        <f t="shared" si="37"/>
        <v>-0.1090798820846543</v>
      </c>
      <c r="D68" s="13">
        <f t="shared" si="38"/>
        <v>-3.1851325568719053</v>
      </c>
      <c r="E68" s="13">
        <f t="shared" si="39"/>
        <v>-3.1851325568719051E-2</v>
      </c>
      <c r="F68" s="13">
        <f t="shared" si="40"/>
        <v>-8.3819277812418555E-7</v>
      </c>
      <c r="G68" s="13">
        <f t="shared" si="41"/>
        <v>-249392694070.51328</v>
      </c>
      <c r="H68" s="13">
        <f t="shared" si="42"/>
        <v>-249392.69407051327</v>
      </c>
      <c r="J68" s="10">
        <v>2.5</v>
      </c>
      <c r="K68" s="18">
        <v>1920178.46</v>
      </c>
      <c r="U68" s="14" t="s">
        <v>75</v>
      </c>
      <c r="V68" s="13">
        <f t="shared" si="33"/>
        <v>164848082.54797927</v>
      </c>
      <c r="W68" s="13">
        <f t="shared" si="34"/>
        <v>41066029.028716281</v>
      </c>
      <c r="X68" s="14"/>
      <c r="Y68" s="13">
        <f t="shared" si="35"/>
        <v>5.5404378542167068E-4</v>
      </c>
      <c r="Z68" s="19">
        <f t="shared" si="36"/>
        <v>1.3802027796522325E-4</v>
      </c>
    </row>
    <row r="69" spans="1:26">
      <c r="A69" s="14">
        <v>12</v>
      </c>
      <c r="B69" s="13">
        <v>2049281.02</v>
      </c>
      <c r="C69" s="13">
        <f t="shared" si="37"/>
        <v>3.537809711329885</v>
      </c>
      <c r="D69" s="13">
        <f t="shared" si="38"/>
        <v>103.58706834773903</v>
      </c>
      <c r="E69" s="13">
        <f t="shared" si="39"/>
        <v>1.0358706834773903</v>
      </c>
      <c r="F69" s="13">
        <f t="shared" si="40"/>
        <v>2.7259754828352378E-5</v>
      </c>
      <c r="G69" s="13">
        <f t="shared" si="41"/>
        <v>8110763864559.6182</v>
      </c>
      <c r="H69" s="13">
        <f t="shared" si="42"/>
        <v>8110763.8645596178</v>
      </c>
      <c r="J69" s="10">
        <v>1.25</v>
      </c>
      <c r="K69" s="18">
        <v>731795.51</v>
      </c>
      <c r="U69" s="1" t="s">
        <v>76</v>
      </c>
      <c r="V69" s="2">
        <f t="shared" si="33"/>
        <v>182999991.60629615</v>
      </c>
      <c r="W69" s="2">
        <f t="shared" si="34"/>
        <v>51668670.630064093</v>
      </c>
      <c r="X69" s="14"/>
      <c r="Y69" s="2">
        <f t="shared" si="35"/>
        <v>6.1505118236468751E-4</v>
      </c>
      <c r="Z69" s="20">
        <f t="shared" si="36"/>
        <v>1.736550733324684E-4</v>
      </c>
    </row>
    <row r="70" spans="1:26">
      <c r="A70" s="14">
        <v>24</v>
      </c>
      <c r="B70" s="13">
        <v>2604629.6799999997</v>
      </c>
      <c r="C70" s="13">
        <f t="shared" si="37"/>
        <v>4.7733593192057393</v>
      </c>
      <c r="D70" s="13">
        <f t="shared" si="38"/>
        <v>192.46184775037531</v>
      </c>
      <c r="E70" s="13">
        <f t="shared" si="39"/>
        <v>1.9246184775037531</v>
      </c>
      <c r="F70" s="13">
        <f t="shared" si="40"/>
        <v>5.0647854671151402E-5</v>
      </c>
      <c r="G70" s="13">
        <f t="shared" si="41"/>
        <v>15069570217006.639</v>
      </c>
      <c r="H70" s="13">
        <f t="shared" si="42"/>
        <v>15069570.217006639</v>
      </c>
    </row>
    <row r="71" spans="1:26">
      <c r="A71" s="14">
        <v>48</v>
      </c>
      <c r="B71" s="13">
        <v>5156968</v>
      </c>
      <c r="C71" s="13">
        <f t="shared" si="37"/>
        <v>10.451847155014184</v>
      </c>
      <c r="D71" s="13">
        <f t="shared" si="38"/>
        <v>445.66676268980541</v>
      </c>
      <c r="E71" s="13">
        <f t="shared" si="39"/>
        <v>4.4566676268980538</v>
      </c>
      <c r="F71" s="13">
        <f t="shared" si="40"/>
        <v>1.17280727023633E-4</v>
      </c>
      <c r="G71" s="13">
        <f t="shared" si="41"/>
        <v>34895261851849.07</v>
      </c>
      <c r="H71" s="13">
        <f t="shared" si="42"/>
        <v>34895261.851849072</v>
      </c>
      <c r="Y71" s="25">
        <f>Y69*T52</f>
        <v>370445327138.25128</v>
      </c>
    </row>
    <row r="72" spans="1:26">
      <c r="A72" s="14">
        <v>72</v>
      </c>
      <c r="B72" s="13">
        <v>11438006.059999999</v>
      </c>
      <c r="C72" s="13">
        <f t="shared" si="37"/>
        <v>24.42601270370988</v>
      </c>
      <c r="D72" s="13">
        <f t="shared" si="38"/>
        <v>1190.0353389247471</v>
      </c>
      <c r="E72" s="13">
        <f t="shared" si="39"/>
        <v>11.900353389247471</v>
      </c>
      <c r="F72" s="13">
        <f t="shared" si="40"/>
        <v>3.1316719445388083E-4</v>
      </c>
      <c r="G72" s="13">
        <f t="shared" si="41"/>
        <v>93178577002468.781</v>
      </c>
      <c r="H72" s="13">
        <f t="shared" si="42"/>
        <v>93178577.00246878</v>
      </c>
      <c r="J72" s="10" t="s">
        <v>38</v>
      </c>
      <c r="K72" s="18">
        <v>449475</v>
      </c>
      <c r="Y72" s="25">
        <f>Y71*6</f>
        <v>2222671962829.5078</v>
      </c>
    </row>
    <row r="73" spans="1:26">
      <c r="A73" s="14">
        <v>96</v>
      </c>
      <c r="B73" s="13">
        <v>16215528.710000001</v>
      </c>
      <c r="C73" s="13">
        <f t="shared" si="37"/>
        <v>35.055130340953333</v>
      </c>
      <c r="D73" s="13">
        <f t="shared" si="38"/>
        <v>1786.4094421749799</v>
      </c>
      <c r="E73" s="13">
        <f t="shared" si="39"/>
        <v>17.864094421749797</v>
      </c>
      <c r="F73" s="13">
        <f t="shared" si="40"/>
        <v>4.7010774794078417E-4</v>
      </c>
      <c r="G73" s="13">
        <f t="shared" si="41"/>
        <v>139874072912858.75</v>
      </c>
      <c r="H73" s="13">
        <f t="shared" si="42"/>
        <v>139874072.91285875</v>
      </c>
      <c r="J73" s="10" t="s">
        <v>33</v>
      </c>
      <c r="K73" s="18">
        <v>459124</v>
      </c>
      <c r="Y73" s="25">
        <f>Y72/1000000</f>
        <v>2222671.9628295079</v>
      </c>
    </row>
    <row r="74" spans="1:26">
      <c r="A74" s="14" t="s">
        <v>81</v>
      </c>
      <c r="B74" s="13">
        <v>1328598.8700000001</v>
      </c>
      <c r="C74" s="13">
        <f>(B74-$K$73)/$K$72*2</f>
        <v>3.8688464097002062</v>
      </c>
      <c r="D74" s="13">
        <f>C74/$T$49*AA7</f>
        <v>155.99188723911223</v>
      </c>
      <c r="E74" s="13">
        <f t="shared" si="39"/>
        <v>1.5599188723911224</v>
      </c>
      <c r="F74" s="13">
        <f t="shared" si="40"/>
        <v>4.1050496641871639E-5</v>
      </c>
      <c r="G74" s="13">
        <f t="shared" si="41"/>
        <v>12214008778935.248</v>
      </c>
      <c r="H74" s="13">
        <f t="shared" si="42"/>
        <v>12214008.778935248</v>
      </c>
      <c r="Y74" s="25">
        <f>Y71*4/1000000</f>
        <v>1481781.3085530051</v>
      </c>
    </row>
    <row r="75" spans="1:26">
      <c r="A75" s="14" t="s">
        <v>73</v>
      </c>
      <c r="B75" s="13">
        <v>3092187.38</v>
      </c>
      <c r="C75" s="13">
        <f>(B75-$K$73)/$K$72*2</f>
        <v>11.716172779353689</v>
      </c>
      <c r="D75" s="13">
        <f t="shared" ref="D75:D77" si="43">C75/$T$49*AA8</f>
        <v>499.57760731164194</v>
      </c>
      <c r="E75" s="13">
        <f t="shared" si="39"/>
        <v>4.9957760731164198</v>
      </c>
      <c r="F75" s="13">
        <f t="shared" si="40"/>
        <v>1.3146779139780053E-4</v>
      </c>
      <c r="G75" s="13">
        <f t="shared" si="41"/>
        <v>39116427074894.258</v>
      </c>
      <c r="H75" s="13">
        <f t="shared" si="42"/>
        <v>39116427.074894257</v>
      </c>
    </row>
    <row r="76" spans="1:26">
      <c r="A76" s="14" t="s">
        <v>74</v>
      </c>
      <c r="B76" s="13">
        <v>5645393.25</v>
      </c>
      <c r="C76" s="13">
        <f>(B76-$K$73)/$K$72*3</f>
        <v>34.615513098615047</v>
      </c>
      <c r="D76" s="13">
        <f t="shared" si="43"/>
        <v>1686.4677981645275</v>
      </c>
      <c r="E76" s="13">
        <f t="shared" si="39"/>
        <v>16.864677981645276</v>
      </c>
      <c r="F76" s="13">
        <f t="shared" si="40"/>
        <v>4.4380731530645461E-4</v>
      </c>
      <c r="G76" s="13">
        <f t="shared" si="41"/>
        <v>132048742128484.34</v>
      </c>
      <c r="H76" s="13">
        <f t="shared" si="42"/>
        <v>132048742.12848434</v>
      </c>
    </row>
    <row r="77" spans="1:26">
      <c r="A77" s="14" t="s">
        <v>75</v>
      </c>
      <c r="B77" s="13">
        <v>5487663.2400000002</v>
      </c>
      <c r="C77" s="13">
        <f>(B77-$K$73)/$K$72*4</f>
        <v>44.750335302297124</v>
      </c>
      <c r="D77" s="13">
        <f t="shared" si="43"/>
        <v>2280.4770870050588</v>
      </c>
      <c r="E77" s="13">
        <f t="shared" si="39"/>
        <v>22.804770870050589</v>
      </c>
      <c r="F77" s="13">
        <f t="shared" si="40"/>
        <v>6.001255492118576E-4</v>
      </c>
      <c r="G77" s="13">
        <f t="shared" si="41"/>
        <v>178559075435409.09</v>
      </c>
      <c r="H77" s="13">
        <f t="shared" si="42"/>
        <v>178559075.4354091</v>
      </c>
    </row>
    <row r="78" spans="1:26">
      <c r="A78" s="14" t="s">
        <v>76</v>
      </c>
      <c r="B78" s="13">
        <v>2675435</v>
      </c>
      <c r="C78" s="13">
        <f>(B78-$K$73)/$K$72*8</f>
        <v>39.447106068190664</v>
      </c>
      <c r="D78" s="13">
        <f>C78/$T$49*AA10</f>
        <v>2010.224525234994</v>
      </c>
      <c r="E78" s="13">
        <f t="shared" si="39"/>
        <v>20.102245252349938</v>
      </c>
      <c r="F78" s="13">
        <f t="shared" si="40"/>
        <v>5.2900645400920886E-4</v>
      </c>
      <c r="G78" s="13">
        <f t="shared" si="41"/>
        <v>157398570101374.78</v>
      </c>
      <c r="H78" s="13">
        <f t="shared" si="42"/>
        <v>157398570.10137478</v>
      </c>
    </row>
    <row r="80" spans="1:26">
      <c r="B80" s="14" t="s">
        <v>70</v>
      </c>
      <c r="C80" s="14" t="s">
        <v>78</v>
      </c>
      <c r="D80" s="14" t="s">
        <v>79</v>
      </c>
      <c r="E80" s="14" t="s">
        <v>7</v>
      </c>
      <c r="F80" s="14" t="s">
        <v>8</v>
      </c>
      <c r="G80" s="14" t="s">
        <v>9</v>
      </c>
      <c r="H80" s="14" t="s">
        <v>10</v>
      </c>
      <c r="J80" s="9" t="s">
        <v>78</v>
      </c>
      <c r="K80" s="9" t="s">
        <v>1</v>
      </c>
    </row>
    <row r="81" spans="1:11">
      <c r="A81" s="1">
        <v>0</v>
      </c>
      <c r="B81" s="19">
        <v>39951</v>
      </c>
      <c r="C81" s="19">
        <f>(B81-$K$88)/$K$87</f>
        <v>0.80163560385300303</v>
      </c>
      <c r="D81" s="19">
        <f>C81/$T$49*AE3</f>
        <v>32.450209243969574</v>
      </c>
      <c r="E81" s="19">
        <f>D81/$T$50</f>
        <v>0.32450209243969574</v>
      </c>
      <c r="F81" s="20">
        <f>E81/$T$51</f>
        <v>8.5395287484130453E-6</v>
      </c>
      <c r="G81" s="19">
        <f>F81*$T$52*$T$53</f>
        <v>2540818933593.5732</v>
      </c>
      <c r="H81" s="20">
        <f>G81/1000000</f>
        <v>2540818.933593573</v>
      </c>
      <c r="J81" s="10" t="s">
        <v>83</v>
      </c>
      <c r="K81" s="10" t="s">
        <v>84</v>
      </c>
    </row>
    <row r="82" spans="1:11">
      <c r="A82" s="1">
        <v>4</v>
      </c>
      <c r="B82" s="19">
        <v>115434.68</v>
      </c>
      <c r="C82" s="19">
        <f t="shared" ref="C82:C88" si="44">(B82-$K$88)/$K$87</f>
        <v>0.9925749757163671</v>
      </c>
      <c r="D82" s="19">
        <f t="shared" ref="D82:D88" si="45">C82/$T$49*AE4</f>
        <v>32.397647207382185</v>
      </c>
      <c r="E82" s="19">
        <f t="shared" ref="E82:E93" si="46">D82/$T$50</f>
        <v>0.32397647207382185</v>
      </c>
      <c r="F82" s="20">
        <f t="shared" ref="F82:F93" si="47">E82/$T$51</f>
        <v>8.5256966335216278E-6</v>
      </c>
      <c r="G82" s="19">
        <f t="shared" ref="G82:G93" si="48">F82*$T$52*$T$53</f>
        <v>2536703378690.8179</v>
      </c>
      <c r="H82" s="20">
        <f t="shared" ref="H82:H93" si="49">G82/1000000</f>
        <v>2536703.3786908179</v>
      </c>
      <c r="J82" s="10">
        <v>8.3000000000000007</v>
      </c>
      <c r="K82" s="18">
        <v>3091093.78</v>
      </c>
    </row>
    <row r="83" spans="1:11">
      <c r="A83" s="1">
        <v>8</v>
      </c>
      <c r="B83" s="19">
        <v>295707.28999999998</v>
      </c>
      <c r="C83" s="19">
        <f t="shared" si="44"/>
        <v>1.4485826705925207</v>
      </c>
      <c r="D83" s="19">
        <f t="shared" si="45"/>
        <v>58.522739891937832</v>
      </c>
      <c r="E83" s="19">
        <f t="shared" si="46"/>
        <v>0.58522739891937836</v>
      </c>
      <c r="F83" s="20">
        <f t="shared" si="47"/>
        <v>1.5400721024194169E-5</v>
      </c>
      <c r="G83" s="19">
        <f t="shared" si="48"/>
        <v>4582272010798.8418</v>
      </c>
      <c r="H83" s="20">
        <f t="shared" si="49"/>
        <v>4582272.0107988417</v>
      </c>
      <c r="J83" s="10">
        <v>4.1500000000000004</v>
      </c>
      <c r="K83" s="18">
        <v>1138945.83</v>
      </c>
    </row>
    <row r="84" spans="1:11">
      <c r="A84" s="1">
        <v>12</v>
      </c>
      <c r="B84" s="19">
        <v>1002437.9299999999</v>
      </c>
      <c r="C84" s="19">
        <f t="shared" si="44"/>
        <v>3.2362896885624086</v>
      </c>
      <c r="D84" s="19">
        <f t="shared" si="45"/>
        <v>108.73933353569693</v>
      </c>
      <c r="E84" s="19">
        <f t="shared" si="46"/>
        <v>1.0873933353569694</v>
      </c>
      <c r="F84" s="20">
        <f t="shared" si="47"/>
        <v>2.86156140883413E-5</v>
      </c>
      <c r="G84" s="19">
        <f t="shared" si="48"/>
        <v>8514181076511.5352</v>
      </c>
      <c r="H84" s="20">
        <f t="shared" si="49"/>
        <v>8514181.0765115358</v>
      </c>
      <c r="J84" s="10">
        <v>2.0750000000000002</v>
      </c>
      <c r="K84" s="18">
        <v>609663.68000000005</v>
      </c>
    </row>
    <row r="85" spans="1:11">
      <c r="A85" s="14">
        <v>24</v>
      </c>
      <c r="B85" s="19">
        <v>3386746.34</v>
      </c>
      <c r="C85" s="19">
        <f t="shared" si="44"/>
        <v>9.2675053120446815</v>
      </c>
      <c r="D85" s="19">
        <f t="shared" si="45"/>
        <v>345.49259803302505</v>
      </c>
      <c r="E85" s="19">
        <f t="shared" si="46"/>
        <v>3.4549259803302506</v>
      </c>
      <c r="F85" s="19">
        <f t="shared" si="47"/>
        <v>9.0919104745532914E-5</v>
      </c>
      <c r="G85" s="19">
        <f t="shared" si="48"/>
        <v>27051724933387.832</v>
      </c>
      <c r="H85" s="19">
        <f t="shared" si="49"/>
        <v>27051724.933387831</v>
      </c>
      <c r="J85" s="10">
        <v>1.0375000000000001</v>
      </c>
      <c r="K85" s="18">
        <v>204550.77</v>
      </c>
    </row>
    <row r="86" spans="1:11">
      <c r="A86" s="14">
        <v>48</v>
      </c>
      <c r="B86" s="19">
        <v>9698817</v>
      </c>
      <c r="C86" s="19">
        <f t="shared" si="44"/>
        <v>25.234172636393073</v>
      </c>
      <c r="D86" s="19">
        <f t="shared" si="45"/>
        <v>934.67375445200071</v>
      </c>
      <c r="E86" s="19">
        <f t="shared" si="46"/>
        <v>9.3467375445200069</v>
      </c>
      <c r="F86" s="19">
        <f t="shared" si="47"/>
        <v>2.4596677748736862E-4</v>
      </c>
      <c r="G86" s="19">
        <f t="shared" si="48"/>
        <v>73184020299837.203</v>
      </c>
      <c r="H86" s="19">
        <f t="shared" si="49"/>
        <v>73184020.299837202</v>
      </c>
    </row>
    <row r="87" spans="1:11">
      <c r="A87" s="14">
        <v>72</v>
      </c>
      <c r="B87" s="19">
        <v>11392541.5</v>
      </c>
      <c r="C87" s="19">
        <f t="shared" si="44"/>
        <v>29.518525123441801</v>
      </c>
      <c r="D87" s="19">
        <f t="shared" si="45"/>
        <v>1294.0921414116901</v>
      </c>
      <c r="E87" s="19">
        <f t="shared" si="46"/>
        <v>12.940921414116902</v>
      </c>
      <c r="F87" s="19">
        <f t="shared" si="47"/>
        <v>3.4055056352939216E-4</v>
      </c>
      <c r="G87" s="19">
        <f t="shared" si="48"/>
        <v>101326120580393.94</v>
      </c>
      <c r="H87" s="19">
        <f t="shared" si="49"/>
        <v>101326120.58039394</v>
      </c>
      <c r="J87" s="10" t="s">
        <v>38</v>
      </c>
      <c r="K87" s="10">
        <v>395328</v>
      </c>
    </row>
    <row r="88" spans="1:11">
      <c r="A88" s="14">
        <v>96</v>
      </c>
      <c r="B88" s="19">
        <v>13119943.5</v>
      </c>
      <c r="C88" s="19">
        <f t="shared" si="44"/>
        <v>33.888066365144894</v>
      </c>
      <c r="D88" s="19">
        <f t="shared" si="45"/>
        <v>1767.6015416059588</v>
      </c>
      <c r="E88" s="19">
        <f t="shared" si="46"/>
        <v>17.676015416059588</v>
      </c>
      <c r="F88" s="19">
        <f t="shared" si="47"/>
        <v>4.6515830042262072E-4</v>
      </c>
      <c r="G88" s="19">
        <f t="shared" si="48"/>
        <v>138401433106204.95</v>
      </c>
      <c r="H88" s="19">
        <f t="shared" si="49"/>
        <v>138401433.10620496</v>
      </c>
      <c r="J88" s="10" t="s">
        <v>33</v>
      </c>
      <c r="K88" s="10">
        <v>-276958</v>
      </c>
    </row>
    <row r="89" spans="1:11">
      <c r="A89" s="1" t="s">
        <v>81</v>
      </c>
      <c r="B89" s="19">
        <v>1400183.26</v>
      </c>
      <c r="C89" s="19">
        <f>(B89-$K$88)/$K$87*2</f>
        <v>8.4848088675732551</v>
      </c>
      <c r="D89" s="19">
        <f>C89/$T$49*AE7</f>
        <v>316.31367458313031</v>
      </c>
      <c r="E89" s="19">
        <f t="shared" si="46"/>
        <v>3.1631367458313031</v>
      </c>
      <c r="F89" s="20">
        <f t="shared" si="47"/>
        <v>8.324044067977114E-5</v>
      </c>
      <c r="G89" s="19">
        <f t="shared" si="48"/>
        <v>24767044406184.52</v>
      </c>
      <c r="H89" s="20">
        <f t="shared" si="49"/>
        <v>24767044.406184521</v>
      </c>
    </row>
    <row r="90" spans="1:11">
      <c r="A90" s="1" t="s">
        <v>73</v>
      </c>
      <c r="B90" s="19">
        <v>4954698.47</v>
      </c>
      <c r="C90" s="19">
        <f>(B90-$K$88)/$K$87*2</f>
        <v>26.467421837056822</v>
      </c>
      <c r="D90" s="19">
        <f t="shared" ref="D90:D92" si="50">C90/$T$49*AE8</f>
        <v>980.35330484458621</v>
      </c>
      <c r="E90" s="19">
        <f t="shared" si="46"/>
        <v>9.8035330484458623</v>
      </c>
      <c r="F90" s="20">
        <f t="shared" si="47"/>
        <v>2.5798771180120689E-4</v>
      </c>
      <c r="G90" s="19">
        <f t="shared" si="48"/>
        <v>76760683416026.25</v>
      </c>
      <c r="H90" s="20">
        <f t="shared" si="49"/>
        <v>76760683.41602625</v>
      </c>
    </row>
    <row r="91" spans="1:11">
      <c r="A91" s="1" t="s">
        <v>74</v>
      </c>
      <c r="B91" s="19">
        <v>4630549.0999999996</v>
      </c>
      <c r="C91" s="19">
        <f>(B91-$K$88)/$K$87*3</f>
        <v>37.241281416949974</v>
      </c>
      <c r="D91" s="19">
        <f t="shared" si="50"/>
        <v>1632.6577773190888</v>
      </c>
      <c r="E91" s="19">
        <f t="shared" si="46"/>
        <v>16.326577773190888</v>
      </c>
      <c r="F91" s="19">
        <f t="shared" si="47"/>
        <v>4.2964678350502334E-4</v>
      </c>
      <c r="G91" s="19">
        <f t="shared" si="48"/>
        <v>127835471306307.33</v>
      </c>
      <c r="H91" s="20">
        <f t="shared" si="49"/>
        <v>127835471.30630733</v>
      </c>
    </row>
    <row r="92" spans="1:11">
      <c r="A92" s="14" t="s">
        <v>75</v>
      </c>
      <c r="B92" s="19">
        <v>4250143.1400000006</v>
      </c>
      <c r="C92" s="19">
        <f>(B92-$K$88)/$K$87*4</f>
        <v>45.80602578112353</v>
      </c>
      <c r="D92" s="19">
        <f t="shared" si="50"/>
        <v>2389.2423047434054</v>
      </c>
      <c r="E92" s="19">
        <f t="shared" si="46"/>
        <v>23.892423047434054</v>
      </c>
      <c r="F92" s="19">
        <f t="shared" si="47"/>
        <v>6.2874797493247506E-4</v>
      </c>
      <c r="G92" s="19">
        <f t="shared" si="48"/>
        <v>187075283219103.88</v>
      </c>
      <c r="H92" s="19">
        <f t="shared" si="49"/>
        <v>187075283.21910387</v>
      </c>
    </row>
    <row r="93" spans="1:11">
      <c r="A93" s="1" t="s">
        <v>76</v>
      </c>
      <c r="B93" s="19">
        <v>1900500.8599999999</v>
      </c>
      <c r="C93" s="19">
        <f>(B93-$K$88)/$K$87*8</f>
        <v>44.063842884895578</v>
      </c>
      <c r="D93" s="19">
        <f>C93/$T$49*AE10</f>
        <v>2298.3700448761547</v>
      </c>
      <c r="E93" s="19">
        <f t="shared" si="46"/>
        <v>22.983700448761546</v>
      </c>
      <c r="F93" s="19">
        <f t="shared" si="47"/>
        <v>6.0483422233583014E-4</v>
      </c>
      <c r="G93" s="19">
        <f t="shared" si="48"/>
        <v>179960076143758.03</v>
      </c>
      <c r="H93" s="20">
        <f t="shared" si="49"/>
        <v>179960076.14375803</v>
      </c>
    </row>
    <row r="95" spans="1:11">
      <c r="B95" s="14" t="s">
        <v>71</v>
      </c>
      <c r="C95" s="14" t="s">
        <v>78</v>
      </c>
      <c r="D95" s="14" t="s">
        <v>79</v>
      </c>
      <c r="E95" s="14" t="s">
        <v>7</v>
      </c>
      <c r="F95" s="14" t="s">
        <v>8</v>
      </c>
      <c r="G95" s="14" t="s">
        <v>9</v>
      </c>
      <c r="H95" s="14" t="s">
        <v>10</v>
      </c>
      <c r="J95" s="8" t="s">
        <v>82</v>
      </c>
    </row>
    <row r="96" spans="1:11">
      <c r="A96" s="1">
        <v>0</v>
      </c>
      <c r="B96" s="13">
        <v>13321.63</v>
      </c>
      <c r="C96" s="13">
        <f>(B96-$K$104)/$K$103</f>
        <v>0.73156629736245837</v>
      </c>
      <c r="D96" s="13">
        <f>C96/$T$49*AI3</f>
        <v>26.921639742938471</v>
      </c>
      <c r="E96" s="13">
        <f>D96/$T$50</f>
        <v>0.26921639742938469</v>
      </c>
      <c r="F96" s="2">
        <f>E96/$T$51</f>
        <v>7.0846420376153862E-6</v>
      </c>
      <c r="G96" s="13">
        <f>F96*$T$52*$T$53</f>
        <v>2107937470232.3391</v>
      </c>
      <c r="H96" s="2">
        <f>G96/1000000</f>
        <v>2107937.4702323391</v>
      </c>
      <c r="J96" s="10" t="s">
        <v>85</v>
      </c>
      <c r="K96" s="10" t="s">
        <v>1</v>
      </c>
    </row>
    <row r="97" spans="1:20">
      <c r="A97" s="1">
        <v>4</v>
      </c>
      <c r="B97" s="13">
        <v>100154.13</v>
      </c>
      <c r="C97" s="13">
        <f t="shared" ref="C97:C103" si="51">(B97-$K$104)/$K$103</f>
        <v>0.90660782392736483</v>
      </c>
      <c r="D97" s="13">
        <f t="shared" ref="D97:D103" si="52">C97/$T$49*AI4</f>
        <v>29.809265250731688</v>
      </c>
      <c r="E97" s="13">
        <f t="shared" ref="E97:E108" si="53">D97/$T$50</f>
        <v>0.29809265250731687</v>
      </c>
      <c r="F97" s="2">
        <f t="shared" ref="F97:F108" si="54">E97/$T$51</f>
        <v>7.8445434870346546E-6</v>
      </c>
      <c r="G97" s="13">
        <f t="shared" ref="G97:G108" si="55">F97*$T$52*$T$53</f>
        <v>2334035659867.0405</v>
      </c>
      <c r="H97" s="2">
        <f t="shared" ref="H97:H108" si="56">G97/1000000</f>
        <v>2334035.6598670403</v>
      </c>
      <c r="J97" s="10">
        <v>10</v>
      </c>
      <c r="K97" s="18">
        <v>4635159</v>
      </c>
    </row>
    <row r="98" spans="1:20">
      <c r="A98" s="1">
        <v>8</v>
      </c>
      <c r="B98" s="13">
        <v>380712.87</v>
      </c>
      <c r="C98" s="13">
        <f t="shared" si="51"/>
        <v>1.4721729077465187</v>
      </c>
      <c r="D98" s="13">
        <f t="shared" si="52"/>
        <v>53.233772344114172</v>
      </c>
      <c r="E98" s="13">
        <f t="shared" si="53"/>
        <v>0.53233772344114172</v>
      </c>
      <c r="F98" s="2">
        <f t="shared" si="54"/>
        <v>1.4008887458977413E-5</v>
      </c>
      <c r="G98" s="13">
        <f t="shared" si="55"/>
        <v>4168151140771.7954</v>
      </c>
      <c r="H98" s="2">
        <f t="shared" si="56"/>
        <v>4168151.1407717955</v>
      </c>
      <c r="J98" s="10">
        <v>2.5</v>
      </c>
      <c r="K98" s="18">
        <v>722119.35</v>
      </c>
    </row>
    <row r="99" spans="1:20">
      <c r="A99" s="1">
        <v>12</v>
      </c>
      <c r="B99" s="13">
        <v>1601115.4</v>
      </c>
      <c r="C99" s="13">
        <f t="shared" si="51"/>
        <v>3.9323246006595869</v>
      </c>
      <c r="D99" s="13">
        <f t="shared" si="52"/>
        <v>129.92400480579275</v>
      </c>
      <c r="E99" s="13">
        <f t="shared" si="53"/>
        <v>1.2992400480579276</v>
      </c>
      <c r="F99" s="2">
        <f t="shared" si="54"/>
        <v>3.4190527580471778E-5</v>
      </c>
      <c r="G99" s="13">
        <f t="shared" si="55"/>
        <v>10172919652288.768</v>
      </c>
      <c r="H99" s="2">
        <f t="shared" si="56"/>
        <v>10172919.652288768</v>
      </c>
      <c r="J99" s="10">
        <v>1.25</v>
      </c>
      <c r="K99" s="18">
        <v>414897.91</v>
      </c>
    </row>
    <row r="100" spans="1:20">
      <c r="A100" s="14">
        <v>24</v>
      </c>
      <c r="B100" s="13">
        <v>2877174.8899999997</v>
      </c>
      <c r="C100" s="13">
        <f t="shared" si="51"/>
        <v>6.5046725247345112</v>
      </c>
      <c r="D100" s="13">
        <f t="shared" si="52"/>
        <v>250.8201725537624</v>
      </c>
      <c r="E100" s="13">
        <f t="shared" si="53"/>
        <v>2.5082017255376239</v>
      </c>
      <c r="F100" s="13">
        <f t="shared" si="54"/>
        <v>6.6005308566779579E-5</v>
      </c>
      <c r="G100" s="13">
        <f t="shared" si="55"/>
        <v>19638968690787.043</v>
      </c>
      <c r="H100" s="13">
        <f t="shared" si="56"/>
        <v>19638968.690787043</v>
      </c>
      <c r="J100" s="14"/>
      <c r="K100" s="14"/>
    </row>
    <row r="101" spans="1:20">
      <c r="A101" s="14">
        <v>48</v>
      </c>
      <c r="B101" s="13">
        <v>5420720.5600000005</v>
      </c>
      <c r="C101" s="13">
        <f t="shared" si="51"/>
        <v>11.632085843069902</v>
      </c>
      <c r="D101" s="13">
        <f t="shared" si="52"/>
        <v>468.07513432513349</v>
      </c>
      <c r="E101" s="13">
        <f t="shared" si="53"/>
        <v>4.6807513432513348</v>
      </c>
      <c r="F101" s="13">
        <f t="shared" si="54"/>
        <v>1.2317766692766671E-4</v>
      </c>
      <c r="G101" s="13">
        <f t="shared" si="55"/>
        <v>36649814942523.625</v>
      </c>
      <c r="H101" s="13">
        <f t="shared" si="56"/>
        <v>36649814.942523628</v>
      </c>
      <c r="J101" s="14">
        <v>5</v>
      </c>
      <c r="K101" s="14">
        <v>1413920.47</v>
      </c>
    </row>
    <row r="102" spans="1:20">
      <c r="A102" s="14">
        <v>72</v>
      </c>
      <c r="B102" s="13">
        <v>11401549.27</v>
      </c>
      <c r="C102" s="13">
        <f t="shared" si="51"/>
        <v>23.688555339187367</v>
      </c>
      <c r="D102" s="13">
        <f t="shared" si="52"/>
        <v>1083.9882923212149</v>
      </c>
      <c r="E102" s="13">
        <f t="shared" si="53"/>
        <v>10.83988292321215</v>
      </c>
      <c r="F102" s="13">
        <f t="shared" si="54"/>
        <v>2.8526007692663554E-4</v>
      </c>
      <c r="G102" s="13">
        <f t="shared" si="55"/>
        <v>84875199300458.828</v>
      </c>
      <c r="H102" s="13">
        <f t="shared" si="56"/>
        <v>84875199.300458834</v>
      </c>
    </row>
    <row r="103" spans="1:20">
      <c r="A103" s="14">
        <v>96</v>
      </c>
      <c r="B103" s="13">
        <v>12043469</v>
      </c>
      <c r="C103" s="13">
        <f t="shared" si="51"/>
        <v>24.982570937855293</v>
      </c>
      <c r="D103" s="13">
        <f t="shared" si="52"/>
        <v>1265.1173922929911</v>
      </c>
      <c r="E103" s="13">
        <f t="shared" si="53"/>
        <v>12.65117392292991</v>
      </c>
      <c r="F103" s="13">
        <f t="shared" si="54"/>
        <v>3.3292562955078713E-4</v>
      </c>
      <c r="G103" s="13">
        <f t="shared" si="55"/>
        <v>99057426699148.906</v>
      </c>
      <c r="H103" s="13">
        <f t="shared" si="56"/>
        <v>99057426.699148908</v>
      </c>
      <c r="J103" s="10" t="s">
        <v>38</v>
      </c>
      <c r="K103" s="10">
        <v>496068</v>
      </c>
    </row>
    <row r="104" spans="1:20">
      <c r="A104" s="1" t="s">
        <v>81</v>
      </c>
      <c r="B104" s="13">
        <v>1537859.6400000001</v>
      </c>
      <c r="C104" s="13">
        <f>(B104-$K$104)/$K$103*2</f>
        <v>7.60962061652838</v>
      </c>
      <c r="D104" s="13">
        <f>C104/$T$49*AI7</f>
        <v>293.42697097333388</v>
      </c>
      <c r="E104" s="13">
        <f t="shared" si="53"/>
        <v>2.9342697097333388</v>
      </c>
      <c r="F104" s="2">
        <f t="shared" si="54"/>
        <v>7.7217623940351021E-5</v>
      </c>
      <c r="G104" s="13">
        <f t="shared" si="55"/>
        <v>22975038400241.07</v>
      </c>
      <c r="H104" s="2">
        <f t="shared" si="56"/>
        <v>22975038.400241069</v>
      </c>
      <c r="J104" s="10" t="s">
        <v>33</v>
      </c>
      <c r="K104" s="10">
        <v>-349585</v>
      </c>
    </row>
    <row r="105" spans="1:20">
      <c r="A105" s="1" t="s">
        <v>73</v>
      </c>
      <c r="B105" s="13">
        <v>2833147</v>
      </c>
      <c r="C105" s="13">
        <f>(B105-$K$104)/$K$103*2</f>
        <v>12.831837570655637</v>
      </c>
      <c r="D105" s="13">
        <f t="shared" ref="D105:D107" si="57">C105/$T$49*AI8</f>
        <v>516.3531438431836</v>
      </c>
      <c r="E105" s="13">
        <f t="shared" si="53"/>
        <v>5.1635314384318356</v>
      </c>
      <c r="F105" s="2">
        <f t="shared" si="54"/>
        <v>1.3588240627452198E-4</v>
      </c>
      <c r="G105" s="13">
        <f t="shared" si="55"/>
        <v>40429934809777.43</v>
      </c>
      <c r="H105" s="2">
        <f t="shared" si="56"/>
        <v>40429934.809777431</v>
      </c>
    </row>
    <row r="106" spans="1:20">
      <c r="A106" s="1" t="s">
        <v>74</v>
      </c>
      <c r="B106" s="13">
        <v>4477189.3100000005</v>
      </c>
      <c r="C106" s="13">
        <f>(B106-$K$104)/$K$103*3</f>
        <v>29.190197573719733</v>
      </c>
      <c r="D106" s="13">
        <f t="shared" si="57"/>
        <v>1335.743440973416</v>
      </c>
      <c r="E106" s="13">
        <f t="shared" si="53"/>
        <v>13.357434409734161</v>
      </c>
      <c r="F106" s="2">
        <f t="shared" si="54"/>
        <v>3.5151143183510949E-4</v>
      </c>
      <c r="G106" s="13">
        <f t="shared" si="55"/>
        <v>104587375684777.5</v>
      </c>
      <c r="H106" s="2">
        <f t="shared" si="56"/>
        <v>104587375.6847775</v>
      </c>
    </row>
    <row r="107" spans="1:20">
      <c r="A107" s="14" t="s">
        <v>75</v>
      </c>
      <c r="B107" s="13">
        <v>3324244.91</v>
      </c>
      <c r="C107" s="13">
        <f>(B107-$K$104)/$K$103*4</f>
        <v>29.623599264616949</v>
      </c>
      <c r="D107" s="13">
        <f t="shared" si="57"/>
        <v>1500.1390667602013</v>
      </c>
      <c r="E107" s="13">
        <f t="shared" si="53"/>
        <v>15.001390667602013</v>
      </c>
      <c r="F107" s="13">
        <f t="shared" si="54"/>
        <v>3.9477343862110559E-4</v>
      </c>
      <c r="G107" s="13">
        <f t="shared" si="55"/>
        <v>117459388788257</v>
      </c>
      <c r="H107" s="13">
        <f t="shared" si="56"/>
        <v>117459388.788257</v>
      </c>
    </row>
    <row r="108" spans="1:20">
      <c r="A108" s="1" t="s">
        <v>76</v>
      </c>
      <c r="B108" s="13">
        <v>1729089.04</v>
      </c>
      <c r="C108" s="13">
        <f>(B108-$K$104)/$K$103*8</f>
        <v>33.522404831595672</v>
      </c>
      <c r="D108" s="13">
        <f>C108/$T$49*AI10</f>
        <v>1697.5745806720035</v>
      </c>
      <c r="E108" s="13">
        <f t="shared" si="53"/>
        <v>16.975745806720035</v>
      </c>
      <c r="F108" s="2">
        <f t="shared" si="54"/>
        <v>4.4673015280842195E-4</v>
      </c>
      <c r="G108" s="13">
        <f t="shared" si="55"/>
        <v>132918392092037.2</v>
      </c>
      <c r="H108" s="2">
        <f t="shared" si="56"/>
        <v>132918392.0920372</v>
      </c>
    </row>
    <row r="109" spans="1:20">
      <c r="B109" s="13"/>
      <c r="C109" s="13"/>
      <c r="D109" s="13"/>
      <c r="E109" s="13"/>
      <c r="F109" s="13"/>
      <c r="G109" s="13"/>
      <c r="H109" s="13"/>
    </row>
    <row r="111" spans="1:20">
      <c r="B111" s="8" t="s">
        <v>87</v>
      </c>
      <c r="C111" s="8" t="s">
        <v>88</v>
      </c>
      <c r="D111" s="8" t="s">
        <v>89</v>
      </c>
      <c r="E111" s="14" t="s">
        <v>7</v>
      </c>
      <c r="F111" s="14" t="s">
        <v>8</v>
      </c>
      <c r="G111" s="14" t="s">
        <v>9</v>
      </c>
      <c r="H111" s="14" t="s">
        <v>10</v>
      </c>
      <c r="J111" s="10" t="s">
        <v>85</v>
      </c>
      <c r="K111" s="10" t="s">
        <v>1</v>
      </c>
      <c r="S111" s="8" t="s">
        <v>53</v>
      </c>
      <c r="T111" s="8">
        <v>5</v>
      </c>
    </row>
    <row r="112" spans="1:20">
      <c r="A112" s="1">
        <v>0</v>
      </c>
      <c r="B112" s="13">
        <v>24602.1</v>
      </c>
      <c r="C112" s="13">
        <f t="shared" ref="C112:C119" si="58">(B112-$K$121)/$K$120</f>
        <v>1.5233754411517564</v>
      </c>
      <c r="D112" s="13">
        <f>C112/$T$111*W3</f>
        <v>57.157046552014009</v>
      </c>
      <c r="E112" s="13">
        <f>D112/$T$112</f>
        <v>0.57157046552014013</v>
      </c>
      <c r="F112" s="2">
        <f>E112/$T$113</f>
        <v>2.7217641215244767E-5</v>
      </c>
      <c r="G112" s="13">
        <f>F112*$T$114*$T$115</f>
        <v>811462672545.12524</v>
      </c>
      <c r="H112" s="2">
        <f>G112/1000000</f>
        <v>811462.67254512524</v>
      </c>
      <c r="J112" s="10">
        <v>10</v>
      </c>
      <c r="K112" s="18">
        <v>663917.47</v>
      </c>
      <c r="S112" s="8" t="s">
        <v>54</v>
      </c>
      <c r="T112" s="8">
        <v>100</v>
      </c>
    </row>
    <row r="113" spans="1:26">
      <c r="A113" s="1">
        <v>4</v>
      </c>
      <c r="B113" s="13">
        <v>30971.37</v>
      </c>
      <c r="C113" s="13">
        <f t="shared" si="58"/>
        <v>1.6125759061117024</v>
      </c>
      <c r="D113" s="13">
        <f t="shared" ref="D113:D119" si="59">C113/$T$111*W4</f>
        <v>60.632854069800004</v>
      </c>
      <c r="E113" s="13">
        <f t="shared" ref="E113:E124" si="60">D113/$T$112</f>
        <v>0.60632854069800002</v>
      </c>
      <c r="F113" s="2">
        <f t="shared" ref="F113:F124" si="61">E113/$T$113</f>
        <v>2.8872787652285714E-5</v>
      </c>
      <c r="G113" s="13">
        <f t="shared" ref="G113:G124" si="62">F113*$T$114*$T$115</f>
        <v>860808960147.09851</v>
      </c>
      <c r="H113" s="2">
        <f t="shared" ref="H113:H123" si="63">G113/1000000</f>
        <v>860808.96014709852</v>
      </c>
      <c r="J113" s="10">
        <v>5</v>
      </c>
      <c r="K113" s="18">
        <v>207376.98</v>
      </c>
      <c r="S113" s="8" t="s">
        <v>56</v>
      </c>
      <c r="T113" s="8">
        <v>21000</v>
      </c>
    </row>
    <row r="114" spans="1:26">
      <c r="A114" s="1">
        <v>8</v>
      </c>
      <c r="B114" s="13">
        <v>26332.6</v>
      </c>
      <c r="C114" s="13">
        <f t="shared" si="58"/>
        <v>1.5476107781076691</v>
      </c>
      <c r="D114" s="13">
        <f t="shared" si="59"/>
        <v>51.999722144417689</v>
      </c>
      <c r="E114" s="13">
        <f t="shared" si="60"/>
        <v>0.51999722144417693</v>
      </c>
      <c r="F114" s="2">
        <f t="shared" si="61"/>
        <v>2.4761772449722712E-5</v>
      </c>
      <c r="G114" s="13">
        <f t="shared" si="62"/>
        <v>738243769550.16541</v>
      </c>
      <c r="H114" s="2">
        <f t="shared" si="63"/>
        <v>738243.76955016539</v>
      </c>
      <c r="J114" s="10">
        <v>2.5</v>
      </c>
      <c r="K114" s="18">
        <v>52406.06</v>
      </c>
      <c r="S114" s="8" t="s">
        <v>57</v>
      </c>
      <c r="T114" s="8">
        <v>602300000000000</v>
      </c>
      <c r="U114" s="14"/>
      <c r="V114" s="27" t="s">
        <v>58</v>
      </c>
      <c r="W114" s="27"/>
      <c r="X114" s="14"/>
      <c r="Y114" s="27" t="s">
        <v>8</v>
      </c>
      <c r="Z114" s="27"/>
    </row>
    <row r="115" spans="1:26">
      <c r="A115" s="1">
        <v>12</v>
      </c>
      <c r="B115" s="13">
        <v>145787.12</v>
      </c>
      <c r="C115" s="13">
        <f t="shared" si="58"/>
        <v>3.2205495490448715</v>
      </c>
      <c r="D115" s="13">
        <f t="shared" si="59"/>
        <v>83.734288275166662</v>
      </c>
      <c r="E115" s="13">
        <f t="shared" si="60"/>
        <v>0.83734288275166657</v>
      </c>
      <c r="F115" s="2">
        <f t="shared" si="61"/>
        <v>3.9873470607222221E-5</v>
      </c>
      <c r="G115" s="13">
        <f t="shared" si="62"/>
        <v>1188781671663.1321</v>
      </c>
      <c r="H115" s="2">
        <f t="shared" si="63"/>
        <v>1188781.671663132</v>
      </c>
      <c r="J115" s="10">
        <v>1.25</v>
      </c>
      <c r="K115" s="18">
        <v>78435.28</v>
      </c>
      <c r="S115" s="8" t="s">
        <v>58</v>
      </c>
      <c r="T115" s="8">
        <f>90*55*0.01</f>
        <v>49.5</v>
      </c>
      <c r="U115" s="14"/>
      <c r="V115" s="14" t="s">
        <v>59</v>
      </c>
      <c r="W115" s="14" t="s">
        <v>61</v>
      </c>
      <c r="X115" s="14"/>
      <c r="Y115" s="14" t="s">
        <v>59</v>
      </c>
      <c r="Z115" s="14" t="s">
        <v>61</v>
      </c>
    </row>
    <row r="116" spans="1:26">
      <c r="A116" s="14">
        <v>24</v>
      </c>
      <c r="B116" s="13">
        <v>430090</v>
      </c>
      <c r="C116" s="13">
        <f t="shared" si="58"/>
        <v>7.2021595428827521</v>
      </c>
      <c r="D116" s="13">
        <f t="shared" si="59"/>
        <v>280.59613579071231</v>
      </c>
      <c r="E116" s="13">
        <f t="shared" si="60"/>
        <v>2.805961357907123</v>
      </c>
      <c r="F116" s="13">
        <f t="shared" si="61"/>
        <v>1.3361720751938681E-4</v>
      </c>
      <c r="G116" s="13">
        <f t="shared" si="62"/>
        <v>3983643382401.8706</v>
      </c>
      <c r="H116" s="13">
        <f t="shared" si="63"/>
        <v>3983643.3824018706</v>
      </c>
      <c r="U116" s="1">
        <v>0</v>
      </c>
      <c r="V116" s="2">
        <f>AVERAGE(H112,H127,H142)</f>
        <v>798644.78609134827</v>
      </c>
      <c r="W116" s="2">
        <f>STDEV(H112,H127,H142)</f>
        <v>232978.91856649096</v>
      </c>
      <c r="X116" s="1"/>
      <c r="Y116" s="2">
        <f>AVERAGE(F112,F127,F142)</f>
        <v>2.6787710614071929E-5</v>
      </c>
      <c r="Z116" s="20">
        <f>STDEV(F112,F127,F142)</f>
        <v>7.814452630790406E-6</v>
      </c>
    </row>
    <row r="117" spans="1:26">
      <c r="A117" s="14">
        <v>48</v>
      </c>
      <c r="B117" s="13">
        <v>1035075.5</v>
      </c>
      <c r="C117" s="13">
        <f t="shared" si="58"/>
        <v>15.674871155677554</v>
      </c>
      <c r="D117" s="13">
        <f t="shared" si="59"/>
        <v>767.44169178197365</v>
      </c>
      <c r="E117" s="13">
        <f t="shared" si="60"/>
        <v>7.6744169178197366</v>
      </c>
      <c r="F117" s="13">
        <f t="shared" si="61"/>
        <v>3.6544842465808267E-4</v>
      </c>
      <c r="G117" s="13">
        <f t="shared" si="62"/>
        <v>10895424515492.379</v>
      </c>
      <c r="H117" s="13">
        <f t="shared" si="63"/>
        <v>10895424.51549238</v>
      </c>
      <c r="U117" s="1">
        <v>4</v>
      </c>
      <c r="V117" s="2">
        <f t="shared" ref="V117:V118" si="64">AVERAGE(H113,H128,H143)</f>
        <v>843239.14850782277</v>
      </c>
      <c r="W117" s="2">
        <f t="shared" ref="W117:W128" si="65">STDEV(H113,H128,H143)</f>
        <v>291097.80355647177</v>
      </c>
      <c r="X117" s="1"/>
      <c r="Y117" s="2">
        <f t="shared" ref="Y117:Y128" si="66">AVERAGE(F113,F128,F143)</f>
        <v>2.8283470551700727E-5</v>
      </c>
      <c r="Z117" s="20">
        <f t="shared" ref="Z117:Z128" si="67">STDEV(F113,F128,F143)</f>
        <v>9.7638447753802923E-6</v>
      </c>
    </row>
    <row r="118" spans="1:26">
      <c r="A118" s="14">
        <v>72</v>
      </c>
      <c r="B118" s="13">
        <v>2455060.16</v>
      </c>
      <c r="C118" s="13">
        <f t="shared" si="58"/>
        <v>35.56149739510392</v>
      </c>
      <c r="D118" s="13">
        <f t="shared" si="59"/>
        <v>1755.3155114223275</v>
      </c>
      <c r="E118" s="13">
        <f t="shared" si="60"/>
        <v>17.553155114223276</v>
      </c>
      <c r="F118" s="13">
        <f t="shared" si="61"/>
        <v>8.3586452924872749E-4</v>
      </c>
      <c r="G118" s="13">
        <f t="shared" si="62"/>
        <v>24920339695342.172</v>
      </c>
      <c r="H118" s="13">
        <f t="shared" si="63"/>
        <v>24920339.695342172</v>
      </c>
      <c r="U118" s="1">
        <v>8</v>
      </c>
      <c r="V118" s="2">
        <f t="shared" si="64"/>
        <v>749514.84654894797</v>
      </c>
      <c r="W118" s="2">
        <f t="shared" si="65"/>
        <v>132906.15772748337</v>
      </c>
      <c r="X118" s="1"/>
      <c r="Y118" s="2">
        <f t="shared" si="66"/>
        <v>2.5139820806401991E-5</v>
      </c>
      <c r="Z118" s="20">
        <f t="shared" si="67"/>
        <v>4.4578663180865288E-6</v>
      </c>
    </row>
    <row r="119" spans="1:26">
      <c r="A119" s="14">
        <v>96</v>
      </c>
      <c r="B119" s="13">
        <v>4223533.57</v>
      </c>
      <c r="C119" s="13">
        <f t="shared" si="58"/>
        <v>60.328645033891661</v>
      </c>
      <c r="D119" s="13">
        <f t="shared" si="59"/>
        <v>3595.5872440199428</v>
      </c>
      <c r="E119" s="13">
        <f t="shared" si="60"/>
        <v>35.955872440199428</v>
      </c>
      <c r="F119" s="13">
        <f t="shared" si="61"/>
        <v>1.7121844019142584E-3</v>
      </c>
      <c r="G119" s="13">
        <f t="shared" si="62"/>
        <v>51046808931011.414</v>
      </c>
      <c r="H119" s="13">
        <f t="shared" si="63"/>
        <v>51046808.931011416</v>
      </c>
      <c r="U119" s="1">
        <v>12</v>
      </c>
      <c r="V119" s="2">
        <f>AVERAGE(H115,H130,H145)</f>
        <v>1571095.0204232798</v>
      </c>
      <c r="W119" s="2">
        <f t="shared" si="65"/>
        <v>670728.62529833103</v>
      </c>
      <c r="X119" s="1"/>
      <c r="Y119" s="2">
        <f t="shared" si="66"/>
        <v>5.2696817768362004E-5</v>
      </c>
      <c r="Z119" s="20">
        <f t="shared" si="67"/>
        <v>2.2497216068985761E-5</v>
      </c>
    </row>
    <row r="120" spans="1:26">
      <c r="A120" s="1" t="s">
        <v>86</v>
      </c>
      <c r="B120" s="13">
        <v>108380.59</v>
      </c>
      <c r="C120" s="13">
        <f>(B120-$K$121)/$K$120*2</f>
        <v>5.3933558344070356</v>
      </c>
      <c r="D120" s="13">
        <f>C120/$T$111*W7</f>
        <v>210.12514330849828</v>
      </c>
      <c r="E120" s="13">
        <f t="shared" si="60"/>
        <v>2.101251433084983</v>
      </c>
      <c r="F120" s="2">
        <f t="shared" si="61"/>
        <v>1.0005959205166586E-4</v>
      </c>
      <c r="G120" s="13">
        <f t="shared" si="62"/>
        <v>2983161668489.5581</v>
      </c>
      <c r="H120" s="2">
        <f t="shared" si="63"/>
        <v>2983161.6684895582</v>
      </c>
      <c r="J120" s="10" t="s">
        <v>38</v>
      </c>
      <c r="K120" s="10">
        <v>71404</v>
      </c>
      <c r="U120" s="14">
        <v>24</v>
      </c>
      <c r="V120" s="13">
        <f t="shared" ref="V120:V128" si="68">AVERAGE(H116,H131,H146)</f>
        <v>3589335.0125414566</v>
      </c>
      <c r="W120" s="13">
        <f t="shared" si="65"/>
        <v>1133077.035603757</v>
      </c>
      <c r="X120" s="14"/>
      <c r="Y120" s="13">
        <f t="shared" si="66"/>
        <v>1.2039152986083501E-4</v>
      </c>
      <c r="Z120" s="19">
        <f t="shared" si="67"/>
        <v>3.800505589193473E-5</v>
      </c>
    </row>
    <row r="121" spans="1:26">
      <c r="A121" s="1" t="s">
        <v>73</v>
      </c>
      <c r="B121" s="13">
        <v>244816.9</v>
      </c>
      <c r="C121" s="13">
        <f>(B121-$K$121)/$K$120*2</f>
        <v>9.2148871211696832</v>
      </c>
      <c r="D121" s="13">
        <f t="shared" ref="D121:D123" si="69">C121/$T$111*W8</f>
        <v>451.16087345246802</v>
      </c>
      <c r="E121" s="13">
        <f t="shared" si="60"/>
        <v>4.51160873452468</v>
      </c>
      <c r="F121" s="2">
        <f t="shared" si="61"/>
        <v>2.1483851116784191E-4</v>
      </c>
      <c r="G121" s="13">
        <f t="shared" si="62"/>
        <v>6405163146181.3633</v>
      </c>
      <c r="H121" s="2">
        <f t="shared" si="63"/>
        <v>6405163.1461813636</v>
      </c>
      <c r="J121" s="10" t="s">
        <v>33</v>
      </c>
      <c r="K121" s="10">
        <v>-84173</v>
      </c>
      <c r="U121" s="14">
        <v>48</v>
      </c>
      <c r="V121" s="13">
        <f t="shared" si="68"/>
        <v>7997318.9981026975</v>
      </c>
      <c r="W121" s="13">
        <f t="shared" si="65"/>
        <v>3008433.4871215965</v>
      </c>
      <c r="X121" s="14"/>
      <c r="Y121" s="13">
        <f t="shared" si="66"/>
        <v>2.6824173993304106E-4</v>
      </c>
      <c r="Z121" s="19">
        <f t="shared" si="67"/>
        <v>1.0090724569693613E-4</v>
      </c>
    </row>
    <row r="122" spans="1:26">
      <c r="A122" s="1" t="s">
        <v>74</v>
      </c>
      <c r="B122" s="13">
        <v>418516.3</v>
      </c>
      <c r="C122" s="13">
        <f>(B122-$K$121)/$K$120*3</f>
        <v>21.120215954288277</v>
      </c>
      <c r="D122" s="13">
        <f t="shared" si="69"/>
        <v>1042.4938595036681</v>
      </c>
      <c r="E122" s="13">
        <f t="shared" si="60"/>
        <v>10.42493859503668</v>
      </c>
      <c r="F122" s="2">
        <f t="shared" si="61"/>
        <v>4.9642564738269909E-4</v>
      </c>
      <c r="G122" s="13">
        <f t="shared" si="62"/>
        <v>14800359787220.684</v>
      </c>
      <c r="H122" s="2">
        <f t="shared" si="63"/>
        <v>14800359.787220683</v>
      </c>
      <c r="U122" s="14">
        <v>72</v>
      </c>
      <c r="V122" s="13">
        <f t="shared" si="68"/>
        <v>29619006.855515014</v>
      </c>
      <c r="W122" s="13">
        <f t="shared" si="65"/>
        <v>9394047.8717533946</v>
      </c>
      <c r="X122" s="14"/>
      <c r="Y122" s="13">
        <f t="shared" si="66"/>
        <v>9.9346467683694034E-4</v>
      </c>
      <c r="Z122" s="19">
        <f t="shared" si="67"/>
        <v>3.1509006289873268E-4</v>
      </c>
    </row>
    <row r="123" spans="1:26">
      <c r="A123" s="1" t="s">
        <v>75</v>
      </c>
      <c r="B123" s="13">
        <v>318412.79999999999</v>
      </c>
      <c r="C123" s="13">
        <f>(B123-$K$121)/$K$120*4</f>
        <v>22.552562881631282</v>
      </c>
      <c r="D123" s="13">
        <f t="shared" si="69"/>
        <v>1344.1327477452244</v>
      </c>
      <c r="E123" s="13">
        <f t="shared" si="60"/>
        <v>13.441327477452244</v>
      </c>
      <c r="F123" s="2">
        <f t="shared" si="61"/>
        <v>6.4006321321201159E-4</v>
      </c>
      <c r="G123" s="13">
        <f t="shared" si="62"/>
        <v>19082748629220.934</v>
      </c>
      <c r="H123" s="2">
        <f t="shared" si="63"/>
        <v>19082748.629220933</v>
      </c>
      <c r="U123" s="14">
        <v>96</v>
      </c>
      <c r="V123" s="13">
        <f t="shared" si="68"/>
        <v>43801133.080632083</v>
      </c>
      <c r="W123" s="13">
        <f t="shared" si="65"/>
        <v>23036643.881457753</v>
      </c>
      <c r="Y123" s="13">
        <f t="shared" si="66"/>
        <v>1.4691538691122441E-3</v>
      </c>
      <c r="Z123" s="19">
        <f t="shared" si="67"/>
        <v>7.7268262507048703E-4</v>
      </c>
    </row>
    <row r="124" spans="1:26">
      <c r="A124" s="14" t="s">
        <v>76</v>
      </c>
      <c r="B124" s="13">
        <v>155435.73000000001</v>
      </c>
      <c r="C124" s="13">
        <f>(B124-$K$121)/$K$120*8</f>
        <v>26.845412581928183</v>
      </c>
      <c r="D124" s="13">
        <f>C124/$T$111*W10</f>
        <v>1599.9865898829198</v>
      </c>
      <c r="E124" s="13">
        <f t="shared" si="60"/>
        <v>15.999865898829198</v>
      </c>
      <c r="F124" s="13">
        <f t="shared" si="61"/>
        <v>7.6189837613472374E-4</v>
      </c>
      <c r="G124" s="13">
        <f t="shared" si="62"/>
        <v>22715123901324.234</v>
      </c>
      <c r="H124" s="13">
        <f>G124/1000000</f>
        <v>22715123.901324235</v>
      </c>
      <c r="U124" s="1" t="s">
        <v>86</v>
      </c>
      <c r="V124" s="2">
        <f t="shared" si="68"/>
        <v>3442531.3503275202</v>
      </c>
      <c r="W124" s="2">
        <f t="shared" si="65"/>
        <v>1222706.4387455734</v>
      </c>
      <c r="X124" s="1"/>
      <c r="Y124" s="2">
        <f t="shared" si="66"/>
        <v>1.1546752097858949E-4</v>
      </c>
      <c r="Z124" s="20">
        <f t="shared" si="67"/>
        <v>4.1011356760216236E-5</v>
      </c>
    </row>
    <row r="125" spans="1:26">
      <c r="U125" s="1" t="s">
        <v>73</v>
      </c>
      <c r="V125" s="2">
        <f t="shared" si="68"/>
        <v>5300601.5559171261</v>
      </c>
      <c r="W125" s="2">
        <f t="shared" si="65"/>
        <v>1014556.5234736955</v>
      </c>
      <c r="X125" s="23"/>
      <c r="Y125" s="2">
        <f t="shared" si="66"/>
        <v>1.7778990489041591E-4</v>
      </c>
      <c r="Z125" s="20">
        <f t="shared" si="67"/>
        <v>3.4029705102618208E-5</v>
      </c>
    </row>
    <row r="126" spans="1:26">
      <c r="B126" s="8" t="s">
        <v>90</v>
      </c>
      <c r="C126" s="8" t="s">
        <v>88</v>
      </c>
      <c r="D126" s="8" t="s">
        <v>89</v>
      </c>
      <c r="E126" s="14" t="s">
        <v>7</v>
      </c>
      <c r="F126" s="14" t="s">
        <v>8</v>
      </c>
      <c r="G126" s="14" t="s">
        <v>9</v>
      </c>
      <c r="H126" s="14" t="s">
        <v>10</v>
      </c>
      <c r="J126" s="10" t="s">
        <v>2</v>
      </c>
      <c r="K126" s="10" t="s">
        <v>1</v>
      </c>
      <c r="U126" s="1" t="s">
        <v>74</v>
      </c>
      <c r="V126" s="2">
        <f t="shared" si="68"/>
        <v>16872925.962901212</v>
      </c>
      <c r="W126" s="2">
        <f t="shared" si="65"/>
        <v>5479602.0056420323</v>
      </c>
      <c r="X126" s="23"/>
      <c r="Y126" s="2">
        <f t="shared" si="66"/>
        <v>5.6594253888381447E-4</v>
      </c>
      <c r="Z126" s="20">
        <f t="shared" si="67"/>
        <v>1.8379384097129439E-4</v>
      </c>
    </row>
    <row r="127" spans="1:26">
      <c r="A127" s="1">
        <v>0</v>
      </c>
      <c r="B127" s="19">
        <v>2388.5</v>
      </c>
      <c r="C127" s="13">
        <f>(B127-$K$133)/$K$132</f>
        <v>1.8157564851695343</v>
      </c>
      <c r="D127" s="13">
        <f>C127/$T$111*AA3</f>
        <v>72.194477850340746</v>
      </c>
      <c r="E127" s="13">
        <f>D127/$T$112</f>
        <v>0.72194477850340744</v>
      </c>
      <c r="F127" s="2">
        <f>E127/$T$113</f>
        <v>3.4378322785876548E-5</v>
      </c>
      <c r="G127" s="13">
        <f>F127*$T$114*$T$115</f>
        <v>1024950158789.7056</v>
      </c>
      <c r="H127" s="2">
        <f>G127/1000000</f>
        <v>1024950.1587897056</v>
      </c>
      <c r="J127" s="10">
        <v>10</v>
      </c>
      <c r="K127" s="18">
        <v>432169.29</v>
      </c>
      <c r="U127" s="1" t="s">
        <v>75</v>
      </c>
      <c r="V127" s="2">
        <f t="shared" si="68"/>
        <v>23701577.82026704</v>
      </c>
      <c r="W127" s="2">
        <f t="shared" si="65"/>
        <v>11050360.095162883</v>
      </c>
      <c r="X127" s="1"/>
      <c r="Y127" s="2">
        <f t="shared" si="66"/>
        <v>7.9498547890551009E-4</v>
      </c>
      <c r="Z127" s="20">
        <f t="shared" si="67"/>
        <v>3.7064518990881379E-4</v>
      </c>
    </row>
    <row r="128" spans="1:26">
      <c r="A128" s="1">
        <v>4</v>
      </c>
      <c r="B128" s="19">
        <v>13816.26</v>
      </c>
      <c r="C128" s="13">
        <f t="shared" ref="C128:C134" si="70">(B128-$K$133)/$K$132</f>
        <v>2.046811702622374</v>
      </c>
      <c r="D128" s="13">
        <f t="shared" ref="D128:D134" si="71">C128/$T$111*AA4</f>
        <v>79.252549125538465</v>
      </c>
      <c r="E128" s="13">
        <f t="shared" ref="E128:E139" si="72">D128/$T$112</f>
        <v>0.79252549125538463</v>
      </c>
      <c r="F128" s="2">
        <f t="shared" ref="F128:F139" si="73">E128/$T$113</f>
        <v>3.7739309107399269E-5</v>
      </c>
      <c r="G128" s="13">
        <f t="shared" ref="G128:G139" si="74">F128*$T$114*$T$115</f>
        <v>1125154100831.6357</v>
      </c>
      <c r="H128" s="2">
        <f t="shared" ref="H128:H139" si="75">G128/1000000</f>
        <v>1125154.1008316358</v>
      </c>
      <c r="J128" s="10">
        <v>5</v>
      </c>
      <c r="K128" s="18">
        <v>104405.46</v>
      </c>
      <c r="U128" s="14" t="s">
        <v>76</v>
      </c>
      <c r="V128" s="13">
        <f t="shared" si="68"/>
        <v>18037805.920148328</v>
      </c>
      <c r="W128" s="13">
        <f t="shared" si="65"/>
        <v>6311831.778513439</v>
      </c>
      <c r="Y128" s="13">
        <f t="shared" si="66"/>
        <v>6.0501431113889456E-4</v>
      </c>
      <c r="Z128" s="19">
        <f t="shared" si="67"/>
        <v>2.1170804101159122E-4</v>
      </c>
    </row>
    <row r="129" spans="1:11">
      <c r="A129" s="1">
        <v>8</v>
      </c>
      <c r="B129" s="19">
        <v>18491</v>
      </c>
      <c r="C129" s="13">
        <f t="shared" si="70"/>
        <v>2.1413291817464972</v>
      </c>
      <c r="D129" s="13">
        <f t="shared" si="71"/>
        <v>62.526812106997717</v>
      </c>
      <c r="E129" s="13">
        <f t="shared" si="72"/>
        <v>0.6252681210699772</v>
      </c>
      <c r="F129" s="2">
        <f t="shared" si="73"/>
        <v>2.9774672431903677E-5</v>
      </c>
      <c r="G129" s="13">
        <f t="shared" si="74"/>
        <v>887697617683.91138</v>
      </c>
      <c r="H129" s="2">
        <f t="shared" si="75"/>
        <v>887697.61768391135</v>
      </c>
      <c r="J129" s="10">
        <v>2.5</v>
      </c>
      <c r="K129" s="18">
        <v>27687.32</v>
      </c>
    </row>
    <row r="130" spans="1:11">
      <c r="A130" s="1">
        <v>12</v>
      </c>
      <c r="B130" s="19">
        <v>191659.29</v>
      </c>
      <c r="C130" s="13">
        <f t="shared" si="70"/>
        <v>5.6425784993631094</v>
      </c>
      <c r="D130" s="13">
        <f t="shared" si="71"/>
        <v>165.21469846135184</v>
      </c>
      <c r="E130" s="13">
        <f t="shared" si="72"/>
        <v>1.6521469846135184</v>
      </c>
      <c r="F130" s="2">
        <f t="shared" si="73"/>
        <v>7.8673665933977067E-5</v>
      </c>
      <c r="G130" s="13">
        <f t="shared" si="74"/>
        <v>2345564875105.7021</v>
      </c>
      <c r="H130" s="2">
        <f t="shared" si="75"/>
        <v>2345564.8751057023</v>
      </c>
      <c r="J130" s="10">
        <v>1.25</v>
      </c>
      <c r="K130" s="18">
        <v>13429</v>
      </c>
    </row>
    <row r="131" spans="1:11">
      <c r="A131" s="14">
        <v>24</v>
      </c>
      <c r="B131" s="19">
        <v>299024.53000000003</v>
      </c>
      <c r="C131" s="13">
        <f t="shared" si="70"/>
        <v>7.8133712772195159</v>
      </c>
      <c r="D131" s="13">
        <f t="shared" si="71"/>
        <v>315.03512989749078</v>
      </c>
      <c r="E131" s="13">
        <f t="shared" si="72"/>
        <v>3.1503512989749076</v>
      </c>
      <c r="F131" s="13">
        <f t="shared" si="73"/>
        <v>1.5001672852261465E-4</v>
      </c>
      <c r="G131" s="13">
        <f t="shared" si="74"/>
        <v>4472576241663.9551</v>
      </c>
      <c r="H131" s="13">
        <f t="shared" si="75"/>
        <v>4472576.2416639552</v>
      </c>
    </row>
    <row r="132" spans="1:11">
      <c r="A132" s="14">
        <v>48</v>
      </c>
      <c r="B132" s="19">
        <v>583106.5</v>
      </c>
      <c r="C132" s="13">
        <f t="shared" si="70"/>
        <v>13.557158454477445</v>
      </c>
      <c r="D132" s="13">
        <f t="shared" si="71"/>
        <v>578.07723649891898</v>
      </c>
      <c r="E132" s="13">
        <f t="shared" si="72"/>
        <v>5.7807723649891898</v>
      </c>
      <c r="F132" s="13">
        <f t="shared" si="73"/>
        <v>2.7527487452329476E-4</v>
      </c>
      <c r="G132" s="13">
        <f t="shared" si="74"/>
        <v>8207003817806.3311</v>
      </c>
      <c r="H132" s="13">
        <f t="shared" si="75"/>
        <v>8207003.8178063314</v>
      </c>
      <c r="J132" s="10" t="s">
        <v>38</v>
      </c>
      <c r="K132" s="10">
        <v>49459</v>
      </c>
    </row>
    <row r="133" spans="1:11">
      <c r="A133" s="14">
        <v>72</v>
      </c>
      <c r="B133" s="19">
        <v>2803930.9</v>
      </c>
      <c r="C133" s="13">
        <f t="shared" si="70"/>
        <v>58.459489678319414</v>
      </c>
      <c r="D133" s="13">
        <f t="shared" si="71"/>
        <v>2848.1463371277264</v>
      </c>
      <c r="E133" s="13">
        <f t="shared" si="72"/>
        <v>28.481463371277265</v>
      </c>
      <c r="F133" s="13">
        <f t="shared" si="73"/>
        <v>1.3562601605370127E-3</v>
      </c>
      <c r="G133" s="13">
        <f t="shared" si="74"/>
        <v>40435336987226.414</v>
      </c>
      <c r="H133" s="13">
        <f t="shared" si="75"/>
        <v>40435336.987226412</v>
      </c>
      <c r="J133" s="10" t="s">
        <v>33</v>
      </c>
      <c r="K133" s="10">
        <v>-87417</v>
      </c>
    </row>
    <row r="134" spans="1:11">
      <c r="A134" s="14">
        <v>96</v>
      </c>
      <c r="B134" s="19">
        <v>4174557.1</v>
      </c>
      <c r="C134" s="13">
        <f t="shared" si="70"/>
        <v>86.171861541883175</v>
      </c>
      <c r="D134" s="13">
        <f t="shared" si="71"/>
        <v>4391.318064174362</v>
      </c>
      <c r="E134" s="13">
        <f t="shared" si="72"/>
        <v>43.913180641743622</v>
      </c>
      <c r="F134" s="13">
        <f t="shared" si="73"/>
        <v>2.0911038400830296E-3</v>
      </c>
      <c r="G134" s="13">
        <f t="shared" si="74"/>
        <v>62343856222659.438</v>
      </c>
      <c r="H134" s="13">
        <f t="shared" si="75"/>
        <v>62343856.222659439</v>
      </c>
    </row>
    <row r="135" spans="1:11">
      <c r="A135" s="1" t="s">
        <v>86</v>
      </c>
      <c r="B135" s="19">
        <v>121175.5</v>
      </c>
      <c r="C135" s="13">
        <f>(B135-$K$133)/$K$132*2</f>
        <v>8.4349663357528453</v>
      </c>
      <c r="D135" s="13">
        <f>C135/$T$111*AA7</f>
        <v>340.09784265755457</v>
      </c>
      <c r="E135" s="13">
        <f t="shared" si="72"/>
        <v>3.4009784265755458</v>
      </c>
      <c r="F135" s="2">
        <f t="shared" si="73"/>
        <v>1.6195135364645456E-4</v>
      </c>
      <c r="G135" s="13">
        <f t="shared" si="74"/>
        <v>4828393364912.3496</v>
      </c>
      <c r="H135" s="2">
        <f t="shared" si="75"/>
        <v>4828393.3649123497</v>
      </c>
    </row>
    <row r="136" spans="1:11">
      <c r="A136" s="1" t="s">
        <v>73</v>
      </c>
      <c r="B136" s="19">
        <v>120365.04</v>
      </c>
      <c r="C136" s="13">
        <f>(B136-$K$133)/$K$132*2</f>
        <v>8.4021933318506221</v>
      </c>
      <c r="D136" s="13">
        <f t="shared" ref="D136:D138" si="76">C136/$T$111*AA8</f>
        <v>358.26952367011103</v>
      </c>
      <c r="E136" s="13">
        <f t="shared" si="72"/>
        <v>3.5826952367011105</v>
      </c>
      <c r="F136" s="2">
        <f t="shared" si="73"/>
        <v>1.7060453508100526E-4</v>
      </c>
      <c r="G136" s="13">
        <f t="shared" si="74"/>
        <v>5086378018224.8281</v>
      </c>
      <c r="H136" s="2">
        <f t="shared" si="75"/>
        <v>5086378.0182248279</v>
      </c>
    </row>
    <row r="137" spans="1:11">
      <c r="A137" s="1" t="s">
        <v>74</v>
      </c>
      <c r="B137" s="19">
        <v>462853.48</v>
      </c>
      <c r="C137" s="13">
        <f>(B137-$K$133)/$K$132*3</f>
        <v>33.377371964657598</v>
      </c>
      <c r="D137" s="13">
        <f t="shared" si="76"/>
        <v>1626.1455621181206</v>
      </c>
      <c r="E137" s="13">
        <f t="shared" si="72"/>
        <v>16.261455621181206</v>
      </c>
      <c r="F137" s="2">
        <f t="shared" si="73"/>
        <v>7.7435502958005738E-4</v>
      </c>
      <c r="G137" s="13">
        <f t="shared" si="74"/>
        <v>23086504698645.395</v>
      </c>
      <c r="H137" s="2">
        <f t="shared" si="75"/>
        <v>23086504.698645394</v>
      </c>
    </row>
    <row r="138" spans="1:11">
      <c r="A138" s="1" t="s">
        <v>75</v>
      </c>
      <c r="B138" s="19">
        <v>533176.24</v>
      </c>
      <c r="C138" s="13">
        <f>(B138-$K$133)/$K$132*4</f>
        <v>50.190520633251786</v>
      </c>
      <c r="D138" s="13">
        <f t="shared" si="76"/>
        <v>2557.7089314705081</v>
      </c>
      <c r="E138" s="13">
        <f t="shared" si="72"/>
        <v>25.577089314705081</v>
      </c>
      <c r="F138" s="2">
        <f t="shared" si="73"/>
        <v>1.2179566340335753E-3</v>
      </c>
      <c r="G138" s="13">
        <f t="shared" si="74"/>
        <v>36311976393581.906</v>
      </c>
      <c r="H138" s="2">
        <f t="shared" si="75"/>
        <v>36311976.393581904</v>
      </c>
    </row>
    <row r="139" spans="1:11">
      <c r="A139" s="14" t="s">
        <v>76</v>
      </c>
      <c r="B139" s="19">
        <v>88101.09</v>
      </c>
      <c r="C139" s="13">
        <f>(B139-$K$133)/$K$132*8</f>
        <v>28.39007501162579</v>
      </c>
      <c r="D139" s="13">
        <f>C139/$T$111*AA10</f>
        <v>1446.7582225924486</v>
      </c>
      <c r="E139" s="13">
        <f t="shared" si="72"/>
        <v>14.467582225924486</v>
      </c>
      <c r="F139" s="13">
        <f t="shared" si="73"/>
        <v>6.8893248694878507E-4</v>
      </c>
      <c r="G139" s="13">
        <f t="shared" si="74"/>
        <v>20539729826018.035</v>
      </c>
      <c r="H139" s="13">
        <f t="shared" si="75"/>
        <v>20539729.826018035</v>
      </c>
    </row>
    <row r="141" spans="1:11">
      <c r="B141" s="8" t="s">
        <v>91</v>
      </c>
      <c r="C141" s="8" t="s">
        <v>88</v>
      </c>
      <c r="D141" s="8" t="s">
        <v>89</v>
      </c>
      <c r="E141" s="14" t="s">
        <v>7</v>
      </c>
      <c r="F141" s="14" t="s">
        <v>8</v>
      </c>
      <c r="G141" s="14" t="s">
        <v>9</v>
      </c>
      <c r="H141" s="14" t="s">
        <v>10</v>
      </c>
      <c r="J141" s="10" t="s">
        <v>2</v>
      </c>
      <c r="K141" s="10" t="s">
        <v>1</v>
      </c>
    </row>
    <row r="142" spans="1:11">
      <c r="A142" s="1">
        <v>0</v>
      </c>
      <c r="B142" s="19">
        <v>8570.27</v>
      </c>
      <c r="C142" s="13">
        <f>(B142-$K$149)/$K$148</f>
        <v>1.0709525126711521</v>
      </c>
      <c r="D142" s="13">
        <f>C142/$T$111*AI3</f>
        <v>39.411052466298393</v>
      </c>
      <c r="E142" s="13">
        <f>D142/$T$112</f>
        <v>0.39411052466298391</v>
      </c>
      <c r="F142" s="2">
        <f>E142/$T$113</f>
        <v>1.8767167841094472E-5</v>
      </c>
      <c r="G142" s="13">
        <f>F142*$T$114*$T$115</f>
        <v>559521526939.21436</v>
      </c>
      <c r="H142" s="2">
        <f>G142/1000000</f>
        <v>559521.52693921432</v>
      </c>
      <c r="J142" s="10">
        <v>10</v>
      </c>
      <c r="K142" s="18">
        <v>1108924</v>
      </c>
    </row>
    <row r="143" spans="1:11">
      <c r="A143" s="1">
        <v>4</v>
      </c>
      <c r="B143" s="19">
        <v>20112.59</v>
      </c>
      <c r="C143" s="13">
        <f t="shared" ref="C143:C149" si="77">(B143-$K$149)/$K$148</f>
        <v>1.16485587835694</v>
      </c>
      <c r="D143" s="13">
        <f t="shared" ref="D143:D149" si="78">C143/$T$111*AI4</f>
        <v>38.300461280376105</v>
      </c>
      <c r="E143" s="13">
        <f t="shared" ref="E143:E154" si="79">D143/$T$112</f>
        <v>0.38300461280376102</v>
      </c>
      <c r="F143" s="2">
        <f t="shared" ref="F143:F154" si="80">E143/$T$113</f>
        <v>1.8238314895417193E-5</v>
      </c>
      <c r="G143" s="13">
        <f t="shared" ref="G143:G154" si="81">F143*$T$114*$T$115</f>
        <v>543754384544.73389</v>
      </c>
      <c r="H143" s="2">
        <f t="shared" ref="H143:H154" si="82">G143/1000000</f>
        <v>543754.38454473391</v>
      </c>
      <c r="J143" s="10">
        <v>2.5</v>
      </c>
      <c r="K143" s="18">
        <v>164473.75</v>
      </c>
    </row>
    <row r="144" spans="1:11">
      <c r="A144" s="1">
        <v>8</v>
      </c>
      <c r="B144" s="19">
        <v>26004</v>
      </c>
      <c r="C144" s="13">
        <f t="shared" si="77"/>
        <v>1.2127858636315563</v>
      </c>
      <c r="D144" s="13">
        <f t="shared" si="78"/>
        <v>43.85433682891712</v>
      </c>
      <c r="E144" s="13">
        <f t="shared" si="79"/>
        <v>0.43854336828917118</v>
      </c>
      <c r="F144" s="2">
        <f t="shared" si="80"/>
        <v>2.088301753757958E-5</v>
      </c>
      <c r="G144" s="13">
        <f t="shared" si="81"/>
        <v>622603152412.76697</v>
      </c>
      <c r="H144" s="2">
        <f t="shared" si="82"/>
        <v>622603.15241276694</v>
      </c>
      <c r="J144" s="10">
        <v>1.25</v>
      </c>
      <c r="K144" s="18">
        <v>47507.43</v>
      </c>
    </row>
    <row r="145" spans="1:11">
      <c r="A145" s="1">
        <v>12</v>
      </c>
      <c r="B145" s="19">
        <v>185865</v>
      </c>
      <c r="C145" s="13">
        <f t="shared" si="77"/>
        <v>2.5133464044843268</v>
      </c>
      <c r="D145" s="13">
        <f t="shared" si="78"/>
        <v>83.040965204162148</v>
      </c>
      <c r="E145" s="13">
        <f t="shared" si="79"/>
        <v>0.83040965204162154</v>
      </c>
      <c r="F145" s="2">
        <f t="shared" si="80"/>
        <v>3.9543316763886738E-5</v>
      </c>
      <c r="G145" s="13">
        <f t="shared" si="81"/>
        <v>1178938514501.0046</v>
      </c>
      <c r="H145" s="2">
        <f t="shared" si="82"/>
        <v>1178938.5145010047</v>
      </c>
    </row>
    <row r="146" spans="1:11">
      <c r="A146" s="14">
        <v>24</v>
      </c>
      <c r="B146" s="19">
        <v>395999.31</v>
      </c>
      <c r="C146" s="13">
        <f t="shared" si="77"/>
        <v>4.2229090361788852</v>
      </c>
      <c r="D146" s="13">
        <f t="shared" si="78"/>
        <v>162.83537243505759</v>
      </c>
      <c r="E146" s="13">
        <f t="shared" si="79"/>
        <v>1.6283537243505759</v>
      </c>
      <c r="F146" s="13">
        <f t="shared" si="80"/>
        <v>7.7540653540503608E-5</v>
      </c>
      <c r="G146" s="13">
        <f t="shared" si="81"/>
        <v>2311785413558.5435</v>
      </c>
      <c r="H146" s="13">
        <f t="shared" si="82"/>
        <v>2311785.4135585437</v>
      </c>
      <c r="J146" s="8">
        <v>5</v>
      </c>
      <c r="K146" s="8">
        <v>335440.65999999997</v>
      </c>
    </row>
    <row r="147" spans="1:11">
      <c r="A147" s="14">
        <v>48</v>
      </c>
      <c r="B147" s="19">
        <v>928947.67</v>
      </c>
      <c r="C147" s="13">
        <f t="shared" si="77"/>
        <v>8.5587483423773758</v>
      </c>
      <c r="D147" s="13">
        <f t="shared" si="78"/>
        <v>344.4040332972661</v>
      </c>
      <c r="E147" s="13">
        <f t="shared" si="79"/>
        <v>3.4440403329726608</v>
      </c>
      <c r="F147" s="13">
        <f t="shared" si="80"/>
        <v>1.6400192061774576E-4</v>
      </c>
      <c r="G147" s="13">
        <f t="shared" si="81"/>
        <v>4889528661009.3789</v>
      </c>
      <c r="H147" s="13">
        <f t="shared" si="82"/>
        <v>4889528.6610093787</v>
      </c>
    </row>
    <row r="148" spans="1:11">
      <c r="A148" s="14">
        <v>72</v>
      </c>
      <c r="B148" s="19">
        <v>4323448.07</v>
      </c>
      <c r="C148" s="13">
        <f t="shared" si="77"/>
        <v>36.17494789166674</v>
      </c>
      <c r="D148" s="13">
        <f t="shared" si="78"/>
        <v>1655.3656155226713</v>
      </c>
      <c r="E148" s="13">
        <f t="shared" si="79"/>
        <v>16.553656155226712</v>
      </c>
      <c r="F148" s="13">
        <f t="shared" si="80"/>
        <v>7.8826934072508147E-4</v>
      </c>
      <c r="G148" s="13">
        <f t="shared" si="81"/>
        <v>23501343883976.469</v>
      </c>
      <c r="H148" s="13">
        <f t="shared" si="82"/>
        <v>23501343.883976467</v>
      </c>
      <c r="J148" s="10" t="s">
        <v>92</v>
      </c>
      <c r="K148" s="10">
        <v>122917</v>
      </c>
    </row>
    <row r="149" spans="1:11">
      <c r="A149" s="14">
        <v>96</v>
      </c>
      <c r="B149" s="19">
        <v>2956566.14</v>
      </c>
      <c r="C149" s="13">
        <f t="shared" si="77"/>
        <v>25.054582685877463</v>
      </c>
      <c r="D149" s="13">
        <f t="shared" si="78"/>
        <v>1268.7640672128339</v>
      </c>
      <c r="E149" s="13">
        <f t="shared" si="79"/>
        <v>12.687640672128339</v>
      </c>
      <c r="F149" s="13">
        <f t="shared" si="80"/>
        <v>6.0417336533944474E-4</v>
      </c>
      <c r="G149" s="13">
        <f t="shared" si="81"/>
        <v>18012734088225.406</v>
      </c>
      <c r="H149" s="13">
        <f t="shared" si="82"/>
        <v>18012734.088225406</v>
      </c>
      <c r="J149" s="10" t="s">
        <v>93</v>
      </c>
      <c r="K149" s="10">
        <v>-123068</v>
      </c>
    </row>
    <row r="150" spans="1:11">
      <c r="A150" s="1" t="s">
        <v>86</v>
      </c>
      <c r="B150" s="19">
        <v>159396.28</v>
      </c>
      <c r="C150" s="13">
        <f>(B150-$K$149)/$K$148*2</f>
        <v>4.5960164989383081</v>
      </c>
      <c r="D150" s="13">
        <f>C150/$T$111*AI7</f>
        <v>177.22239619906091</v>
      </c>
      <c r="E150" s="13">
        <f t="shared" si="79"/>
        <v>1.7722239619906091</v>
      </c>
      <c r="F150" s="2">
        <f t="shared" si="80"/>
        <v>8.439161723764805E-5</v>
      </c>
      <c r="G150" s="13">
        <f t="shared" si="81"/>
        <v>2516039017580.6533</v>
      </c>
      <c r="H150" s="2">
        <f t="shared" si="82"/>
        <v>2516039.0175806535</v>
      </c>
    </row>
    <row r="151" spans="1:11">
      <c r="A151" s="1" t="s">
        <v>73</v>
      </c>
      <c r="B151" s="19">
        <v>351381.24</v>
      </c>
      <c r="C151" s="13">
        <f>(B151-$K$149)/$K$148*2</f>
        <v>7.7198311055427649</v>
      </c>
      <c r="D151" s="13">
        <f t="shared" ref="D151:D153" si="83">C151/$T$111*AI8</f>
        <v>310.64600368704129</v>
      </c>
      <c r="E151" s="13">
        <f t="shared" si="79"/>
        <v>3.1064600368704127</v>
      </c>
      <c r="F151" s="2">
        <f t="shared" si="80"/>
        <v>1.4792666842240059E-4</v>
      </c>
      <c r="G151" s="13">
        <f t="shared" si="81"/>
        <v>4410263503345.1875</v>
      </c>
      <c r="H151" s="2">
        <f t="shared" si="82"/>
        <v>4410263.5033451878</v>
      </c>
    </row>
    <row r="152" spans="1:11">
      <c r="A152" s="1" t="s">
        <v>74</v>
      </c>
      <c r="B152" s="19">
        <v>679902.5</v>
      </c>
      <c r="C152" s="13">
        <f>(B152-$K$149)/$K$148*3</f>
        <v>19.597870921028012</v>
      </c>
      <c r="D152" s="13">
        <f t="shared" si="83"/>
        <v>896.79857334624251</v>
      </c>
      <c r="E152" s="13">
        <f t="shared" si="79"/>
        <v>8.9679857334624256</v>
      </c>
      <c r="F152" s="2">
        <f t="shared" si="80"/>
        <v>4.2704693968868693E-4</v>
      </c>
      <c r="G152" s="13">
        <f t="shared" si="81"/>
        <v>12731913402837.561</v>
      </c>
      <c r="H152" s="2">
        <f t="shared" si="82"/>
        <v>12731913.402837561</v>
      </c>
    </row>
    <row r="153" spans="1:11">
      <c r="A153" s="1" t="s">
        <v>75</v>
      </c>
      <c r="B153" s="19">
        <v>548416.38</v>
      </c>
      <c r="C153" s="13">
        <f>(B153-$K$149)/$K$148*4</f>
        <v>21.851635819292692</v>
      </c>
      <c r="D153" s="13">
        <f t="shared" si="83"/>
        <v>1106.5668378889811</v>
      </c>
      <c r="E153" s="13">
        <f t="shared" si="79"/>
        <v>11.065668378889811</v>
      </c>
      <c r="F153" s="2">
        <f t="shared" si="80"/>
        <v>5.269365894709434E-4</v>
      </c>
      <c r="G153" s="13">
        <f t="shared" si="81"/>
        <v>15710008437998.285</v>
      </c>
      <c r="H153" s="2">
        <f t="shared" si="82"/>
        <v>15710008.437998286</v>
      </c>
    </row>
    <row r="154" spans="1:11">
      <c r="A154" s="14" t="s">
        <v>76</v>
      </c>
      <c r="B154" s="19">
        <v>108992.86</v>
      </c>
      <c r="C154" s="13">
        <f>(B154-$K$149)/$K$148*8</f>
        <v>15.103581115712228</v>
      </c>
      <c r="D154" s="13">
        <f>C154/$T$111*AI10</f>
        <v>764.84534769966672</v>
      </c>
      <c r="E154" s="13">
        <f t="shared" si="79"/>
        <v>7.648453476996667</v>
      </c>
      <c r="F154" s="13">
        <f t="shared" si="80"/>
        <v>3.642120703331746E-4</v>
      </c>
      <c r="G154" s="13">
        <f t="shared" si="81"/>
        <v>10858564033102.717</v>
      </c>
      <c r="H154" s="13">
        <f t="shared" si="82"/>
        <v>10858564.033102717</v>
      </c>
    </row>
  </sheetData>
  <mergeCells count="5">
    <mergeCell ref="U1:AI1"/>
    <mergeCell ref="Y114:Z114"/>
    <mergeCell ref="V114:W114"/>
    <mergeCell ref="V26:W26"/>
    <mergeCell ref="Y26:Z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Federico</dc:creator>
  <cp:lastModifiedBy>Emi</cp:lastModifiedBy>
  <dcterms:created xsi:type="dcterms:W3CDTF">2020-02-14T15:13:48Z</dcterms:created>
  <dcterms:modified xsi:type="dcterms:W3CDTF">2021-01-14T12:31:08Z</dcterms:modified>
</cp:coreProperties>
</file>