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8_{A4293EAB-9EFC-3841-B107-60D8DC7BC140}" xr6:coauthVersionLast="36" xr6:coauthVersionMax="36" xr10:uidLastSave="{00000000-0000-0000-0000-000000000000}"/>
  <bookViews>
    <workbookView xWindow="-3660" yWindow="-18460" windowWidth="24440" windowHeight="12460" activeTab="3" xr2:uid="{00000000-000D-0000-FFFF-FFFF00000000}"/>
  </bookViews>
  <sheets>
    <sheet name="thyl surface and model data" sheetId="2" r:id="rId1"/>
    <sheet name="EQUATION.4_CALCULATION" sheetId="10" r:id="rId2"/>
    <sheet name="FIG 9 _DATA" sheetId="11" r:id="rId3"/>
    <sheet name="Fig9 supp1" sheetId="7" r:id="rId4"/>
  </sheets>
  <externalReferences>
    <externalReference r:id="rId5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2" l="1"/>
  <c r="W14" i="2"/>
  <c r="V14" i="2"/>
  <c r="T14" i="2"/>
  <c r="S14" i="2"/>
  <c r="R14" i="2"/>
  <c r="X13" i="2"/>
  <c r="W13" i="2"/>
  <c r="V13" i="2"/>
  <c r="T13" i="2"/>
  <c r="S13" i="2"/>
  <c r="R13" i="2"/>
  <c r="X12" i="2"/>
  <c r="W12" i="2"/>
  <c r="V12" i="2"/>
  <c r="T12" i="2"/>
  <c r="S12" i="2"/>
  <c r="R12" i="2"/>
  <c r="X11" i="2"/>
  <c r="W11" i="2"/>
  <c r="V11" i="2"/>
  <c r="T11" i="2"/>
  <c r="S11" i="2"/>
  <c r="R11" i="2"/>
  <c r="X10" i="2"/>
  <c r="W10" i="2"/>
  <c r="V10" i="2"/>
  <c r="T10" i="2"/>
  <c r="S10" i="2"/>
  <c r="R10" i="2"/>
  <c r="X9" i="2"/>
  <c r="W9" i="2"/>
  <c r="V9" i="2"/>
  <c r="T9" i="2"/>
  <c r="S9" i="2"/>
  <c r="R9" i="2"/>
  <c r="X8" i="2"/>
  <c r="W8" i="2"/>
  <c r="V8" i="2"/>
  <c r="T8" i="2"/>
  <c r="S8" i="2"/>
  <c r="R8" i="2"/>
  <c r="X7" i="2"/>
  <c r="W7" i="2"/>
  <c r="V7" i="2"/>
  <c r="T7" i="2"/>
  <c r="S7" i="2"/>
  <c r="R7" i="2"/>
  <c r="G19" i="7" l="1"/>
  <c r="G18" i="7"/>
  <c r="H17" i="7" s="1"/>
  <c r="G17" i="7"/>
  <c r="G5" i="7"/>
  <c r="G6" i="7"/>
  <c r="G7" i="7"/>
  <c r="G4" i="7"/>
  <c r="C8" i="7" l="1"/>
  <c r="G8" i="7" s="1"/>
  <c r="C4" i="10"/>
  <c r="C5" i="10"/>
  <c r="C6" i="10"/>
  <c r="C3" i="10"/>
  <c r="P20" i="2"/>
  <c r="O46" i="2" s="1"/>
  <c r="P17" i="2"/>
  <c r="O43" i="2" s="1"/>
  <c r="O17" i="2"/>
  <c r="N35" i="2" s="1"/>
  <c r="J4" i="10"/>
  <c r="C15" i="10"/>
  <c r="C16" i="10"/>
  <c r="C14" i="10"/>
  <c r="C12" i="10"/>
  <c r="C13" i="10"/>
  <c r="C11" i="10"/>
  <c r="C10" i="10"/>
  <c r="O19" i="2"/>
  <c r="O37" i="2" s="1"/>
  <c r="P19" i="2"/>
  <c r="O45" i="2" s="1"/>
  <c r="O18" i="2"/>
  <c r="O36" i="2" s="1"/>
  <c r="P18" i="2"/>
  <c r="O44" i="2" s="1"/>
  <c r="N18" i="2"/>
  <c r="N28" i="2" s="1"/>
  <c r="O34" i="7"/>
  <c r="E24" i="7"/>
  <c r="F24" i="7" s="1"/>
  <c r="E25" i="7"/>
  <c r="E26" i="7"/>
  <c r="O23" i="2"/>
  <c r="O41" i="2" s="1"/>
  <c r="O21" i="2"/>
  <c r="O39" i="2" s="1"/>
  <c r="D9" i="10" l="1"/>
  <c r="E9" i="10" s="1"/>
  <c r="F9" i="10" s="1"/>
  <c r="G9" i="10" s="1"/>
  <c r="H9" i="10" s="1"/>
  <c r="I9" i="10" s="1"/>
  <c r="B2" i="11" s="1"/>
  <c r="C6" i="2"/>
  <c r="D2" i="11" s="1"/>
  <c r="C8" i="2"/>
  <c r="D4" i="11" s="1"/>
  <c r="C7" i="2"/>
  <c r="D3" i="11" s="1"/>
  <c r="C14" i="2"/>
  <c r="D10" i="11" s="1"/>
  <c r="C13" i="2"/>
  <c r="D9" i="11" s="1"/>
  <c r="C12" i="2"/>
  <c r="D8" i="11" s="1"/>
  <c r="C10" i="2"/>
  <c r="D6" i="11" s="1"/>
  <c r="C11" i="2"/>
  <c r="D7" i="11" s="1"/>
  <c r="C9" i="2"/>
  <c r="D5" i="11" s="1"/>
  <c r="P21" i="2"/>
  <c r="O47" i="2" s="1"/>
  <c r="O24" i="2"/>
  <c r="O42" i="2" s="1"/>
  <c r="P23" i="2"/>
  <c r="O49" i="2" s="1"/>
  <c r="N22" i="2"/>
  <c r="N32" i="2" s="1"/>
  <c r="N24" i="2"/>
  <c r="N34" i="2" s="1"/>
  <c r="P22" i="2"/>
  <c r="O48" i="2" s="1"/>
  <c r="N19" i="2"/>
  <c r="N29" i="2" s="1"/>
  <c r="G9" i="7"/>
  <c r="O41" i="7"/>
  <c r="G10" i="7"/>
  <c r="I4" i="7" s="1"/>
  <c r="J4" i="7" s="1"/>
  <c r="I3" i="7"/>
  <c r="J7" i="7"/>
  <c r="I7" i="7"/>
  <c r="O20" i="2"/>
  <c r="O38" i="2" s="1"/>
  <c r="D10" i="10"/>
  <c r="E10" i="10" s="1"/>
  <c r="F10" i="10" s="1"/>
  <c r="G10" i="10" s="1"/>
  <c r="H10" i="10" s="1"/>
  <c r="I10" i="10" s="1"/>
  <c r="B3" i="11" s="1"/>
  <c r="D13" i="10"/>
  <c r="E13" i="10" s="1"/>
  <c r="F13" i="10" s="1"/>
  <c r="D14" i="10"/>
  <c r="E14" i="10" s="1"/>
  <c r="F14" i="10" s="1"/>
  <c r="D15" i="10"/>
  <c r="E15" i="10" s="1"/>
  <c r="F15" i="10" s="1"/>
  <c r="G15" i="10" s="1"/>
  <c r="H15" i="10" s="1"/>
  <c r="I15" i="10" s="1"/>
  <c r="B12" i="11" s="1"/>
  <c r="N17" i="2"/>
  <c r="N27" i="2" s="1"/>
  <c r="N20" i="2"/>
  <c r="N30" i="2" s="1"/>
  <c r="P24" i="2"/>
  <c r="O50" i="2" s="1"/>
  <c r="D11" i="10"/>
  <c r="E11" i="10" s="1"/>
  <c r="F11" i="10" s="1"/>
  <c r="D12" i="10"/>
  <c r="E12" i="10" s="1"/>
  <c r="F12" i="10" s="1"/>
  <c r="D16" i="10"/>
  <c r="E16" i="10" s="1"/>
  <c r="F16" i="10" s="1"/>
  <c r="G16" i="10" s="1"/>
  <c r="H16" i="10" s="1"/>
  <c r="I16" i="10" s="1"/>
  <c r="B13" i="11" s="1"/>
  <c r="G11" i="10"/>
  <c r="H11" i="10" s="1"/>
  <c r="I11" i="10" s="1"/>
  <c r="B6" i="11" s="1"/>
  <c r="G13" i="10"/>
  <c r="H13" i="10" s="1"/>
  <c r="I13" i="10" s="1"/>
  <c r="B8" i="11" s="1"/>
  <c r="G12" i="10"/>
  <c r="H12" i="10" s="1"/>
  <c r="I12" i="10" s="1"/>
  <c r="B7" i="11" s="1"/>
  <c r="G14" i="10"/>
  <c r="H14" i="10" s="1"/>
  <c r="I14" i="10" s="1"/>
  <c r="B11" i="11" s="1"/>
  <c r="N21" i="2"/>
  <c r="N31" i="2" s="1"/>
  <c r="N23" i="2"/>
  <c r="N33" i="2" s="1"/>
  <c r="O22" i="2"/>
  <c r="O40" i="2" s="1"/>
  <c r="I8" i="7" l="1"/>
  <c r="K4" i="7"/>
  <c r="L4" i="7" s="1"/>
  <c r="J3" i="7"/>
  <c r="K3" i="7" s="1"/>
  <c r="L3" i="7" s="1"/>
  <c r="M4" i="7" s="1"/>
  <c r="J8" i="7"/>
</calcChain>
</file>

<file path=xl/sharedStrings.xml><?xml version="1.0" encoding="utf-8"?>
<sst xmlns="http://schemas.openxmlformats.org/spreadsheetml/2006/main" count="113" uniqueCount="83">
  <si>
    <t>T4.1</t>
  </si>
  <si>
    <t>T4.2</t>
  </si>
  <si>
    <t>T4.3</t>
  </si>
  <si>
    <t>T24.1</t>
  </si>
  <si>
    <t>T24.2</t>
  </si>
  <si>
    <t>T24.4</t>
  </si>
  <si>
    <t>T96.4</t>
  </si>
  <si>
    <t>T96.5</t>
  </si>
  <si>
    <t>T96.6</t>
  </si>
  <si>
    <t>T0</t>
  </si>
  <si>
    <t>T4</t>
  </si>
  <si>
    <t>T24</t>
  </si>
  <si>
    <t>T96</t>
  </si>
  <si>
    <t>MEAN</t>
  </si>
  <si>
    <t>T48</t>
  </si>
  <si>
    <t>T72</t>
  </si>
  <si>
    <t>IMAGE J MEASURE</t>
  </si>
  <si>
    <t xml:space="preserve">TOT AREA </t>
  </si>
  <si>
    <t xml:space="preserve">FIRST PALISADE </t>
  </si>
  <si>
    <t>SECOND PALISADE</t>
  </si>
  <si>
    <t>FIRST SPONGY</t>
  </si>
  <si>
    <t xml:space="preserve">SECOND SPONGY </t>
  </si>
  <si>
    <t>100-103</t>
  </si>
  <si>
    <t>400-403</t>
  </si>
  <si>
    <t>33-36</t>
  </si>
  <si>
    <t xml:space="preserve">    </t>
  </si>
  <si>
    <t xml:space="preserve">THICKNESS </t>
  </si>
  <si>
    <t xml:space="preserve">IDENTIFICATION OF ZONES WITH PALISADE AND SPONGY CELLS (2D IMAGES)  </t>
  </si>
  <si>
    <t>%</t>
  </si>
  <si>
    <t xml:space="preserve">NB CELLS PER COTYLEDON </t>
  </si>
  <si>
    <t xml:space="preserve">VOLUME ONLY OF CELLS </t>
  </si>
  <si>
    <t xml:space="preserve">NB CELLS PER SEEDLING </t>
  </si>
  <si>
    <t xml:space="preserve">TOTAL COTYLEDON VOLUME </t>
  </si>
  <si>
    <t xml:space="preserve">MORPHOMETRIC </t>
  </si>
  <si>
    <t>T8</t>
  </si>
  <si>
    <t>T12</t>
  </si>
  <si>
    <t xml:space="preserve">PSII </t>
  </si>
  <si>
    <t xml:space="preserve">MOLECULAR DATA </t>
  </si>
  <si>
    <t xml:space="preserve">PSI </t>
  </si>
  <si>
    <t xml:space="preserve">CYT B5F </t>
  </si>
  <si>
    <t xml:space="preserve">REPLICATES FOR MATH MODEL </t>
  </si>
  <si>
    <t xml:space="preserve">FOR PSI:NEGATIVE VALUES CONVERTED IN 0 </t>
  </si>
  <si>
    <t>temps</t>
  </si>
  <si>
    <t>aire</t>
  </si>
  <si>
    <t>replica</t>
  </si>
  <si>
    <t xml:space="preserve">data organized for R </t>
  </si>
  <si>
    <t xml:space="preserve">EQUATION </t>
  </si>
  <si>
    <t>NON LINEAR MODEL , DATA GENERATED IN R</t>
  </si>
  <si>
    <t>A</t>
  </si>
  <si>
    <t>A+ (B-A)/1 + E (D-X)/C</t>
  </si>
  <si>
    <t>1 + E (D-X)/C</t>
  </si>
  <si>
    <t>B-A</t>
  </si>
  <si>
    <t>B</t>
  </si>
  <si>
    <t>C</t>
  </si>
  <si>
    <t>D</t>
  </si>
  <si>
    <t>CALCULATIONS</t>
  </si>
  <si>
    <t>LOG BASE 2</t>
  </si>
  <si>
    <t>(D-X)/C</t>
  </si>
  <si>
    <t>EXP</t>
  </si>
  <si>
    <t>1+ EXP VALUE</t>
  </si>
  <si>
    <t xml:space="preserve">POTENZA </t>
  </si>
  <si>
    <t xml:space="preserve">MODEL </t>
  </si>
  <si>
    <t>MORPHO</t>
  </si>
  <si>
    <t xml:space="preserve">CALCULATION OF THE 4 COEFFICIENTS (a,b,c and d) </t>
  </si>
  <si>
    <t>COEFFICIENTS CALCULATED USING R SCRIPT</t>
  </si>
  <si>
    <t xml:space="preserve"> THYLAKOID SURFACE PER SEEDLING </t>
  </si>
  <si>
    <t>MGDG</t>
  </si>
  <si>
    <t>DGDG</t>
  </si>
  <si>
    <t>TOT AREA</t>
  </si>
  <si>
    <t>FIRST PALISADE</t>
  </si>
  <si>
    <t>SPONGY</t>
  </si>
  <si>
    <t>IMAGE</t>
  </si>
  <si>
    <t>COTYLEDON SURFACE (mm2)</t>
  </si>
  <si>
    <t>a</t>
  </si>
  <si>
    <t>b</t>
  </si>
  <si>
    <t>c</t>
  </si>
  <si>
    <t>d</t>
  </si>
  <si>
    <t>SE (+/-)</t>
  </si>
  <si>
    <t>t value</t>
  </si>
  <si>
    <t>Coefficient</t>
  </si>
  <si>
    <t>Value</t>
  </si>
  <si>
    <t>MODEL DATA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</si>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</sst>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E+00"/>
    <numFmt numFmtId="166" formatCode="0.00000"/>
    <numFmt numFmtId="168" formatCode="0.0000E+00"/>
    <numFmt numFmtId="169" formatCode="0.000E+00"/>
  </numFmts>
  <fonts count="7">
    <font>
      <sz val="11"/>
      <color theme="1"/>
      <name val="Roboto Light"/>
      <family val="2"/>
    </font>
    <font>
      <b/>
      <sz val="11"/>
      <color theme="1"/>
      <name val="Roboto Light"/>
    </font>
    <font>
      <b/>
      <sz val="11"/>
      <color theme="1"/>
      <name val="Calibri"/>
      <family val="2"/>
      <scheme val="minor"/>
    </font>
    <font>
      <sz val="11"/>
      <color theme="1"/>
      <name val="Roboto Light"/>
    </font>
    <font>
      <b/>
      <sz val="11"/>
      <name val="Roboto Light"/>
    </font>
    <font>
      <u/>
      <sz val="11"/>
      <color theme="1"/>
      <name val="Roboto Light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0" xfId="0" applyFill="1"/>
    <xf numFmtId="11" fontId="0" fillId="0" borderId="0" xfId="0" applyNumberFormat="1"/>
    <xf numFmtId="0" fontId="0" fillId="0" borderId="6" xfId="0" applyFill="1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/>
    <xf numFmtId="11" fontId="0" fillId="0" borderId="0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0" borderId="0" xfId="0" applyNumberFormat="1"/>
    <xf numFmtId="1" fontId="0" fillId="0" borderId="0" xfId="0" applyNumberFormat="1" applyBorder="1" applyAlignment="1">
      <alignment horizontal="center"/>
    </xf>
    <xf numFmtId="11" fontId="0" fillId="0" borderId="0" xfId="0" applyNumberFormat="1" applyBorder="1"/>
    <xf numFmtId="11" fontId="0" fillId="0" borderId="1" xfId="0" applyNumberFormat="1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10" xfId="0" applyFill="1" applyBorder="1" applyAlignment="1"/>
    <xf numFmtId="11" fontId="1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11" fontId="0" fillId="5" borderId="0" xfId="0" applyNumberFormat="1" applyFill="1" applyAlignment="1">
      <alignment horizontal="center"/>
    </xf>
    <xf numFmtId="0" fontId="0" fillId="5" borderId="0" xfId="0" applyFill="1"/>
    <xf numFmtId="165" fontId="5" fillId="5" borderId="0" xfId="0" applyNumberFormat="1" applyFont="1" applyFill="1" applyAlignment="1">
      <alignment horizontal="center"/>
    </xf>
    <xf numFmtId="0" fontId="0" fillId="2" borderId="0" xfId="0" applyFill="1"/>
    <xf numFmtId="0" fontId="0" fillId="6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1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/>
    <xf numFmtId="0" fontId="1" fillId="0" borderId="0" xfId="0" applyFont="1" applyBorder="1" applyAlignment="1"/>
    <xf numFmtId="11" fontId="1" fillId="0" borderId="0" xfId="0" applyNumberFormat="1" applyFont="1" applyBorder="1" applyAlignment="1"/>
    <xf numFmtId="11" fontId="0" fillId="5" borderId="0" xfId="0" applyNumberFormat="1" applyFill="1" applyAlignment="1">
      <alignment horizontal="center"/>
    </xf>
    <xf numFmtId="1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165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68" fontId="0" fillId="5" borderId="0" xfId="0" applyNumberFormat="1" applyFill="1" applyAlignment="1">
      <alignment horizontal="center"/>
    </xf>
    <xf numFmtId="169" fontId="0" fillId="5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1" fontId="0" fillId="0" borderId="0" xfId="0" applyNumberFormat="1" applyFill="1"/>
    <xf numFmtId="1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" xfId="0" applyFill="1" applyBorder="1"/>
    <xf numFmtId="1" fontId="4" fillId="0" borderId="0" xfId="0" applyNumberFormat="1" applyFont="1" applyFill="1" applyBorder="1" applyAlignment="1"/>
    <xf numFmtId="0" fontId="0" fillId="0" borderId="3" xfId="0" applyFill="1" applyBorder="1" applyAlignment="1">
      <alignment horizontal="center"/>
    </xf>
    <xf numFmtId="0" fontId="1" fillId="0" borderId="0" xfId="0" applyFont="1" applyFill="1" applyBorder="1" applyAlignment="1"/>
    <xf numFmtId="11" fontId="0" fillId="0" borderId="1" xfId="0" applyNumberFormat="1" applyFill="1" applyBorder="1"/>
    <xf numFmtId="2" fontId="0" fillId="0" borderId="3" xfId="0" applyNumberFormat="1" applyFill="1" applyBorder="1" applyAlignment="1">
      <alignment horizontal="center"/>
    </xf>
    <xf numFmtId="10" fontId="0" fillId="0" borderId="0" xfId="0" applyNumberFormat="1" applyFill="1"/>
    <xf numFmtId="164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11" fontId="0" fillId="5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1" fontId="1" fillId="0" borderId="1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9 _DATA'!$A$2:$A$15</c:f>
              <c:numCache>
                <c:formatCode>General</c:formatCode>
                <c:ptCount val="14"/>
                <c:pt idx="0">
                  <c:v>0</c:v>
                </c:pt>
                <c:pt idx="1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24</c:v>
                </c:pt>
                <c:pt idx="9">
                  <c:v>48</c:v>
                </c:pt>
                <c:pt idx="10">
                  <c:v>72</c:v>
                </c:pt>
                <c:pt idx="11">
                  <c:v>96</c:v>
                </c:pt>
              </c:numCache>
            </c:numRef>
          </c:xVal>
          <c:yVal>
            <c:numRef>
              <c:f>'FIG 9 _DATA'!$B$2:$B$15</c:f>
              <c:numCache>
                <c:formatCode>0.00E+00</c:formatCode>
                <c:ptCount val="14"/>
                <c:pt idx="0">
                  <c:v>16136472.982530264</c:v>
                </c:pt>
                <c:pt idx="1">
                  <c:v>18193962.945777524</c:v>
                </c:pt>
                <c:pt idx="4">
                  <c:v>23468856.130264256</c:v>
                </c:pt>
                <c:pt idx="5">
                  <c:v>31726022.45728163</c:v>
                </c:pt>
                <c:pt idx="6">
                  <c:v>76266013.24105145</c:v>
                </c:pt>
                <c:pt idx="9">
                  <c:v>226512634.4354912</c:v>
                </c:pt>
                <c:pt idx="10">
                  <c:v>375827004.85565388</c:v>
                </c:pt>
                <c:pt idx="11">
                  <c:v>487722164.98996216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0F-4E7F-B4B6-3B4FDDA23B8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 9 _DATA'!$C$2:$C$10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</c:numCache>
            </c:numRef>
          </c:xVal>
          <c:yVal>
            <c:numRef>
              <c:f>'FIG 9 _DATA'!$D$2:$D$10</c:f>
              <c:numCache>
                <c:formatCode>0.00E+00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0F-4E7F-B4B6-3B4FDDA2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383232"/>
        <c:axId val="443382576"/>
      </c:scatterChart>
      <c:valAx>
        <c:axId val="44338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382576"/>
        <c:crosses val="autoZero"/>
        <c:crossBetween val="midCat"/>
      </c:valAx>
      <c:valAx>
        <c:axId val="44338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338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'Fig9 supp1'!$K$14:$K$15</c:f>
                <c:numCache>
                  <c:formatCode>General</c:formatCode>
                  <c:ptCount val="2"/>
                  <c:pt idx="0">
                    <c:v>0.35</c:v>
                  </c:pt>
                  <c:pt idx="1">
                    <c:v>0.7</c:v>
                  </c:pt>
                </c:numCache>
              </c:numRef>
            </c:plus>
            <c:minus>
              <c:numRef>
                <c:f>'Fig9 supp1'!$K$14:$K$15</c:f>
                <c:numCache>
                  <c:formatCode>General</c:formatCode>
                  <c:ptCount val="2"/>
                  <c:pt idx="0">
                    <c:v>0.35</c:v>
                  </c:pt>
                  <c:pt idx="1">
                    <c:v>0.7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'Fig9 supp1'!$I$14:$I$15</c:f>
              <c:strCache>
                <c:ptCount val="2"/>
                <c:pt idx="0">
                  <c:v>T24</c:v>
                </c:pt>
                <c:pt idx="1">
                  <c:v>T96</c:v>
                </c:pt>
              </c:strCache>
            </c:strRef>
          </c:cat>
          <c:val>
            <c:numRef>
              <c:f>'Fig9 supp1'!$J$14:$J$15</c:f>
              <c:numCache>
                <c:formatCode>General</c:formatCode>
                <c:ptCount val="2"/>
                <c:pt idx="0">
                  <c:v>1.79</c:v>
                </c:pt>
                <c:pt idx="1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0-4D38-A412-249B52A9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102736"/>
        <c:axId val="402100112"/>
      </c:barChart>
      <c:catAx>
        <c:axId val="40210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r-FR"/>
          </a:p>
        </c:txPr>
        <c:crossAx val="402100112"/>
        <c:crosses val="autoZero"/>
        <c:auto val="1"/>
        <c:lblAlgn val="ctr"/>
        <c:lblOffset val="100"/>
        <c:noMultiLvlLbl val="0"/>
      </c:catAx>
      <c:valAx>
        <c:axId val="402100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r-FR"/>
          </a:p>
        </c:txPr>
        <c:crossAx val="40210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2</xdr:row>
      <xdr:rowOff>133350</xdr:rowOff>
    </xdr:from>
    <xdr:to>
      <xdr:col>10</xdr:col>
      <xdr:colOff>671512</xdr:colOff>
      <xdr:row>17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652497-851B-445E-8043-00484DBB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</xdr:colOff>
      <xdr:row>15</xdr:row>
      <xdr:rowOff>171450</xdr:rowOff>
    </xdr:from>
    <xdr:to>
      <xdr:col>10</xdr:col>
      <xdr:colOff>476250</xdr:colOff>
      <xdr:row>31</xdr:row>
      <xdr:rowOff>9525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7C8A104-18DE-4D81-98F2-E9DCB451A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edemarsy/Downloads/wetransfer-9bec24/Supplemental%20Dataset%203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 "/>
      <sheetName val="SAMPLE LIST"/>
      <sheetName val="CALIBRATION CURVE "/>
      <sheetName val="Surface GLs"/>
      <sheetName val="nmol_mg FW"/>
      <sheetName val="GLs_after clarisse work"/>
    </sheetNames>
    <sheetDataSet>
      <sheetData sheetId="0"/>
      <sheetData sheetId="1"/>
      <sheetData sheetId="2"/>
      <sheetData sheetId="3">
        <row r="316">
          <cell r="H316">
            <v>11407386.45943116</v>
          </cell>
          <cell r="I316">
            <v>3299002.0515596918</v>
          </cell>
          <cell r="K316">
            <v>10705022.573685817</v>
          </cell>
          <cell r="L316">
            <v>3537093.8317916393</v>
          </cell>
          <cell r="N316">
            <v>11219815.997052774</v>
          </cell>
          <cell r="O316">
            <v>4086863.7885175268</v>
          </cell>
        </row>
        <row r="317">
          <cell r="H317">
            <v>12254326.656334758</v>
          </cell>
          <cell r="I317">
            <v>4433566.3543753</v>
          </cell>
          <cell r="K317">
            <v>10374381.955529463</v>
          </cell>
          <cell r="L317">
            <v>3626443.7283634208</v>
          </cell>
          <cell r="N317">
            <v>11965535.266333397</v>
          </cell>
          <cell r="O317">
            <v>4622589.8262991151</v>
          </cell>
        </row>
        <row r="318">
          <cell r="H318">
            <v>12336687.680599116</v>
          </cell>
          <cell r="I318">
            <v>4243938.0813486949</v>
          </cell>
          <cell r="K318">
            <v>10587731.572415655</v>
          </cell>
          <cell r="L318">
            <v>4086651.2716283184</v>
          </cell>
          <cell r="N318">
            <v>10311829.895265957</v>
          </cell>
          <cell r="O318">
            <v>3983400.6791554093</v>
          </cell>
        </row>
        <row r="319">
          <cell r="H319">
            <v>18485895.321370896</v>
          </cell>
          <cell r="I319">
            <v>6223507.9504936729</v>
          </cell>
          <cell r="K319">
            <v>18641025.687413849</v>
          </cell>
          <cell r="L319">
            <v>6746845.5006160149</v>
          </cell>
          <cell r="N319">
            <v>15459016.079464488</v>
          </cell>
          <cell r="O319">
            <v>5808982.4263250893</v>
          </cell>
        </row>
        <row r="320">
          <cell r="H320">
            <v>46477868.226839036</v>
          </cell>
          <cell r="I320">
            <v>14325317.020885352</v>
          </cell>
          <cell r="K320">
            <v>38590752.634639539</v>
          </cell>
          <cell r="L320">
            <v>12471133.109038536</v>
          </cell>
          <cell r="N320">
            <v>39716781.04248219</v>
          </cell>
          <cell r="O320">
            <v>12888842.00434936</v>
          </cell>
        </row>
        <row r="321">
          <cell r="H321">
            <v>80604582.640968338</v>
          </cell>
          <cell r="I321">
            <v>21974528.020864125</v>
          </cell>
          <cell r="K321">
            <v>92510342.514642358</v>
          </cell>
          <cell r="L321">
            <v>25290727.503272515</v>
          </cell>
          <cell r="N321">
            <v>86243261.590293393</v>
          </cell>
          <cell r="O321">
            <v>22297301.663904611</v>
          </cell>
        </row>
        <row r="322">
          <cell r="H322">
            <v>158830891.07338822</v>
          </cell>
          <cell r="I322">
            <v>37365062.08420518</v>
          </cell>
          <cell r="K322">
            <v>167329257.14614961</v>
          </cell>
          <cell r="L322">
            <v>39284065.768953331</v>
          </cell>
          <cell r="N322">
            <v>176542995.31080326</v>
          </cell>
          <cell r="O322">
            <v>42434753.827290848</v>
          </cell>
        </row>
        <row r="323">
          <cell r="H323">
            <v>214733459.95513725</v>
          </cell>
          <cell r="I323">
            <v>50804433.74333448</v>
          </cell>
          <cell r="K323">
            <v>253276345.65707582</v>
          </cell>
          <cell r="L323">
            <v>58131559.568940222</v>
          </cell>
          <cell r="N323">
            <v>238308354.07902384</v>
          </cell>
          <cell r="O323">
            <v>55458783.126127563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0"/>
  <sheetViews>
    <sheetView workbookViewId="0">
      <selection activeCell="D25" sqref="D25"/>
    </sheetView>
  </sheetViews>
  <sheetFormatPr baseColWidth="10" defaultColWidth="8.83203125" defaultRowHeight="14"/>
  <cols>
    <col min="1" max="1" width="10" bestFit="1" customWidth="1"/>
    <col min="3" max="3" width="13.33203125" customWidth="1"/>
    <col min="5" max="5" width="9.83203125" bestFit="1" customWidth="1"/>
    <col min="9" max="9" width="11.6640625" customWidth="1"/>
    <col min="13" max="13" width="10.6640625" customWidth="1"/>
    <col min="17" max="17" width="8.5" customWidth="1"/>
    <col min="19" max="19" width="11.6640625" bestFit="1" customWidth="1"/>
    <col min="20" max="20" width="13" customWidth="1"/>
    <col min="21" max="21" width="14.83203125" customWidth="1"/>
    <col min="23" max="23" width="13.5" customWidth="1"/>
    <col min="24" max="25" width="10.6640625" bestFit="1" customWidth="1"/>
  </cols>
  <sheetData>
    <row r="1" spans="1:24">
      <c r="A1" s="88" t="s">
        <v>65</v>
      </c>
      <c r="B1" s="88"/>
      <c r="C1" s="88"/>
      <c r="D1" s="88"/>
      <c r="E1" s="88"/>
      <c r="F1" s="88"/>
    </row>
    <row r="4" spans="1:24">
      <c r="A4" s="37"/>
      <c r="B4" s="37"/>
      <c r="E4" s="91" t="s">
        <v>37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>
      <c r="B5" s="92" t="s">
        <v>33</v>
      </c>
      <c r="C5" s="92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1:24">
      <c r="B6" s="79" t="s">
        <v>0</v>
      </c>
      <c r="C6" s="27" t="e">
        <f>#REF!*#REF!*3000</f>
        <v>#REF!</v>
      </c>
      <c r="E6" s="45"/>
      <c r="F6" s="93" t="s">
        <v>38</v>
      </c>
      <c r="G6" s="93"/>
      <c r="H6" s="93"/>
      <c r="I6" s="42"/>
      <c r="J6" s="94" t="s">
        <v>36</v>
      </c>
      <c r="K6" s="94"/>
      <c r="L6" s="94"/>
      <c r="M6" s="42"/>
      <c r="N6" s="93" t="s">
        <v>39</v>
      </c>
      <c r="O6" s="93"/>
      <c r="P6" s="93"/>
      <c r="Q6" s="42"/>
      <c r="R6" s="93" t="s">
        <v>66</v>
      </c>
      <c r="S6" s="93"/>
      <c r="T6" s="93"/>
      <c r="U6" s="42"/>
      <c r="V6" s="93" t="s">
        <v>67</v>
      </c>
      <c r="W6" s="93"/>
      <c r="X6" s="93"/>
    </row>
    <row r="7" spans="1:24">
      <c r="B7" s="79" t="s">
        <v>1</v>
      </c>
      <c r="C7" s="27" t="e">
        <f>#REF!*#REF!*3000</f>
        <v>#REF!</v>
      </c>
      <c r="E7" s="42" t="s">
        <v>9</v>
      </c>
      <c r="F7" s="46">
        <v>0</v>
      </c>
      <c r="G7" s="46">
        <v>0</v>
      </c>
      <c r="H7" s="46">
        <v>0</v>
      </c>
      <c r="I7" s="42"/>
      <c r="J7" s="43">
        <v>1471337.0319179802</v>
      </c>
      <c r="K7" s="43">
        <v>2540818.933593573</v>
      </c>
      <c r="L7" s="43">
        <v>2107937.4702323391</v>
      </c>
      <c r="M7" s="42"/>
      <c r="N7" s="44">
        <v>811462.67254512524</v>
      </c>
      <c r="O7" s="44">
        <v>1024950.1587897056</v>
      </c>
      <c r="P7" s="44">
        <v>559521.52693921432</v>
      </c>
      <c r="Q7" s="42"/>
      <c r="R7" s="66">
        <f>'[1]Surface GLs'!$H$316</f>
        <v>11407386.45943116</v>
      </c>
      <c r="S7" s="66">
        <f>'[1]Surface GLs'!K316</f>
        <v>10705022.573685817</v>
      </c>
      <c r="T7" s="66">
        <f>'[1]Surface GLs'!N316</f>
        <v>11219815.997052774</v>
      </c>
      <c r="U7" s="42"/>
      <c r="V7" s="67">
        <f>'[1]Surface GLs'!I316</f>
        <v>3299002.0515596918</v>
      </c>
      <c r="W7" s="67">
        <f>'[1]Surface GLs'!L316</f>
        <v>3537093.8317916393</v>
      </c>
      <c r="X7" s="67">
        <f>'[1]Surface GLs'!O316</f>
        <v>4086863.7885175268</v>
      </c>
    </row>
    <row r="8" spans="1:24">
      <c r="B8" s="79" t="s">
        <v>2</v>
      </c>
      <c r="C8" s="27" t="e">
        <f>#REF!*#REF!*3000</f>
        <v>#REF!</v>
      </c>
      <c r="E8" s="42" t="s">
        <v>10</v>
      </c>
      <c r="F8" s="46">
        <v>0</v>
      </c>
      <c r="G8" s="46">
        <v>0</v>
      </c>
      <c r="H8" s="46">
        <v>0</v>
      </c>
      <c r="I8" s="42"/>
      <c r="J8" s="43">
        <v>3336927.2111311094</v>
      </c>
      <c r="K8" s="43">
        <v>2536703.3786908179</v>
      </c>
      <c r="L8" s="43">
        <v>2334035.6598670403</v>
      </c>
      <c r="M8" s="42"/>
      <c r="N8" s="44">
        <v>860808.96014709852</v>
      </c>
      <c r="O8" s="44">
        <v>1125154.1008316358</v>
      </c>
      <c r="P8" s="44">
        <v>543754.38454473391</v>
      </c>
      <c r="Q8" s="42"/>
      <c r="R8" s="66">
        <f>'[1]Surface GLs'!$H$317</f>
        <v>12254326.656334758</v>
      </c>
      <c r="S8" s="66">
        <f>'[1]Surface GLs'!K317</f>
        <v>10374381.955529463</v>
      </c>
      <c r="T8" s="66">
        <f>'[1]Surface GLs'!N317</f>
        <v>11965535.266333397</v>
      </c>
      <c r="U8" s="42"/>
      <c r="V8" s="67">
        <f>'[1]Surface GLs'!I317</f>
        <v>4433566.3543753</v>
      </c>
      <c r="W8" s="67">
        <f>'[1]Surface GLs'!L317</f>
        <v>3626443.7283634208</v>
      </c>
      <c r="X8" s="67">
        <f>'[1]Surface GLs'!O317</f>
        <v>4622589.8262991151</v>
      </c>
    </row>
    <row r="9" spans="1:24">
      <c r="B9" s="79" t="s">
        <v>3</v>
      </c>
      <c r="C9" s="27" t="e">
        <f>#REF!*#REF!*3000</f>
        <v>#REF!</v>
      </c>
      <c r="E9" s="42" t="s">
        <v>34</v>
      </c>
      <c r="F9" s="46">
        <v>0</v>
      </c>
      <c r="G9" s="46">
        <v>0</v>
      </c>
      <c r="H9" s="46">
        <v>0</v>
      </c>
      <c r="I9" s="42"/>
      <c r="J9" s="43">
        <v>4455391.7823886927</v>
      </c>
      <c r="K9" s="43">
        <v>4582272.0107988417</v>
      </c>
      <c r="L9" s="43">
        <v>4168151.1407717955</v>
      </c>
      <c r="M9" s="42"/>
      <c r="N9" s="44">
        <v>738243.76955016539</v>
      </c>
      <c r="O9" s="44">
        <v>887697.61768391135</v>
      </c>
      <c r="P9" s="44">
        <v>622603.15241276694</v>
      </c>
      <c r="Q9" s="42"/>
      <c r="R9" s="66">
        <f>'[1]Surface GLs'!$H$318</f>
        <v>12336687.680599116</v>
      </c>
      <c r="S9" s="66">
        <f>'[1]Surface GLs'!K318</f>
        <v>10587731.572415655</v>
      </c>
      <c r="T9" s="66">
        <f>'[1]Surface GLs'!N318</f>
        <v>10311829.895265957</v>
      </c>
      <c r="U9" s="42"/>
      <c r="V9" s="67">
        <f>'[1]Surface GLs'!I318</f>
        <v>4243938.0813486949</v>
      </c>
      <c r="W9" s="67">
        <f>'[1]Surface GLs'!L318</f>
        <v>4086651.2716283184</v>
      </c>
      <c r="X9" s="67">
        <f>'[1]Surface GLs'!O318</f>
        <v>3983400.6791554093</v>
      </c>
    </row>
    <row r="10" spans="1:24">
      <c r="B10" s="79" t="s">
        <v>4</v>
      </c>
      <c r="C10" s="27" t="e">
        <f>#REF!*#REF!*3000</f>
        <v>#REF!</v>
      </c>
      <c r="E10" s="42" t="s">
        <v>35</v>
      </c>
      <c r="F10" s="43">
        <v>632148.18376260181</v>
      </c>
      <c r="G10" s="43">
        <v>638495.06575672026</v>
      </c>
      <c r="H10" s="43">
        <v>1413444.7279383377</v>
      </c>
      <c r="I10" s="42"/>
      <c r="J10" s="43">
        <v>11051803.768772412</v>
      </c>
      <c r="K10" s="43">
        <v>8514181.0765115358</v>
      </c>
      <c r="L10" s="43">
        <v>10172919.652288768</v>
      </c>
      <c r="M10" s="42"/>
      <c r="N10" s="44">
        <v>1188781.671663132</v>
      </c>
      <c r="O10" s="44">
        <v>2345564.8751057023</v>
      </c>
      <c r="P10" s="44">
        <v>1178938.5145010047</v>
      </c>
      <c r="Q10" s="42"/>
      <c r="R10" s="66">
        <f>'[1]Surface GLs'!$H$319</f>
        <v>18485895.321370896</v>
      </c>
      <c r="S10" s="66">
        <f>'[1]Surface GLs'!K319</f>
        <v>18641025.687413849</v>
      </c>
      <c r="T10" s="66">
        <f>'[1]Surface GLs'!N319</f>
        <v>15459016.079464488</v>
      </c>
      <c r="U10" s="42"/>
      <c r="V10" s="67">
        <f>'[1]Surface GLs'!I319</f>
        <v>6223507.9504936729</v>
      </c>
      <c r="W10" s="67">
        <f>'[1]Surface GLs'!L319</f>
        <v>6746845.5006160149</v>
      </c>
      <c r="X10" s="67">
        <f>'[1]Surface GLs'!O319</f>
        <v>5808982.4263250893</v>
      </c>
    </row>
    <row r="11" spans="1:24">
      <c r="B11" s="79" t="s">
        <v>5</v>
      </c>
      <c r="C11" s="27" t="e">
        <f>#REF!*#REF!*3000</f>
        <v>#REF!</v>
      </c>
      <c r="E11" s="42" t="s">
        <v>11</v>
      </c>
      <c r="F11" s="43">
        <v>15468125.808564249</v>
      </c>
      <c r="G11" s="43">
        <v>16044562.966657899</v>
      </c>
      <c r="H11" s="43">
        <v>8308622.6003933176</v>
      </c>
      <c r="I11" s="42"/>
      <c r="J11" s="43">
        <v>34878724.345539734</v>
      </c>
      <c r="K11" s="43">
        <v>24767044.406184521</v>
      </c>
      <c r="L11" s="43">
        <v>22975038.400241069</v>
      </c>
      <c r="M11" s="42"/>
      <c r="N11" s="44">
        <v>2983161.6684895582</v>
      </c>
      <c r="O11" s="44">
        <v>4828393.3649123497</v>
      </c>
      <c r="P11" s="44">
        <v>2516039.0175806535</v>
      </c>
      <c r="Q11" s="42"/>
      <c r="R11" s="66">
        <f>'[1]Surface GLs'!$H$320</f>
        <v>46477868.226839036</v>
      </c>
      <c r="S11" s="66">
        <f>'[1]Surface GLs'!K320</f>
        <v>38590752.634639539</v>
      </c>
      <c r="T11" s="66">
        <f>'[1]Surface GLs'!N320</f>
        <v>39716781.04248219</v>
      </c>
      <c r="U11" s="42"/>
      <c r="V11" s="67">
        <f>'[1]Surface GLs'!I320</f>
        <v>14325317.020885352</v>
      </c>
      <c r="W11" s="67">
        <f>'[1]Surface GLs'!L320</f>
        <v>12471133.109038536</v>
      </c>
      <c r="X11" s="67">
        <f>'[1]Surface GLs'!O320</f>
        <v>12888842.00434936</v>
      </c>
    </row>
    <row r="12" spans="1:24">
      <c r="B12" s="79" t="s">
        <v>6</v>
      </c>
      <c r="C12" s="27" t="e">
        <f>#REF!*#REF!*3000</f>
        <v>#REF!</v>
      </c>
      <c r="E12" s="42" t="s">
        <v>14</v>
      </c>
      <c r="F12" s="43">
        <v>30855849.281232439</v>
      </c>
      <c r="G12" s="43">
        <v>6278813.957481008</v>
      </c>
      <c r="H12" s="43">
        <v>25871379.457647763</v>
      </c>
      <c r="I12" s="42"/>
      <c r="J12" s="43">
        <v>64600596.818793312</v>
      </c>
      <c r="K12" s="43">
        <v>76760683.41602625</v>
      </c>
      <c r="L12" s="43">
        <v>40429934.809777431</v>
      </c>
      <c r="M12" s="42"/>
      <c r="N12" s="44">
        <v>6405163.1461813636</v>
      </c>
      <c r="O12" s="44">
        <v>5086378.0182248279</v>
      </c>
      <c r="P12" s="44">
        <v>4410263.5033451878</v>
      </c>
      <c r="Q12" s="42"/>
      <c r="R12" s="66">
        <f>'[1]Surface GLs'!$H$321</f>
        <v>80604582.640968338</v>
      </c>
      <c r="S12" s="66">
        <f>'[1]Surface GLs'!K321</f>
        <v>92510342.514642358</v>
      </c>
      <c r="T12" s="66">
        <f>'[1]Surface GLs'!N321</f>
        <v>86243261.590293393</v>
      </c>
      <c r="U12" s="42"/>
      <c r="V12" s="67">
        <f>'[1]Surface GLs'!I321</f>
        <v>21974528.020864125</v>
      </c>
      <c r="W12" s="67">
        <f>'[1]Surface GLs'!L321</f>
        <v>25290727.503272515</v>
      </c>
      <c r="X12" s="67">
        <f>'[1]Surface GLs'!O321</f>
        <v>22297301.663904611</v>
      </c>
    </row>
    <row r="13" spans="1:24">
      <c r="B13" s="79" t="s">
        <v>7</v>
      </c>
      <c r="C13" s="27" t="e">
        <f>#REF!*#REF!*3000</f>
        <v>#REF!</v>
      </c>
      <c r="E13" s="42" t="s">
        <v>15</v>
      </c>
      <c r="F13" s="43">
        <v>34549567.367149137</v>
      </c>
      <c r="G13" s="43">
        <v>21678024.269823074</v>
      </c>
      <c r="H13" s="43">
        <v>34966018.798008129</v>
      </c>
      <c r="I13" s="42"/>
      <c r="J13" s="43">
        <v>111846426.88497308</v>
      </c>
      <c r="K13" s="43">
        <v>127835471.30630733</v>
      </c>
      <c r="L13" s="43">
        <v>104587375.6847775</v>
      </c>
      <c r="M13" s="42"/>
      <c r="N13" s="44">
        <v>14800359.787220683</v>
      </c>
      <c r="O13" s="44">
        <v>23086504.698645394</v>
      </c>
      <c r="P13" s="44">
        <v>12731913.402837561</v>
      </c>
      <c r="Q13" s="42"/>
      <c r="R13" s="66">
        <f>'[1]Surface GLs'!$H$322</f>
        <v>158830891.07338822</v>
      </c>
      <c r="S13" s="66">
        <f>'[1]Surface GLs'!K322</f>
        <v>167329257.14614961</v>
      </c>
      <c r="T13" s="66">
        <f>'[1]Surface GLs'!N322</f>
        <v>176542995.31080326</v>
      </c>
      <c r="U13" s="42"/>
      <c r="V13" s="67">
        <f>'[1]Surface GLs'!I322</f>
        <v>37365062.08420518</v>
      </c>
      <c r="W13" s="67">
        <f>'[1]Surface GLs'!L322</f>
        <v>39284065.768953331</v>
      </c>
      <c r="X13" s="67">
        <f>'[1]Surface GLs'!O322</f>
        <v>42434753.827290848</v>
      </c>
    </row>
    <row r="14" spans="1:24">
      <c r="B14" s="79" t="s">
        <v>8</v>
      </c>
      <c r="C14" s="27" t="e">
        <f>#REF!*#REF!*3000</f>
        <v>#REF!</v>
      </c>
      <c r="E14" s="42" t="s">
        <v>12</v>
      </c>
      <c r="F14" s="43">
        <v>52192503.972508766</v>
      </c>
      <c r="G14" s="43">
        <v>20621815.528460793</v>
      </c>
      <c r="H14" s="43">
        <v>54371141.650620334</v>
      </c>
      <c r="I14" s="42"/>
      <c r="J14" s="42">
        <v>236121506.5830932</v>
      </c>
      <c r="K14" s="42">
        <v>179960076.14375803</v>
      </c>
      <c r="L14" s="42">
        <v>132918392.0920372</v>
      </c>
      <c r="M14" s="42"/>
      <c r="N14" s="44">
        <v>19082748.629220933</v>
      </c>
      <c r="O14" s="44">
        <v>36311976.393581904</v>
      </c>
      <c r="P14" s="44">
        <v>15710008.437998286</v>
      </c>
      <c r="Q14" s="42"/>
      <c r="R14" s="66">
        <f>'[1]Surface GLs'!$H$323</f>
        <v>214733459.95513725</v>
      </c>
      <c r="S14" s="66">
        <f>'[1]Surface GLs'!K323</f>
        <v>253276345.65707582</v>
      </c>
      <c r="T14" s="66">
        <f>'[1]Surface GLs'!N323</f>
        <v>238308354.07902384</v>
      </c>
      <c r="U14" s="42"/>
      <c r="V14" s="67">
        <f>'[1]Surface GLs'!I323</f>
        <v>50804433.74333448</v>
      </c>
      <c r="W14" s="67">
        <f>'[1]Surface GLs'!L323</f>
        <v>58131559.568940222</v>
      </c>
      <c r="X14" s="67">
        <f>'[1]Surface GLs'!O323</f>
        <v>55458783.126127563</v>
      </c>
    </row>
    <row r="16" spans="1:24">
      <c r="E16" s="93" t="s">
        <v>41</v>
      </c>
      <c r="F16" s="93"/>
      <c r="G16" s="93"/>
      <c r="H16" s="93"/>
      <c r="M16" s="1"/>
      <c r="N16" s="91" t="s">
        <v>40</v>
      </c>
      <c r="O16" s="91"/>
      <c r="P16" s="91"/>
    </row>
    <row r="17" spans="1:21">
      <c r="B17" s="10"/>
      <c r="M17" s="42" t="s">
        <v>9</v>
      </c>
      <c r="N17" s="55">
        <f>SUM(F7+J7+N7+R7+V7)</f>
        <v>16989188.215453956</v>
      </c>
      <c r="O17" s="55">
        <f>SUM(G7+K7+O7+S7+W7)</f>
        <v>17807885.497860737</v>
      </c>
      <c r="P17" s="55">
        <f>SUM(H7+L7+P7+T7+X7)</f>
        <v>17974138.782741852</v>
      </c>
    </row>
    <row r="18" spans="1:21">
      <c r="B18" s="10"/>
      <c r="C18" s="62"/>
      <c r="M18" s="42" t="s">
        <v>10</v>
      </c>
      <c r="N18" s="55">
        <f t="shared" ref="N18:P24" si="0">SUM(F8+J8+N8+R8+V8)</f>
        <v>20885629.181988265</v>
      </c>
      <c r="O18" s="55">
        <f t="shared" si="0"/>
        <v>17662683.163415335</v>
      </c>
      <c r="P18" s="55">
        <f t="shared" si="0"/>
        <v>19465915.137044288</v>
      </c>
    </row>
    <row r="19" spans="1:21">
      <c r="C19" s="62"/>
      <c r="E19" s="61"/>
      <c r="M19" s="42" t="s">
        <v>34</v>
      </c>
      <c r="N19" s="55">
        <f>SUM(F9+J9+N9+R9+V9)</f>
        <v>21774261.313886669</v>
      </c>
      <c r="O19" s="55">
        <f t="shared" si="0"/>
        <v>20144352.472526729</v>
      </c>
      <c r="P19" s="55">
        <f t="shared" si="0"/>
        <v>19085984.867605928</v>
      </c>
    </row>
    <row r="20" spans="1:21">
      <c r="C20" s="62"/>
      <c r="M20" s="42" t="s">
        <v>35</v>
      </c>
      <c r="N20" s="55">
        <f>SUM(F10+J10+N10+R10+V10)</f>
        <v>37582136.896062717</v>
      </c>
      <c r="O20" s="55">
        <f t="shared" si="0"/>
        <v>36886112.20540382</v>
      </c>
      <c r="P20" s="55">
        <f t="shared" si="0"/>
        <v>34033301.400517687</v>
      </c>
    </row>
    <row r="21" spans="1:21">
      <c r="C21" s="62"/>
      <c r="M21" s="42" t="s">
        <v>11</v>
      </c>
      <c r="N21" s="55">
        <f t="shared" si="0"/>
        <v>114133197.07031792</v>
      </c>
      <c r="O21" s="55">
        <f t="shared" si="0"/>
        <v>96701886.481432825</v>
      </c>
      <c r="P21" s="55">
        <f t="shared" si="0"/>
        <v>86405323.065046594</v>
      </c>
    </row>
    <row r="22" spans="1:21">
      <c r="C22" s="62"/>
      <c r="M22" s="42" t="s">
        <v>14</v>
      </c>
      <c r="N22" s="55">
        <f t="shared" si="0"/>
        <v>204440719.90803957</v>
      </c>
      <c r="O22" s="55">
        <f t="shared" si="0"/>
        <v>205926945.40964696</v>
      </c>
      <c r="P22" s="55">
        <f t="shared" si="0"/>
        <v>179252141.02496839</v>
      </c>
    </row>
    <row r="23" spans="1:21">
      <c r="C23" s="62"/>
      <c r="M23" s="42" t="s">
        <v>15</v>
      </c>
      <c r="N23" s="55">
        <f t="shared" si="0"/>
        <v>357392307.19693625</v>
      </c>
      <c r="O23" s="55">
        <f t="shared" si="0"/>
        <v>379213323.1898787</v>
      </c>
      <c r="P23" s="55">
        <f t="shared" si="0"/>
        <v>371263057.02371734</v>
      </c>
    </row>
    <row r="24" spans="1:21">
      <c r="M24" s="42" t="s">
        <v>12</v>
      </c>
      <c r="N24" s="55">
        <f>SUM(F14+J14+N14+R14+V14)</f>
        <v>572934652.8832947</v>
      </c>
      <c r="O24" s="55">
        <f t="shared" si="0"/>
        <v>548301773.29181671</v>
      </c>
      <c r="P24" s="55">
        <f t="shared" si="0"/>
        <v>496766679.38580722</v>
      </c>
    </row>
    <row r="25" spans="1:21">
      <c r="A25" s="1"/>
      <c r="B25" s="1"/>
      <c r="C25" s="1"/>
      <c r="M25" s="90" t="s">
        <v>45</v>
      </c>
      <c r="N25" s="90"/>
      <c r="O25" s="90"/>
      <c r="P25" t="s">
        <v>63</v>
      </c>
    </row>
    <row r="26" spans="1:21">
      <c r="M26" s="7" t="s">
        <v>42</v>
      </c>
      <c r="N26" s="7" t="s">
        <v>43</v>
      </c>
      <c r="O26" s="7" t="s">
        <v>44</v>
      </c>
      <c r="R26" s="64" t="s">
        <v>79</v>
      </c>
      <c r="S26" s="64" t="s">
        <v>80</v>
      </c>
      <c r="T26" s="64" t="s">
        <v>77</v>
      </c>
      <c r="U26" s="64" t="s">
        <v>78</v>
      </c>
    </row>
    <row r="27" spans="1:21">
      <c r="M27" s="7">
        <v>0</v>
      </c>
      <c r="N27" s="56">
        <f>N17</f>
        <v>16989188.215453956</v>
      </c>
      <c r="O27" s="7">
        <v>1</v>
      </c>
      <c r="R27" s="64" t="s">
        <v>73</v>
      </c>
      <c r="S27" s="64">
        <v>23.922999999999998</v>
      </c>
      <c r="T27" s="64">
        <v>0.12</v>
      </c>
      <c r="U27" s="64">
        <v>191.52</v>
      </c>
    </row>
    <row r="28" spans="1:21">
      <c r="M28" s="7">
        <v>4</v>
      </c>
      <c r="N28" s="56">
        <f t="shared" ref="N28:N34" si="1">N18</f>
        <v>20885629.181988265</v>
      </c>
      <c r="O28" s="7">
        <v>1</v>
      </c>
      <c r="R28" s="64" t="s">
        <v>74</v>
      </c>
      <c r="S28" s="64">
        <v>29.649000000000001</v>
      </c>
      <c r="T28" s="64">
        <v>0.4</v>
      </c>
      <c r="U28" s="64">
        <v>73.569999999999993</v>
      </c>
    </row>
    <row r="29" spans="1:21">
      <c r="M29" s="7">
        <v>8</v>
      </c>
      <c r="N29" s="56">
        <f t="shared" si="1"/>
        <v>21774261.313886669</v>
      </c>
      <c r="O29" s="7">
        <v>1</v>
      </c>
      <c r="R29" s="64" t="s">
        <v>75</v>
      </c>
      <c r="S29" s="64">
        <v>0.88400000000000001</v>
      </c>
      <c r="T29" s="64">
        <v>0.11</v>
      </c>
      <c r="U29" s="64">
        <v>7.68</v>
      </c>
    </row>
    <row r="30" spans="1:21">
      <c r="M30" s="7">
        <v>12</v>
      </c>
      <c r="N30" s="56">
        <f t="shared" si="1"/>
        <v>37582136.896062717</v>
      </c>
      <c r="O30" s="7">
        <v>1</v>
      </c>
      <c r="R30" s="64" t="s">
        <v>76</v>
      </c>
      <c r="S30" s="64">
        <v>4.9619999999999997</v>
      </c>
      <c r="T30" s="64">
        <v>0.16</v>
      </c>
      <c r="U30" s="64">
        <v>30.79</v>
      </c>
    </row>
    <row r="31" spans="1:21">
      <c r="M31" s="7">
        <v>24</v>
      </c>
      <c r="N31" s="56">
        <f t="shared" si="1"/>
        <v>114133197.07031792</v>
      </c>
      <c r="O31" s="7">
        <v>1</v>
      </c>
    </row>
    <row r="32" spans="1:21">
      <c r="M32" s="7">
        <v>48</v>
      </c>
      <c r="N32" s="56">
        <f t="shared" si="1"/>
        <v>204440719.90803957</v>
      </c>
      <c r="O32" s="7">
        <v>1</v>
      </c>
    </row>
    <row r="33" spans="1:16">
      <c r="M33" s="7">
        <v>72</v>
      </c>
      <c r="N33" s="56">
        <f t="shared" si="1"/>
        <v>357392307.19693625</v>
      </c>
      <c r="O33" s="7">
        <v>1</v>
      </c>
    </row>
    <row r="34" spans="1:16">
      <c r="M34" s="7">
        <v>96</v>
      </c>
      <c r="N34" s="56">
        <f t="shared" si="1"/>
        <v>572934652.8832947</v>
      </c>
      <c r="O34" s="7">
        <v>1</v>
      </c>
    </row>
    <row r="35" spans="1:16">
      <c r="M35" s="7">
        <v>0</v>
      </c>
      <c r="N35" s="56">
        <f>O17</f>
        <v>17807885.497860737</v>
      </c>
      <c r="O35" s="7">
        <v>2</v>
      </c>
    </row>
    <row r="36" spans="1:16">
      <c r="B36" s="1"/>
      <c r="C36" s="1"/>
      <c r="D36" s="1"/>
      <c r="N36" s="7">
        <v>4</v>
      </c>
      <c r="O36" s="56">
        <f t="shared" ref="O36:O42" si="2">O18</f>
        <v>17662683.163415335</v>
      </c>
      <c r="P36" s="7">
        <v>2</v>
      </c>
    </row>
    <row r="37" spans="1:16">
      <c r="B37" s="1"/>
      <c r="C37" s="1"/>
      <c r="D37" s="1"/>
      <c r="N37" s="7">
        <v>8</v>
      </c>
      <c r="O37" s="56">
        <f t="shared" si="2"/>
        <v>20144352.472526729</v>
      </c>
      <c r="P37" s="7">
        <v>2</v>
      </c>
    </row>
    <row r="38" spans="1:16">
      <c r="N38" s="7">
        <v>12</v>
      </c>
      <c r="O38" s="56">
        <f t="shared" si="2"/>
        <v>36886112.20540382</v>
      </c>
      <c r="P38" s="7">
        <v>2</v>
      </c>
    </row>
    <row r="39" spans="1:16">
      <c r="N39" s="7">
        <v>24</v>
      </c>
      <c r="O39" s="56">
        <f t="shared" si="2"/>
        <v>96701886.481432825</v>
      </c>
      <c r="P39" s="7">
        <v>2</v>
      </c>
    </row>
    <row r="40" spans="1:16">
      <c r="N40" s="7">
        <v>48</v>
      </c>
      <c r="O40" s="56">
        <f t="shared" si="2"/>
        <v>205926945.40964696</v>
      </c>
      <c r="P40" s="7">
        <v>2</v>
      </c>
    </row>
    <row r="41" spans="1:16">
      <c r="N41" s="7">
        <v>72</v>
      </c>
      <c r="O41" s="56">
        <f t="shared" si="2"/>
        <v>379213323.1898787</v>
      </c>
      <c r="P41" s="7">
        <v>2</v>
      </c>
    </row>
    <row r="42" spans="1:16">
      <c r="N42" s="7">
        <v>96</v>
      </c>
      <c r="O42" s="56">
        <f t="shared" si="2"/>
        <v>548301773.29181671</v>
      </c>
      <c r="P42" s="7">
        <v>2</v>
      </c>
    </row>
    <row r="43" spans="1:16">
      <c r="N43" s="7">
        <v>0</v>
      </c>
      <c r="O43" s="56">
        <f>P17</f>
        <v>17974138.782741852</v>
      </c>
      <c r="P43" s="7">
        <v>3</v>
      </c>
    </row>
    <row r="44" spans="1:16">
      <c r="N44" s="7">
        <v>4</v>
      </c>
      <c r="O44" s="56">
        <f t="shared" ref="O44:O50" si="3">P18</f>
        <v>19465915.137044288</v>
      </c>
      <c r="P44" s="7">
        <v>3</v>
      </c>
    </row>
    <row r="45" spans="1:16">
      <c r="A45" s="2"/>
      <c r="N45" s="7">
        <v>8</v>
      </c>
      <c r="O45" s="56">
        <f t="shared" si="3"/>
        <v>19085984.867605928</v>
      </c>
      <c r="P45" s="7">
        <v>3</v>
      </c>
    </row>
    <row r="46" spans="1:16">
      <c r="A46" s="2"/>
      <c r="N46" s="7">
        <v>12</v>
      </c>
      <c r="O46" s="56">
        <f t="shared" si="3"/>
        <v>34033301.400517687</v>
      </c>
      <c r="P46" s="7">
        <v>3</v>
      </c>
    </row>
    <row r="47" spans="1:16">
      <c r="A47" s="2"/>
      <c r="N47" s="7">
        <v>24</v>
      </c>
      <c r="O47" s="56">
        <f t="shared" si="3"/>
        <v>86405323.065046594</v>
      </c>
      <c r="P47" s="7">
        <v>3</v>
      </c>
    </row>
    <row r="48" spans="1:16">
      <c r="A48" s="2"/>
      <c r="F48" s="41"/>
      <c r="G48" s="41"/>
      <c r="H48" s="41"/>
      <c r="N48" s="7">
        <v>48</v>
      </c>
      <c r="O48" s="56">
        <f t="shared" si="3"/>
        <v>179252141.02496839</v>
      </c>
      <c r="P48" s="7">
        <v>3</v>
      </c>
    </row>
    <row r="49" spans="14:16">
      <c r="N49" s="7">
        <v>72</v>
      </c>
      <c r="O49" s="56">
        <f t="shared" si="3"/>
        <v>371263057.02371734</v>
      </c>
      <c r="P49" s="7">
        <v>3</v>
      </c>
    </row>
    <row r="50" spans="14:16">
      <c r="N50" s="7">
        <v>96</v>
      </c>
      <c r="O50" s="56">
        <f t="shared" si="3"/>
        <v>496766679.38580722</v>
      </c>
      <c r="P50" s="7">
        <v>3</v>
      </c>
    </row>
  </sheetData>
  <mergeCells count="12">
    <mergeCell ref="M25:O25"/>
    <mergeCell ref="E4:X4"/>
    <mergeCell ref="B5:C5"/>
    <mergeCell ref="A1:F1"/>
    <mergeCell ref="E5:X5"/>
    <mergeCell ref="N16:P16"/>
    <mergeCell ref="E16:H16"/>
    <mergeCell ref="V6:X6"/>
    <mergeCell ref="R6:T6"/>
    <mergeCell ref="J6:L6"/>
    <mergeCell ref="F6:H6"/>
    <mergeCell ref="N6:P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zoomScaleNormal="100" workbookViewId="0">
      <selection activeCell="C6" sqref="C6"/>
    </sheetView>
  </sheetViews>
  <sheetFormatPr baseColWidth="10" defaultColWidth="8.83203125" defaultRowHeight="14"/>
  <cols>
    <col min="5" max="5" width="17.33203125" customWidth="1"/>
    <col min="6" max="6" width="11.83203125" customWidth="1"/>
    <col min="7" max="7" width="14.5" customWidth="1"/>
    <col min="8" max="8" width="15" customWidth="1"/>
    <col min="9" max="9" width="13.1640625" customWidth="1"/>
    <col min="10" max="10" width="16" customWidth="1"/>
  </cols>
  <sheetData>
    <row r="1" spans="1:11">
      <c r="A1" s="88"/>
      <c r="B1" s="88"/>
      <c r="C1" s="88"/>
      <c r="D1" s="88"/>
      <c r="E1" s="88"/>
      <c r="F1" s="88"/>
      <c r="G1" s="88"/>
      <c r="H1" s="88"/>
      <c r="I1" s="88"/>
      <c r="J1" s="88"/>
    </row>
    <row r="2" spans="1:11">
      <c r="A2" s="47"/>
      <c r="B2" s="95" t="s">
        <v>64</v>
      </c>
      <c r="C2" s="95"/>
      <c r="E2" s="48" t="s">
        <v>46</v>
      </c>
    </row>
    <row r="3" spans="1:11" ht="15">
      <c r="A3" s="95" t="s">
        <v>47</v>
      </c>
      <c r="B3" s="22" t="s">
        <v>48</v>
      </c>
      <c r="C3" s="22">
        <f>'thyl surface and model data'!S27</f>
        <v>23.922999999999998</v>
      </c>
      <c r="E3" s="49" t="s">
        <v>49</v>
      </c>
      <c r="I3" s="3" t="s">
        <v>50</v>
      </c>
      <c r="J3" s="3" t="s">
        <v>51</v>
      </c>
    </row>
    <row r="4" spans="1:11">
      <c r="A4" s="95"/>
      <c r="B4" s="22" t="s">
        <v>52</v>
      </c>
      <c r="C4" s="68">
        <f>'thyl surface and model data'!S28</f>
        <v>29.649000000000001</v>
      </c>
      <c r="I4" s="3" t="s">
        <v>51</v>
      </c>
      <c r="J4" s="3">
        <f>C4-C3</f>
        <v>5.7260000000000026</v>
      </c>
    </row>
    <row r="5" spans="1:11">
      <c r="A5" s="95"/>
      <c r="B5" s="22" t="s">
        <v>53</v>
      </c>
      <c r="C5" s="68">
        <f>'thyl surface and model data'!S29</f>
        <v>0.88400000000000001</v>
      </c>
    </row>
    <row r="6" spans="1:11">
      <c r="A6" s="95"/>
      <c r="B6" s="22" t="s">
        <v>54</v>
      </c>
      <c r="C6" s="68">
        <f>'thyl surface and model data'!S30</f>
        <v>4.9619999999999997</v>
      </c>
    </row>
    <row r="7" spans="1:11">
      <c r="B7" s="89" t="s">
        <v>55</v>
      </c>
      <c r="C7" s="89"/>
      <c r="D7" s="89"/>
      <c r="E7" s="89"/>
      <c r="F7" s="89"/>
      <c r="G7" s="89"/>
      <c r="H7" s="89"/>
      <c r="I7" s="89"/>
    </row>
    <row r="8" spans="1:11">
      <c r="B8" s="3"/>
      <c r="C8" s="3" t="s">
        <v>56</v>
      </c>
      <c r="D8" s="3" t="s">
        <v>57</v>
      </c>
      <c r="E8" s="3" t="s">
        <v>58</v>
      </c>
      <c r="F8" s="3" t="s">
        <v>59</v>
      </c>
      <c r="G8" s="3"/>
      <c r="H8" s="3"/>
      <c r="I8" s="23" t="s">
        <v>60</v>
      </c>
      <c r="J8" s="96" t="s">
        <v>81</v>
      </c>
      <c r="K8" s="10"/>
    </row>
    <row r="9" spans="1:11" ht="15">
      <c r="B9" s="3">
        <v>0</v>
      </c>
      <c r="C9" s="8">
        <v>0</v>
      </c>
      <c r="D9" s="50">
        <f>($C$6-C9)/$C$5</f>
        <v>5.613122171945701</v>
      </c>
      <c r="E9" s="50">
        <f t="shared" ref="E9:E16" si="0">EXP(D9)</f>
        <v>273.99837396761563</v>
      </c>
      <c r="F9" s="50">
        <f>1+E9</f>
        <v>274.99837396761563</v>
      </c>
      <c r="G9" s="50">
        <f t="shared" ref="G9:G16" si="1">$J$4/F9</f>
        <v>2.0821941298730398E-2</v>
      </c>
      <c r="H9" s="50">
        <f>$C$3 +G9</f>
        <v>23.943821941298729</v>
      </c>
      <c r="I9" s="51">
        <f t="shared" ref="I9:I16" si="2">POWER(2,H9)</f>
        <v>16136472.982530264</v>
      </c>
      <c r="J9" s="96"/>
      <c r="K9" s="10"/>
    </row>
    <row r="10" spans="1:11" ht="15">
      <c r="A10" s="10"/>
      <c r="B10" s="3">
        <v>4</v>
      </c>
      <c r="C10" s="8">
        <f t="shared" ref="C10:C16" si="3">LOG(B10,2)</f>
        <v>2</v>
      </c>
      <c r="D10" s="50">
        <f t="shared" ref="D10:D16" si="4">($C$6-C10)/$C$5</f>
        <v>3.3506787330316739</v>
      </c>
      <c r="E10" s="50">
        <f t="shared" si="0"/>
        <v>28.522085957368613</v>
      </c>
      <c r="F10" s="50">
        <f>1+E10</f>
        <v>29.522085957368613</v>
      </c>
      <c r="G10" s="50">
        <f t="shared" si="1"/>
        <v>0.19395648424940692</v>
      </c>
      <c r="H10" s="50">
        <f t="shared" ref="H10:H16" si="5">$C$3 +G10</f>
        <v>24.116956484249407</v>
      </c>
      <c r="I10" s="51">
        <f t="shared" si="2"/>
        <v>18193962.945777524</v>
      </c>
      <c r="J10" s="96"/>
      <c r="K10" s="10"/>
    </row>
    <row r="11" spans="1:11" ht="15">
      <c r="A11" s="10"/>
      <c r="B11" s="3">
        <v>8</v>
      </c>
      <c r="C11" s="8">
        <f t="shared" si="3"/>
        <v>3</v>
      </c>
      <c r="D11" s="50">
        <f t="shared" si="4"/>
        <v>2.2194570135746603</v>
      </c>
      <c r="E11" s="50">
        <f t="shared" si="0"/>
        <v>9.2023327672811135</v>
      </c>
      <c r="F11" s="50">
        <f t="shared" ref="F11:F16" si="6">1+E11</f>
        <v>10.202332767281113</v>
      </c>
      <c r="G11" s="50">
        <f t="shared" si="1"/>
        <v>0.5612441909720185</v>
      </c>
      <c r="H11" s="50">
        <f t="shared" si="5"/>
        <v>24.484244190972017</v>
      </c>
      <c r="I11" s="51">
        <f t="shared" si="2"/>
        <v>23468856.130264256</v>
      </c>
      <c r="J11" s="96"/>
      <c r="K11" s="10"/>
    </row>
    <row r="12" spans="1:11" ht="15">
      <c r="A12" s="10"/>
      <c r="B12" s="3">
        <v>12</v>
      </c>
      <c r="C12" s="8">
        <f t="shared" si="3"/>
        <v>3.5849625007211565</v>
      </c>
      <c r="D12" s="50">
        <f t="shared" si="4"/>
        <v>1.5577347276909992</v>
      </c>
      <c r="E12" s="50">
        <f t="shared" si="0"/>
        <v>4.748053419780617</v>
      </c>
      <c r="F12" s="50">
        <f t="shared" si="6"/>
        <v>5.748053419780617</v>
      </c>
      <c r="G12" s="50">
        <f t="shared" si="1"/>
        <v>0.99616332379502204</v>
      </c>
      <c r="H12" s="50">
        <f t="shared" si="5"/>
        <v>24.919163323795019</v>
      </c>
      <c r="I12" s="51">
        <f t="shared" si="2"/>
        <v>31726022.45728163</v>
      </c>
      <c r="J12" s="96"/>
      <c r="K12" s="10"/>
    </row>
    <row r="13" spans="1:11" ht="15">
      <c r="A13" s="10"/>
      <c r="B13" s="3">
        <v>24</v>
      </c>
      <c r="C13" s="8">
        <f t="shared" si="3"/>
        <v>4.584962500721157</v>
      </c>
      <c r="D13" s="50">
        <f t="shared" si="4"/>
        <v>0.42651300823398502</v>
      </c>
      <c r="E13" s="50">
        <f t="shared" si="0"/>
        <v>1.5319064542108032</v>
      </c>
      <c r="F13" s="50">
        <f t="shared" si="6"/>
        <v>2.5319064542108034</v>
      </c>
      <c r="G13" s="50">
        <f t="shared" si="1"/>
        <v>2.2615369499442268</v>
      </c>
      <c r="H13" s="50">
        <f t="shared" si="5"/>
        <v>26.184536949944224</v>
      </c>
      <c r="I13" s="51">
        <f>POWER(2,H13)</f>
        <v>76266013.24105145</v>
      </c>
      <c r="J13" s="96"/>
      <c r="K13" s="10"/>
    </row>
    <row r="14" spans="1:11" ht="15">
      <c r="A14" s="10"/>
      <c r="B14" s="3">
        <v>48</v>
      </c>
      <c r="C14" s="8">
        <f t="shared" si="3"/>
        <v>5.584962500721157</v>
      </c>
      <c r="D14" s="50">
        <f t="shared" si="4"/>
        <v>-0.70470871122302847</v>
      </c>
      <c r="E14" s="50">
        <f t="shared" si="0"/>
        <v>0.49425252350281007</v>
      </c>
      <c r="F14" s="50">
        <f t="shared" si="6"/>
        <v>1.4942525235028101</v>
      </c>
      <c r="G14" s="50">
        <f t="shared" si="1"/>
        <v>3.8320162823464252</v>
      </c>
      <c r="H14" s="50">
        <f t="shared" si="5"/>
        <v>27.755016282346425</v>
      </c>
      <c r="I14" s="51">
        <f t="shared" si="2"/>
        <v>226512634.4354912</v>
      </c>
      <c r="J14" s="96"/>
      <c r="K14" s="10"/>
    </row>
    <row r="15" spans="1:11" ht="15">
      <c r="A15" s="10"/>
      <c r="B15" s="3">
        <v>72</v>
      </c>
      <c r="C15" s="8">
        <f t="shared" si="3"/>
        <v>6.1699250014423122</v>
      </c>
      <c r="D15" s="50">
        <f t="shared" si="4"/>
        <v>-1.3664309971066881</v>
      </c>
      <c r="E15" s="50">
        <f t="shared" si="0"/>
        <v>0.25501548833319132</v>
      </c>
      <c r="F15" s="50">
        <f t="shared" si="6"/>
        <v>1.2550154883331914</v>
      </c>
      <c r="G15" s="50">
        <f t="shared" si="1"/>
        <v>4.5624934936897121</v>
      </c>
      <c r="H15" s="50">
        <f t="shared" si="5"/>
        <v>28.48549349368971</v>
      </c>
      <c r="I15" s="51">
        <f t="shared" si="2"/>
        <v>375827004.85565388</v>
      </c>
      <c r="J15" s="96"/>
      <c r="K15" s="10"/>
    </row>
    <row r="16" spans="1:11" ht="15">
      <c r="A16" s="10"/>
      <c r="B16" s="3">
        <v>96</v>
      </c>
      <c r="C16" s="8">
        <f t="shared" si="3"/>
        <v>6.5849625007211561</v>
      </c>
      <c r="D16" s="50">
        <f t="shared" si="4"/>
        <v>-1.835930430680041</v>
      </c>
      <c r="E16" s="50">
        <f t="shared" si="0"/>
        <v>0.15946506153650575</v>
      </c>
      <c r="F16" s="50">
        <f t="shared" si="6"/>
        <v>1.1594650615365056</v>
      </c>
      <c r="G16" s="50">
        <f t="shared" si="1"/>
        <v>4.9384842975880563</v>
      </c>
      <c r="H16" s="50">
        <f t="shared" si="5"/>
        <v>28.861484297588056</v>
      </c>
      <c r="I16" s="51">
        <f t="shared" si="2"/>
        <v>487722164.98996216</v>
      </c>
      <c r="J16" s="96"/>
      <c r="K16" s="10"/>
    </row>
    <row r="17" spans="2:10" ht="15">
      <c r="B17" s="60"/>
      <c r="C17" s="60"/>
      <c r="D17" s="60"/>
      <c r="E17" s="60"/>
      <c r="F17" s="60"/>
      <c r="G17" s="60"/>
      <c r="H17" s="60"/>
      <c r="I17" s="60"/>
      <c r="J17" s="60"/>
    </row>
    <row r="18" spans="2:10" ht="15">
      <c r="B18" s="60"/>
      <c r="C18" s="60"/>
      <c r="D18" s="60"/>
      <c r="E18" s="60"/>
      <c r="F18" s="60"/>
      <c r="G18" s="60"/>
      <c r="H18" s="60"/>
      <c r="I18" s="60"/>
      <c r="J18" s="60"/>
    </row>
    <row r="19" spans="2:10" ht="15">
      <c r="B19" s="60"/>
      <c r="C19" s="60"/>
      <c r="D19" s="60"/>
      <c r="E19" s="60"/>
      <c r="F19" s="60"/>
      <c r="G19" s="60"/>
      <c r="H19" s="60"/>
      <c r="I19" s="60"/>
      <c r="J19" s="60"/>
    </row>
    <row r="20" spans="2:10" ht="15">
      <c r="B20" s="60"/>
      <c r="C20" s="60"/>
      <c r="D20" s="60"/>
      <c r="E20" s="60"/>
      <c r="F20" s="60"/>
      <c r="G20" s="60"/>
      <c r="H20" s="60"/>
      <c r="I20" s="60"/>
      <c r="J20" s="60"/>
    </row>
    <row r="21" spans="2:10" ht="15">
      <c r="B21" s="60"/>
      <c r="C21" s="60"/>
      <c r="D21" s="60"/>
      <c r="E21" s="60"/>
      <c r="F21" s="60"/>
      <c r="G21" s="60"/>
      <c r="H21" s="60"/>
      <c r="I21" s="60"/>
      <c r="J21" s="60"/>
    </row>
    <row r="22" spans="2:10" ht="15">
      <c r="B22" s="60"/>
      <c r="C22" s="60"/>
      <c r="D22" s="60"/>
      <c r="E22" s="60"/>
      <c r="F22" s="60"/>
      <c r="G22" s="60"/>
      <c r="H22" s="60"/>
      <c r="I22" s="60"/>
      <c r="J22" s="60"/>
    </row>
    <row r="23" spans="2:10" ht="15">
      <c r="B23" s="60"/>
      <c r="C23" s="60"/>
      <c r="D23" s="60"/>
      <c r="E23" s="60"/>
      <c r="F23" s="60"/>
      <c r="G23" s="60"/>
      <c r="H23" s="60"/>
      <c r="I23" s="60"/>
      <c r="J23" s="60"/>
    </row>
    <row r="24" spans="2:10" ht="15">
      <c r="B24" s="60"/>
      <c r="C24" s="60"/>
      <c r="D24" s="60"/>
      <c r="E24" s="60"/>
      <c r="F24" s="60"/>
      <c r="G24" s="60"/>
      <c r="H24" s="60"/>
      <c r="I24" s="60"/>
      <c r="J24" s="60"/>
    </row>
    <row r="25" spans="2:10">
      <c r="B25" s="14"/>
    </row>
    <row r="26" spans="2:10">
      <c r="B26" s="14"/>
    </row>
    <row r="27" spans="2:10">
      <c r="B27" s="14"/>
    </row>
  </sheetData>
  <mergeCells count="5">
    <mergeCell ref="A1:J1"/>
    <mergeCell ref="B2:C2"/>
    <mergeCell ref="A3:A6"/>
    <mergeCell ref="B7:I7"/>
    <mergeCell ref="J8:J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3"/>
  <sheetViews>
    <sheetView workbookViewId="0">
      <selection activeCell="D2" sqref="D2:D10"/>
    </sheetView>
  </sheetViews>
  <sheetFormatPr baseColWidth="10" defaultColWidth="8.83203125" defaultRowHeight="14"/>
  <sheetData>
    <row r="1" spans="1:16">
      <c r="A1" s="52" t="s">
        <v>82</v>
      </c>
      <c r="B1" s="57" t="s">
        <v>61</v>
      </c>
      <c r="C1" s="90" t="s">
        <v>62</v>
      </c>
      <c r="D1" s="90"/>
    </row>
    <row r="2" spans="1:16">
      <c r="A2" s="58">
        <v>0</v>
      </c>
      <c r="B2" s="59">
        <f>EQUATION.4_CALCULATION!I9</f>
        <v>16136472.982530264</v>
      </c>
      <c r="C2" s="57">
        <v>4</v>
      </c>
      <c r="D2" s="59" t="e">
        <f>'thyl surface and model data'!C6</f>
        <v>#REF!</v>
      </c>
    </row>
    <row r="3" spans="1:16">
      <c r="A3" s="90">
        <v>4</v>
      </c>
      <c r="B3" s="97">
        <f>EQUATION.4_CALCULATION!I10</f>
        <v>18193962.945777524</v>
      </c>
      <c r="C3" s="57">
        <v>4</v>
      </c>
      <c r="D3" s="70" t="e">
        <f>'thyl surface and model data'!C7</f>
        <v>#REF!</v>
      </c>
      <c r="L3" s="5"/>
      <c r="M3" s="5"/>
      <c r="N3" s="5"/>
    </row>
    <row r="4" spans="1:16">
      <c r="A4" s="90"/>
      <c r="B4" s="97"/>
      <c r="C4" s="57">
        <v>4</v>
      </c>
      <c r="D4" s="70" t="e">
        <f>'thyl surface and model data'!C8</f>
        <v>#REF!</v>
      </c>
      <c r="G4" s="53"/>
      <c r="L4" s="5"/>
      <c r="M4" s="5"/>
      <c r="N4" s="5"/>
    </row>
    <row r="5" spans="1:16">
      <c r="A5" s="90"/>
      <c r="B5" s="97"/>
      <c r="C5" s="57">
        <v>24</v>
      </c>
      <c r="D5" s="70" t="e">
        <f>'thyl surface and model data'!C9</f>
        <v>#REF!</v>
      </c>
      <c r="G5" s="53"/>
      <c r="L5" s="63"/>
      <c r="M5" s="65"/>
      <c r="N5" s="5"/>
    </row>
    <row r="6" spans="1:16">
      <c r="A6" s="58">
        <v>8</v>
      </c>
      <c r="B6" s="59">
        <f>EQUATION.4_CALCULATION!I11</f>
        <v>23468856.130264256</v>
      </c>
      <c r="C6" s="40">
        <v>24</v>
      </c>
      <c r="D6" s="70" t="e">
        <f>'thyl surface and model data'!C10</f>
        <v>#REF!</v>
      </c>
      <c r="G6" s="54"/>
      <c r="L6" s="12"/>
      <c r="M6" s="54"/>
      <c r="N6" s="26"/>
    </row>
    <row r="7" spans="1:16">
      <c r="A7" s="58">
        <v>12</v>
      </c>
      <c r="B7" s="59">
        <f>EQUATION.4_CALCULATION!I12</f>
        <v>31726022.45728163</v>
      </c>
      <c r="C7" s="40">
        <v>24</v>
      </c>
      <c r="D7" s="70" t="e">
        <f>'thyl surface and model data'!C11</f>
        <v>#REF!</v>
      </c>
      <c r="G7" s="54"/>
      <c r="L7" s="12"/>
      <c r="M7" s="54"/>
      <c r="N7" s="26"/>
    </row>
    <row r="8" spans="1:16">
      <c r="A8" s="90">
        <v>24</v>
      </c>
      <c r="B8" s="97">
        <f>EQUATION.4_CALCULATION!I13</f>
        <v>76266013.24105145</v>
      </c>
      <c r="C8" s="57">
        <v>96</v>
      </c>
      <c r="D8" s="70" t="e">
        <f>'thyl surface and model data'!C12</f>
        <v>#REF!</v>
      </c>
      <c r="G8" s="54"/>
      <c r="L8" s="12"/>
      <c r="M8" s="54"/>
      <c r="N8" s="26"/>
    </row>
    <row r="9" spans="1:16">
      <c r="A9" s="90"/>
      <c r="B9" s="97"/>
      <c r="C9" s="40">
        <v>96</v>
      </c>
      <c r="D9" s="70" t="e">
        <f>'thyl surface and model data'!C13</f>
        <v>#REF!</v>
      </c>
      <c r="G9" s="54"/>
      <c r="L9" s="63"/>
      <c r="M9" s="65"/>
      <c r="N9" s="5"/>
    </row>
    <row r="10" spans="1:16">
      <c r="A10" s="90"/>
      <c r="B10" s="97"/>
      <c r="C10" s="40">
        <v>96</v>
      </c>
      <c r="D10" s="70" t="e">
        <f>'thyl surface and model data'!C14</f>
        <v>#REF!</v>
      </c>
      <c r="G10" s="53"/>
      <c r="L10" s="63"/>
      <c r="M10" s="65"/>
      <c r="N10" s="5"/>
    </row>
    <row r="11" spans="1:16">
      <c r="A11" s="58">
        <v>48</v>
      </c>
      <c r="B11" s="59">
        <f>EQUATION.4_CALCULATION!I14</f>
        <v>226512634.4354912</v>
      </c>
      <c r="G11" s="54"/>
      <c r="L11" s="12"/>
      <c r="M11" s="54"/>
      <c r="N11" s="26"/>
    </row>
    <row r="12" spans="1:16">
      <c r="A12" s="58">
        <v>72</v>
      </c>
      <c r="B12" s="59">
        <f>EQUATION.4_CALCULATION!I15</f>
        <v>375827004.85565388</v>
      </c>
      <c r="G12" s="54"/>
      <c r="L12" s="12"/>
      <c r="M12" s="54"/>
      <c r="N12" s="26"/>
    </row>
    <row r="13" spans="1:16">
      <c r="A13" s="90">
        <v>96</v>
      </c>
      <c r="B13" s="97">
        <f>EQUATION.4_CALCULATION!I16</f>
        <v>487722164.98996216</v>
      </c>
      <c r="G13" s="54"/>
      <c r="L13" s="12"/>
      <c r="M13" s="54"/>
      <c r="N13" s="26"/>
    </row>
    <row r="14" spans="1:16">
      <c r="A14" s="90"/>
      <c r="B14" s="97"/>
      <c r="G14" s="53"/>
      <c r="L14" s="63"/>
      <c r="M14" s="65"/>
      <c r="N14" s="5"/>
    </row>
    <row r="15" spans="1:16">
      <c r="A15" s="90"/>
      <c r="B15" s="97"/>
      <c r="G15" s="53"/>
      <c r="L15" s="63"/>
      <c r="M15" s="65"/>
      <c r="N15" s="5"/>
    </row>
    <row r="16" spans="1:16">
      <c r="G16" s="54"/>
      <c r="L16" s="12"/>
      <c r="M16" s="54"/>
      <c r="N16" s="26"/>
      <c r="P16" s="10"/>
    </row>
    <row r="17" spans="6:16">
      <c r="G17" s="54"/>
      <c r="L17" s="12"/>
      <c r="M17" s="54"/>
      <c r="N17" s="26"/>
      <c r="P17" s="10"/>
    </row>
    <row r="18" spans="6:16">
      <c r="G18" s="54"/>
      <c r="L18" s="12"/>
      <c r="M18" s="54"/>
      <c r="N18" s="26"/>
      <c r="P18" s="10"/>
    </row>
    <row r="19" spans="6:16">
      <c r="L19" s="5"/>
      <c r="M19" s="5"/>
      <c r="N19" s="5"/>
      <c r="P19" s="10"/>
    </row>
    <row r="30" spans="6:16">
      <c r="F30" s="35"/>
      <c r="G30" s="10"/>
    </row>
    <row r="31" spans="6:16">
      <c r="F31" s="35"/>
      <c r="G31" s="10"/>
      <c r="H31" s="10"/>
    </row>
    <row r="32" spans="6:16">
      <c r="F32" s="35"/>
      <c r="H32" s="10"/>
    </row>
    <row r="33" spans="6:8">
      <c r="F33" s="35"/>
      <c r="H33" s="10"/>
    </row>
    <row r="34" spans="6:8">
      <c r="F34" s="35"/>
      <c r="G34" s="10"/>
    </row>
    <row r="35" spans="6:8">
      <c r="F35" s="35"/>
      <c r="G35" s="10"/>
    </row>
    <row r="36" spans="6:8">
      <c r="F36" s="35"/>
      <c r="G36" s="10"/>
      <c r="H36" s="10"/>
    </row>
    <row r="37" spans="6:8">
      <c r="F37" s="35"/>
      <c r="H37" s="10"/>
    </row>
    <row r="38" spans="6:8">
      <c r="F38" s="35"/>
      <c r="H38" s="10"/>
    </row>
    <row r="39" spans="6:8">
      <c r="F39" s="35"/>
      <c r="G39" s="10"/>
    </row>
    <row r="40" spans="6:8">
      <c r="F40" s="35"/>
      <c r="G40" s="10"/>
    </row>
    <row r="41" spans="6:8">
      <c r="F41" s="35"/>
      <c r="G41" s="10"/>
      <c r="H41" s="10"/>
    </row>
    <row r="42" spans="6:8">
      <c r="F42" s="35"/>
      <c r="H42" s="10"/>
    </row>
    <row r="43" spans="6:8">
      <c r="F43" s="35"/>
      <c r="H43" s="10"/>
    </row>
  </sheetData>
  <mergeCells count="7">
    <mergeCell ref="B13:B15"/>
    <mergeCell ref="A13:A15"/>
    <mergeCell ref="C1:D1"/>
    <mergeCell ref="B3:B5"/>
    <mergeCell ref="A3:A5"/>
    <mergeCell ref="B8:B10"/>
    <mergeCell ref="A8:A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87"/>
  <sheetViews>
    <sheetView tabSelected="1" topLeftCell="A6" workbookViewId="0">
      <selection activeCell="F39" sqref="F39"/>
    </sheetView>
  </sheetViews>
  <sheetFormatPr baseColWidth="10" defaultColWidth="7.1640625" defaultRowHeight="14"/>
  <cols>
    <col min="1" max="1" width="12.1640625" customWidth="1"/>
    <col min="2" max="2" width="26.83203125" customWidth="1"/>
    <col min="3" max="3" width="22.5" customWidth="1"/>
    <col min="4" max="4" width="12" customWidth="1"/>
    <col min="5" max="5" width="15.1640625" customWidth="1"/>
    <col min="6" max="6" width="26.1640625" customWidth="1"/>
    <col min="7" max="7" width="9" customWidth="1"/>
    <col min="8" max="8" width="8" customWidth="1"/>
    <col min="9" max="9" width="10.6640625" customWidth="1"/>
    <col min="10" max="10" width="29" customWidth="1"/>
    <col min="11" max="11" width="10.33203125" customWidth="1"/>
    <col min="12" max="12" width="15.83203125" customWidth="1"/>
    <col min="13" max="13" width="15.1640625" customWidth="1"/>
    <col min="14" max="14" width="16.83203125" customWidth="1"/>
    <col min="16" max="16" width="21" customWidth="1"/>
  </cols>
  <sheetData>
    <row r="1" spans="1:21">
      <c r="A1" s="98" t="s">
        <v>16</v>
      </c>
      <c r="B1" s="99"/>
      <c r="C1" s="99"/>
      <c r="D1" s="11"/>
      <c r="E1" s="11"/>
      <c r="F1" s="11"/>
      <c r="G1" s="9"/>
      <c r="H1" s="9"/>
      <c r="I1" s="9"/>
      <c r="J1" s="9"/>
      <c r="K1" s="12"/>
      <c r="L1" s="12"/>
      <c r="M1" s="13"/>
      <c r="N1" s="13"/>
      <c r="O1" s="13"/>
      <c r="P1" s="14"/>
      <c r="Q1" s="15"/>
      <c r="R1" s="15"/>
      <c r="S1" s="15"/>
      <c r="T1" s="15"/>
      <c r="U1" s="15"/>
    </row>
    <row r="2" spans="1:21">
      <c r="A2" s="80"/>
      <c r="B2" s="71" t="s">
        <v>72</v>
      </c>
      <c r="C2" s="71" t="s">
        <v>26</v>
      </c>
      <c r="D2" s="15"/>
      <c r="E2" s="15"/>
      <c r="F2" s="104" t="s">
        <v>32</v>
      </c>
      <c r="G2" s="104"/>
      <c r="H2" s="100" t="s">
        <v>13</v>
      </c>
      <c r="I2" s="101"/>
      <c r="J2" s="38" t="s">
        <v>30</v>
      </c>
      <c r="K2" s="39" t="s">
        <v>29</v>
      </c>
      <c r="L2" s="35" t="s">
        <v>31</v>
      </c>
      <c r="N2" s="35"/>
      <c r="O2" s="14"/>
      <c r="P2" s="17"/>
      <c r="Q2" s="15"/>
      <c r="R2" s="15"/>
      <c r="S2" s="15"/>
      <c r="T2" s="15"/>
      <c r="U2" s="15"/>
    </row>
    <row r="3" spans="1:21">
      <c r="A3" s="5"/>
      <c r="B3" s="5"/>
      <c r="C3" s="81"/>
      <c r="D3" s="13"/>
      <c r="E3" s="9"/>
      <c r="F3" s="83"/>
      <c r="G3" s="5"/>
      <c r="H3" s="82" t="s">
        <v>11</v>
      </c>
      <c r="I3" s="18">
        <f>AVERAGE(G4:G7)</f>
        <v>17895000</v>
      </c>
      <c r="J3" s="18">
        <f>I3*H17</f>
        <v>9457584.7393014617</v>
      </c>
      <c r="K3" s="27" t="e">
        <f>J3/#REF!</f>
        <v>#REF!</v>
      </c>
      <c r="L3" s="36" t="e">
        <f>K3*2</f>
        <v>#REF!</v>
      </c>
      <c r="N3" s="19"/>
      <c r="O3" s="14"/>
      <c r="P3" s="15"/>
      <c r="Q3" s="15"/>
      <c r="R3" s="15"/>
      <c r="S3" s="15"/>
      <c r="T3" s="15"/>
      <c r="U3" s="15"/>
    </row>
    <row r="4" spans="1:21">
      <c r="A4" s="102" t="s">
        <v>11</v>
      </c>
      <c r="B4" s="71">
        <v>0.35099999999999998</v>
      </c>
      <c r="C4" s="116">
        <v>60</v>
      </c>
      <c r="D4" s="29"/>
      <c r="E4" s="20"/>
      <c r="F4" s="104" t="s">
        <v>11</v>
      </c>
      <c r="G4" s="30">
        <f>(B4*1000000)*$C$4</f>
        <v>21060000</v>
      </c>
      <c r="H4" s="16" t="s">
        <v>12</v>
      </c>
      <c r="I4" s="18">
        <f>AVERAGE(G8:G10)</f>
        <v>149127111.1111111</v>
      </c>
      <c r="J4" s="18">
        <f>I4*F24</f>
        <v>72165831.112160742</v>
      </c>
      <c r="K4" s="27" t="e">
        <f>J4/#REF!</f>
        <v>#REF!</v>
      </c>
      <c r="L4" s="36" t="e">
        <f>K4*2</f>
        <v>#REF!</v>
      </c>
      <c r="M4" s="6" t="e">
        <f>AVERAGE(L3:L4)</f>
        <v>#REF!</v>
      </c>
      <c r="N4" s="19"/>
      <c r="O4" s="15"/>
      <c r="P4" s="15"/>
      <c r="Q4" s="15"/>
      <c r="R4" s="15"/>
      <c r="S4" s="15"/>
      <c r="T4" s="15"/>
      <c r="U4" s="15"/>
    </row>
    <row r="5" spans="1:21">
      <c r="A5" s="102"/>
      <c r="B5" s="71">
        <v>0.32</v>
      </c>
      <c r="C5" s="116"/>
      <c r="D5" s="29"/>
      <c r="E5" s="9"/>
      <c r="F5" s="104"/>
      <c r="G5" s="30">
        <f t="shared" ref="G5:G7" si="0">(B5*1000000)*$C$4</f>
        <v>19200000</v>
      </c>
      <c r="L5" s="5"/>
      <c r="M5" s="13"/>
      <c r="N5" s="19"/>
      <c r="O5" s="15"/>
      <c r="P5" s="15"/>
      <c r="Q5" s="15"/>
      <c r="R5" s="15"/>
      <c r="S5" s="15"/>
      <c r="T5" s="15"/>
      <c r="U5" s="15"/>
    </row>
    <row r="6" spans="1:21">
      <c r="A6" s="102"/>
      <c r="B6" s="71">
        <v>0.308</v>
      </c>
      <c r="C6" s="116"/>
      <c r="D6" s="29"/>
      <c r="E6" s="20"/>
      <c r="F6" s="104"/>
      <c r="G6" s="30">
        <f t="shared" si="0"/>
        <v>18480000</v>
      </c>
      <c r="H6" s="77"/>
      <c r="I6" s="76"/>
      <c r="J6" s="75"/>
      <c r="K6" s="5"/>
      <c r="L6" s="5"/>
      <c r="M6" s="13"/>
      <c r="N6" s="19"/>
      <c r="O6" s="13"/>
      <c r="P6" s="15"/>
      <c r="Q6" s="15"/>
      <c r="R6" s="15"/>
      <c r="S6" s="15"/>
      <c r="T6" s="15"/>
      <c r="U6" s="15"/>
    </row>
    <row r="7" spans="1:21">
      <c r="A7" s="102"/>
      <c r="B7" s="71">
        <v>0.214</v>
      </c>
      <c r="C7" s="116"/>
      <c r="D7" s="29"/>
      <c r="E7" s="9"/>
      <c r="F7" s="104"/>
      <c r="G7" s="30">
        <f t="shared" si="0"/>
        <v>12840000</v>
      </c>
      <c r="H7" s="71" t="s">
        <v>11</v>
      </c>
      <c r="I7" s="18">
        <f>AVERAGE(G4:G7)</f>
        <v>17895000</v>
      </c>
      <c r="J7" s="18">
        <f>STDEV(G4:G7)</f>
        <v>3540974.4421557183</v>
      </c>
      <c r="K7" s="5"/>
      <c r="M7" s="13"/>
      <c r="N7" s="13"/>
      <c r="O7" s="13"/>
      <c r="P7" s="13"/>
      <c r="Q7" s="15"/>
      <c r="R7" s="15"/>
      <c r="S7" s="15"/>
      <c r="T7" s="15"/>
      <c r="U7" s="15"/>
    </row>
    <row r="8" spans="1:21">
      <c r="A8" s="102" t="s">
        <v>12</v>
      </c>
      <c r="B8" s="16">
        <v>1.391</v>
      </c>
      <c r="C8" s="103">
        <f>AVERAGE(100,103,110)</f>
        <v>104.33333333333333</v>
      </c>
      <c r="D8" s="29"/>
      <c r="E8" s="9"/>
      <c r="F8" s="110" t="s">
        <v>12</v>
      </c>
      <c r="G8" s="30">
        <f>(B8*1000000)*$C$8</f>
        <v>145127666.66666666</v>
      </c>
      <c r="H8" s="71" t="s">
        <v>12</v>
      </c>
      <c r="I8" s="18">
        <f>AVERAGE(G8:G10)</f>
        <v>149127111.1111111</v>
      </c>
      <c r="J8" s="18">
        <f>STDEV(G8:G10)</f>
        <v>7568542.603972584</v>
      </c>
      <c r="K8" s="26"/>
      <c r="L8" s="5"/>
      <c r="M8" s="15"/>
      <c r="N8" s="13"/>
      <c r="O8" s="17"/>
      <c r="P8" s="15"/>
      <c r="Q8" s="15"/>
      <c r="R8" s="15"/>
      <c r="S8" s="15"/>
      <c r="T8" s="15"/>
      <c r="U8" s="15"/>
    </row>
    <row r="9" spans="1:21">
      <c r="A9" s="102"/>
      <c r="B9" s="16">
        <v>1.3839999999999999</v>
      </c>
      <c r="C9" s="103"/>
      <c r="D9" s="29"/>
      <c r="E9" s="9"/>
      <c r="F9" s="111"/>
      <c r="G9" s="30">
        <f>(B9*1000000)*$C$8</f>
        <v>144397333.33333331</v>
      </c>
      <c r="H9" s="29"/>
      <c r="I9" s="21"/>
      <c r="J9" s="21"/>
      <c r="K9" s="26"/>
      <c r="L9" s="5"/>
      <c r="M9" s="15"/>
      <c r="N9" s="13"/>
      <c r="O9" s="17"/>
      <c r="P9" s="15"/>
      <c r="Q9" s="15"/>
      <c r="R9" s="15"/>
      <c r="S9" s="15"/>
      <c r="T9" s="15"/>
      <c r="U9" s="15"/>
    </row>
    <row r="10" spans="1:21">
      <c r="A10" s="102"/>
      <c r="B10" s="16">
        <v>1.5129999999999999</v>
      </c>
      <c r="C10" s="103"/>
      <c r="D10" s="29"/>
      <c r="E10" s="9"/>
      <c r="F10" s="112"/>
      <c r="G10" s="30">
        <f>(B10*1000000)*$C$8</f>
        <v>157856333.33333331</v>
      </c>
      <c r="H10" s="29"/>
      <c r="I10" s="21"/>
      <c r="J10" s="21"/>
      <c r="K10" s="26"/>
      <c r="L10" s="5"/>
      <c r="M10" s="15"/>
      <c r="N10" s="15"/>
      <c r="O10" s="17"/>
      <c r="P10" s="15"/>
      <c r="Q10" s="15"/>
      <c r="R10" s="15"/>
      <c r="S10" s="15"/>
      <c r="T10" s="15"/>
      <c r="U10" s="15"/>
    </row>
    <row r="11" spans="1:21">
      <c r="A11" s="13"/>
      <c r="B11" s="14"/>
      <c r="C11" s="31"/>
      <c r="D11" s="13"/>
      <c r="E11" s="9"/>
      <c r="F11" s="9"/>
      <c r="G11" s="15"/>
      <c r="H11" s="21"/>
      <c r="I11" s="21"/>
      <c r="J11" s="21"/>
      <c r="K11" s="26"/>
      <c r="L11" s="5"/>
      <c r="M11" s="15"/>
      <c r="N11" s="13"/>
      <c r="O11" s="17"/>
      <c r="P11" s="21"/>
      <c r="Q11" s="15"/>
      <c r="R11" s="15"/>
      <c r="S11" s="15"/>
      <c r="T11" s="15"/>
      <c r="U11" s="15"/>
    </row>
    <row r="12" spans="1:21">
      <c r="A12" s="13"/>
      <c r="B12" s="14"/>
      <c r="C12" s="31"/>
      <c r="D12" s="13"/>
      <c r="E12" s="9"/>
      <c r="F12" s="9"/>
      <c r="G12" s="9"/>
      <c r="H12" s="9"/>
      <c r="I12" s="9"/>
      <c r="J12" s="74"/>
      <c r="K12" s="10"/>
      <c r="M12" s="15"/>
      <c r="N12" s="15"/>
      <c r="O12" s="15"/>
      <c r="P12" s="15"/>
      <c r="Q12" s="15"/>
      <c r="R12" s="15"/>
      <c r="S12" s="15"/>
      <c r="T12" s="15"/>
      <c r="U12" s="15"/>
    </row>
    <row r="13" spans="1:21">
      <c r="A13" s="113" t="s">
        <v>27</v>
      </c>
      <c r="B13" s="114"/>
      <c r="C13" s="114"/>
      <c r="D13" s="114"/>
      <c r="E13" s="114"/>
      <c r="F13" s="114"/>
      <c r="G13" s="114"/>
      <c r="H13" s="115"/>
      <c r="I13" s="9"/>
      <c r="J13" s="9"/>
    </row>
    <row r="14" spans="1:21">
      <c r="A14" s="113" t="s">
        <v>11</v>
      </c>
      <c r="B14" s="114"/>
      <c r="C14" s="114"/>
      <c r="D14" s="114"/>
      <c r="E14" s="114"/>
      <c r="F14" s="114"/>
      <c r="G14" s="114"/>
      <c r="H14" s="9"/>
      <c r="I14" s="69" t="s">
        <v>11</v>
      </c>
      <c r="J14" s="69">
        <v>1.79</v>
      </c>
      <c r="K14" s="69">
        <v>0.35</v>
      </c>
      <c r="L14" s="1"/>
    </row>
    <row r="15" spans="1:21">
      <c r="A15" s="82" t="s">
        <v>68</v>
      </c>
      <c r="B15" s="18">
        <v>5730.6139999999996</v>
      </c>
      <c r="C15" s="71" t="s">
        <v>17</v>
      </c>
      <c r="D15" s="71">
        <v>9531.27</v>
      </c>
      <c r="E15" s="71" t="s">
        <v>17</v>
      </c>
      <c r="F15" s="72">
        <v>8839.6589999999997</v>
      </c>
      <c r="G15" s="71" t="s">
        <v>28</v>
      </c>
      <c r="H15" s="9"/>
      <c r="I15" s="69" t="s">
        <v>12</v>
      </c>
      <c r="J15" s="69">
        <v>14.9</v>
      </c>
      <c r="K15" s="69">
        <v>0.7</v>
      </c>
      <c r="L15" s="1"/>
    </row>
    <row r="16" spans="1:21">
      <c r="A16" s="82" t="s">
        <v>69</v>
      </c>
      <c r="B16" s="18">
        <v>2064.6680000000001</v>
      </c>
      <c r="C16" s="71" t="s">
        <v>18</v>
      </c>
      <c r="D16" s="71">
        <v>1438.539</v>
      </c>
      <c r="E16" s="71" t="s">
        <v>18</v>
      </c>
      <c r="F16" s="71">
        <v>1691</v>
      </c>
      <c r="G16" s="84"/>
      <c r="H16" s="9"/>
      <c r="K16" s="1"/>
      <c r="L16" s="1"/>
    </row>
    <row r="17" spans="1:29">
      <c r="A17" s="82" t="s">
        <v>70</v>
      </c>
      <c r="B17" s="18">
        <v>815.54399999999998</v>
      </c>
      <c r="C17" s="71" t="s">
        <v>19</v>
      </c>
      <c r="D17" s="71">
        <v>1327.4849999999999</v>
      </c>
      <c r="E17" s="71" t="s">
        <v>19</v>
      </c>
      <c r="F17" s="73">
        <v>1445.9179999999999</v>
      </c>
      <c r="G17" s="78">
        <f>(B16+B17)/B15</f>
        <v>0.50260094293560864</v>
      </c>
      <c r="H17" s="85">
        <f>AVERAGE(G17:G19)</f>
        <v>0.52850431625043093</v>
      </c>
      <c r="L17" s="6"/>
    </row>
    <row r="18" spans="1:29">
      <c r="A18" s="105"/>
      <c r="B18" s="106"/>
      <c r="C18" s="71" t="s">
        <v>20</v>
      </c>
      <c r="D18" s="71">
        <v>1090.6179999999999</v>
      </c>
      <c r="E18" s="71" t="s">
        <v>20</v>
      </c>
      <c r="F18" s="71">
        <v>1625.7080000000001</v>
      </c>
      <c r="G18" s="78">
        <f>(D19+D18+D17+D16)/D15</f>
        <v>0.49503570877752906</v>
      </c>
      <c r="H18" s="9"/>
    </row>
    <row r="19" spans="1:29">
      <c r="A19" s="107"/>
      <c r="B19" s="108"/>
      <c r="C19" s="71" t="s">
        <v>21</v>
      </c>
      <c r="D19" s="71">
        <v>861.67700000000002</v>
      </c>
      <c r="E19" s="71" t="s">
        <v>21</v>
      </c>
      <c r="F19" s="71">
        <v>434</v>
      </c>
      <c r="G19" s="78">
        <f>(F19+F18+F17+F16)/F15</f>
        <v>0.58787629703815503</v>
      </c>
      <c r="H19" s="9"/>
    </row>
    <row r="20" spans="1:29">
      <c r="A20" s="9"/>
      <c r="B20" s="9"/>
      <c r="C20" s="9"/>
      <c r="D20" s="86"/>
      <c r="E20" s="9"/>
      <c r="F20" s="9"/>
      <c r="G20" s="86"/>
      <c r="H20" s="86"/>
    </row>
    <row r="21" spans="1:29">
      <c r="A21" s="9"/>
      <c r="B21" s="9"/>
      <c r="C21" s="9"/>
      <c r="D21" s="9"/>
      <c r="E21" s="9"/>
      <c r="F21" s="9"/>
      <c r="G21" s="9"/>
      <c r="H21" s="9"/>
    </row>
    <row r="22" spans="1:29">
      <c r="A22" s="82"/>
      <c r="B22" s="113" t="s">
        <v>12</v>
      </c>
      <c r="C22" s="114"/>
      <c r="D22" s="115"/>
      <c r="E22" s="71" t="s">
        <v>28</v>
      </c>
      <c r="F22" s="9"/>
      <c r="G22" s="9"/>
      <c r="H22" s="9"/>
    </row>
    <row r="23" spans="1:29" s="15" customFormat="1">
      <c r="A23" s="82" t="s">
        <v>71</v>
      </c>
      <c r="B23" s="71" t="s">
        <v>22</v>
      </c>
      <c r="C23" s="71" t="s">
        <v>23</v>
      </c>
      <c r="D23" s="71" t="s">
        <v>24</v>
      </c>
      <c r="E23" s="84"/>
      <c r="F23" s="9"/>
      <c r="G23" s="9"/>
      <c r="H23" s="9"/>
      <c r="I23"/>
      <c r="J23"/>
      <c r="K23"/>
      <c r="L23"/>
      <c r="M23"/>
    </row>
    <row r="24" spans="1:29" s="15" customFormat="1">
      <c r="A24" s="82" t="s">
        <v>68</v>
      </c>
      <c r="B24" s="71">
        <v>19110.217000000001</v>
      </c>
      <c r="C24" s="18">
        <v>20250.060000000001</v>
      </c>
      <c r="D24" s="18">
        <v>18546.198</v>
      </c>
      <c r="E24" s="87">
        <f>(B25+B26)/B24</f>
        <v>0.54597145600178165</v>
      </c>
      <c r="F24" s="87">
        <f>AVERAGE(E24:E26)</f>
        <v>0.48392160603440965</v>
      </c>
      <c r="J24" s="34"/>
      <c r="L24"/>
      <c r="M24"/>
    </row>
    <row r="25" spans="1:29" s="15" customFormat="1">
      <c r="A25" s="82" t="s">
        <v>69</v>
      </c>
      <c r="B25" s="71">
        <v>7656</v>
      </c>
      <c r="C25" s="18">
        <v>6437</v>
      </c>
      <c r="D25" s="18">
        <v>6088.4319999999998</v>
      </c>
      <c r="E25" s="87">
        <f>(C25+C26)/C24</f>
        <v>0.44276412020507588</v>
      </c>
      <c r="F25" s="86"/>
      <c r="G25" s="9"/>
      <c r="H25" s="9"/>
      <c r="I25"/>
      <c r="J25"/>
      <c r="K25"/>
      <c r="L25"/>
      <c r="M25"/>
    </row>
    <row r="26" spans="1:29" s="15" customFormat="1">
      <c r="A26" s="82" t="s">
        <v>70</v>
      </c>
      <c r="B26" s="71">
        <v>2777.6329999999998</v>
      </c>
      <c r="C26" s="18">
        <v>2529</v>
      </c>
      <c r="D26" s="18">
        <v>2499</v>
      </c>
      <c r="E26" s="87">
        <f>(D25+D26)/D24</f>
        <v>0.46302924189637146</v>
      </c>
      <c r="F26" s="86"/>
      <c r="G26" s="9"/>
      <c r="H26" s="9"/>
      <c r="I26"/>
      <c r="J26"/>
      <c r="K26"/>
      <c r="L26"/>
      <c r="M26"/>
    </row>
    <row r="27" spans="1:29" s="15" customFormat="1">
      <c r="A27" s="14"/>
      <c r="B27" s="14"/>
      <c r="C27" s="14"/>
      <c r="D27" s="14"/>
      <c r="E27" s="14"/>
      <c r="F27" s="14"/>
      <c r="G27" s="14"/>
    </row>
    <row r="28" spans="1:29" s="15" customFormat="1">
      <c r="A28" s="14"/>
      <c r="B28" s="14"/>
      <c r="C28" s="32"/>
      <c r="D28" s="32"/>
      <c r="E28" s="32"/>
      <c r="F28" s="32"/>
      <c r="G28" s="32"/>
      <c r="H28" s="32"/>
      <c r="I28" s="33"/>
      <c r="J28" s="32"/>
      <c r="L28" s="14"/>
      <c r="M28" s="14"/>
    </row>
    <row r="29" spans="1:29">
      <c r="A29" s="5"/>
      <c r="L29" s="1"/>
      <c r="M29" s="1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>
      <c r="A30" s="5"/>
      <c r="L30" s="1"/>
      <c r="M30" s="1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>
      <c r="A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>
      <c r="A32" s="12"/>
      <c r="B32" s="5"/>
      <c r="C32" s="5"/>
      <c r="D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>
      <c r="A33" s="12"/>
      <c r="B33" s="5"/>
      <c r="C33" s="5"/>
      <c r="D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>
      <c r="A34" s="12"/>
      <c r="B34" s="5"/>
      <c r="C34" s="5"/>
      <c r="D34" s="5"/>
      <c r="O34" s="24">
        <f>STDEV(G17:I17)</f>
        <v>1.8316450926517496E-2</v>
      </c>
      <c r="Q34" s="109"/>
      <c r="R34" s="25"/>
      <c r="S34" s="26"/>
      <c r="T34" s="5"/>
      <c r="U34" s="5"/>
    </row>
    <row r="35" spans="1:29">
      <c r="A35" s="12"/>
      <c r="B35" s="5"/>
      <c r="C35" s="5"/>
      <c r="D35" s="5"/>
      <c r="Q35" s="109"/>
      <c r="R35" s="25"/>
      <c r="S35" s="5"/>
      <c r="T35" s="5"/>
      <c r="U35" s="5"/>
    </row>
    <row r="36" spans="1:29">
      <c r="A36" s="12"/>
      <c r="B36" s="5"/>
      <c r="C36" s="5"/>
      <c r="D36" s="5"/>
      <c r="Q36" s="109"/>
      <c r="R36" s="25"/>
      <c r="S36" s="5"/>
      <c r="T36" s="5"/>
      <c r="U36" s="5"/>
    </row>
    <row r="37" spans="1:29">
      <c r="A37" s="5"/>
      <c r="B37" s="5"/>
      <c r="C37" s="5"/>
      <c r="D37" s="5"/>
      <c r="Q37" s="109"/>
      <c r="R37" s="25"/>
      <c r="S37" s="5"/>
      <c r="T37" s="5"/>
      <c r="U37" s="5"/>
    </row>
    <row r="38" spans="1:29">
      <c r="A38" s="5"/>
      <c r="B38" s="5"/>
      <c r="C38" s="5"/>
      <c r="D38" s="5"/>
      <c r="Q38" s="5"/>
      <c r="R38" s="5"/>
      <c r="S38" s="5"/>
      <c r="T38" s="5"/>
      <c r="U38" s="5"/>
    </row>
    <row r="39" spans="1:29">
      <c r="A39" s="12"/>
      <c r="B39" s="5"/>
      <c r="C39" s="5"/>
      <c r="D39" s="5"/>
      <c r="Q39" s="5"/>
      <c r="R39" s="5"/>
      <c r="S39" s="5"/>
      <c r="T39" s="5"/>
      <c r="U39" s="5"/>
    </row>
    <row r="40" spans="1:29">
      <c r="A40" s="12"/>
      <c r="B40" s="5"/>
      <c r="C40" s="5"/>
      <c r="D40" s="5"/>
      <c r="Q40" s="5"/>
      <c r="R40" s="5"/>
      <c r="S40" s="5"/>
      <c r="T40" s="5"/>
      <c r="U40" s="5"/>
    </row>
    <row r="41" spans="1:29">
      <c r="A41" s="12"/>
      <c r="B41" s="5"/>
      <c r="C41" s="5"/>
      <c r="D41" s="5"/>
      <c r="O41">
        <f>STDEV(E24:G24)</f>
        <v>4.3875869683536621E-2</v>
      </c>
      <c r="Q41" s="5"/>
      <c r="R41" s="5"/>
      <c r="S41" s="5"/>
      <c r="T41" s="5"/>
      <c r="U41" s="5"/>
    </row>
    <row r="42" spans="1:29">
      <c r="A42" s="12"/>
      <c r="B42" s="5"/>
      <c r="C42" s="5"/>
      <c r="D42" s="5"/>
      <c r="Q42" s="5"/>
      <c r="R42" s="5"/>
      <c r="S42" s="5"/>
      <c r="T42" s="5"/>
      <c r="U42" s="5"/>
    </row>
    <row r="43" spans="1:29">
      <c r="A43" s="12"/>
      <c r="B43" s="5"/>
      <c r="C43" s="5"/>
      <c r="D43" s="5"/>
      <c r="Q43" s="5"/>
      <c r="R43" s="5"/>
      <c r="S43" s="5"/>
      <c r="T43" s="5"/>
      <c r="U43" s="5"/>
    </row>
    <row r="44" spans="1:29">
      <c r="A44" s="12"/>
      <c r="B44" s="28"/>
      <c r="C44" s="5"/>
      <c r="D44" s="5"/>
      <c r="O44" s="5"/>
      <c r="P44" s="5"/>
      <c r="Q44" s="5"/>
      <c r="R44" s="5"/>
      <c r="S44" s="5"/>
      <c r="T44" s="5"/>
      <c r="U44" s="5"/>
    </row>
    <row r="45" spans="1:29">
      <c r="A45" s="12"/>
      <c r="B45" s="28"/>
      <c r="C45" s="5"/>
      <c r="D45" s="5"/>
      <c r="O45" s="5"/>
      <c r="P45" s="5"/>
      <c r="Q45" s="5"/>
      <c r="R45" s="5"/>
      <c r="S45" s="5"/>
      <c r="T45" s="5"/>
      <c r="U45" s="5"/>
    </row>
    <row r="46" spans="1:29">
      <c r="A46" s="5"/>
      <c r="B46" s="4"/>
      <c r="C46" s="4"/>
      <c r="D46" s="5"/>
      <c r="O46" s="5"/>
      <c r="P46" s="5"/>
      <c r="Q46" s="5"/>
      <c r="R46" s="5"/>
      <c r="S46" s="5"/>
      <c r="T46" s="5"/>
      <c r="U46" s="5"/>
    </row>
    <row r="47" spans="1:29">
      <c r="A47" s="4"/>
      <c r="B47" s="4"/>
      <c r="C47" s="4"/>
      <c r="D47" s="5"/>
      <c r="J47" t="s">
        <v>25</v>
      </c>
      <c r="O47" s="5"/>
      <c r="P47" s="5"/>
      <c r="Q47" s="5"/>
      <c r="R47" s="5"/>
      <c r="S47" s="5"/>
      <c r="T47" s="5"/>
      <c r="U47" s="5"/>
    </row>
    <row r="48" spans="1:29">
      <c r="A48" s="4"/>
      <c r="B48" s="4"/>
      <c r="C48" s="4"/>
      <c r="D48" s="5"/>
      <c r="O48" s="5"/>
      <c r="P48" s="5"/>
      <c r="Q48" s="5"/>
      <c r="R48" s="5"/>
      <c r="S48" s="5"/>
      <c r="T48" s="5"/>
      <c r="U48" s="5"/>
    </row>
    <row r="49" spans="1:21">
      <c r="A49" s="4"/>
      <c r="B49" s="6"/>
      <c r="C49" s="28"/>
      <c r="D49" s="5"/>
      <c r="O49" s="5"/>
      <c r="P49" s="5"/>
      <c r="Q49" s="5"/>
      <c r="R49" s="5"/>
      <c r="S49" s="5"/>
      <c r="T49" s="5"/>
      <c r="U49" s="5"/>
    </row>
    <row r="50" spans="1:21">
      <c r="A50" s="4"/>
      <c r="B50" s="6"/>
      <c r="C50" s="28"/>
      <c r="D50" s="5"/>
      <c r="O50" s="5"/>
      <c r="P50" s="5"/>
      <c r="Q50" s="5"/>
      <c r="R50" s="5"/>
      <c r="S50" s="5"/>
      <c r="T50" s="5"/>
      <c r="U50" s="5"/>
    </row>
    <row r="51" spans="1:21">
      <c r="A51" s="4"/>
      <c r="B51" s="6"/>
      <c r="C51" s="28"/>
      <c r="D51" s="5"/>
      <c r="O51" s="5"/>
      <c r="P51" s="5"/>
      <c r="Q51" s="5"/>
      <c r="R51" s="5"/>
      <c r="S51" s="5"/>
      <c r="T51" s="5"/>
      <c r="U51" s="5"/>
    </row>
    <row r="52" spans="1:21">
      <c r="A52" s="4"/>
      <c r="B52" s="6"/>
      <c r="C52" s="28"/>
      <c r="D52" s="5"/>
      <c r="O52" s="5"/>
      <c r="P52" s="5"/>
      <c r="Q52" s="5"/>
      <c r="R52" s="5"/>
      <c r="S52" s="5"/>
      <c r="T52" s="5"/>
      <c r="U52" s="5"/>
    </row>
    <row r="53" spans="1:21">
      <c r="A53" s="5"/>
      <c r="B53" s="5"/>
      <c r="C53" s="5"/>
      <c r="D53" s="5"/>
      <c r="O53" s="5"/>
      <c r="P53" s="5"/>
      <c r="Q53" s="5"/>
      <c r="R53" s="5"/>
      <c r="S53" s="5"/>
      <c r="T53" s="5"/>
      <c r="U53" s="5"/>
    </row>
    <row r="54" spans="1:21">
      <c r="O54" s="5"/>
      <c r="P54" s="5"/>
      <c r="Q54" s="5"/>
      <c r="R54" s="5"/>
      <c r="S54" s="5"/>
      <c r="T54" s="5"/>
      <c r="U54" s="5"/>
    </row>
    <row r="55" spans="1:21">
      <c r="O55" s="5"/>
      <c r="P55" s="5"/>
      <c r="Q55" s="5"/>
      <c r="R55" s="5"/>
      <c r="S55" s="5"/>
      <c r="T55" s="5"/>
      <c r="U55" s="5"/>
    </row>
    <row r="56" spans="1:21">
      <c r="O56" s="5"/>
      <c r="P56" s="5"/>
      <c r="Q56" s="5"/>
      <c r="R56" s="5"/>
      <c r="S56" s="5"/>
      <c r="T56" s="5"/>
      <c r="U56" s="5"/>
    </row>
    <row r="57" spans="1:21">
      <c r="O57" s="5"/>
      <c r="P57" s="5"/>
      <c r="Q57" s="5"/>
      <c r="R57" s="5"/>
      <c r="S57" s="5"/>
      <c r="T57" s="5"/>
      <c r="U57" s="5"/>
    </row>
    <row r="58" spans="1:21">
      <c r="O58" s="5"/>
      <c r="P58" s="5"/>
      <c r="Q58" s="5"/>
      <c r="R58" s="5"/>
      <c r="S58" s="5"/>
      <c r="T58" s="5"/>
      <c r="U58" s="5"/>
    </row>
    <row r="59" spans="1:21">
      <c r="O59" s="5"/>
      <c r="P59" s="5"/>
      <c r="Q59" s="5"/>
      <c r="R59" s="5"/>
      <c r="S59" s="5"/>
      <c r="T59" s="5"/>
      <c r="U59" s="5"/>
    </row>
    <row r="60" spans="1:21">
      <c r="O60" s="5"/>
      <c r="P60" s="5"/>
      <c r="Q60" s="5"/>
      <c r="R60" s="5"/>
      <c r="S60" s="5"/>
      <c r="T60" s="5"/>
      <c r="U60" s="5"/>
    </row>
    <row r="61" spans="1:21">
      <c r="O61" s="5"/>
      <c r="P61" s="5"/>
      <c r="Q61" s="5"/>
      <c r="R61" s="5"/>
      <c r="S61" s="5"/>
      <c r="T61" s="5"/>
      <c r="U61" s="5"/>
    </row>
    <row r="62" spans="1:21">
      <c r="O62" s="5"/>
      <c r="P62" s="5"/>
      <c r="Q62" s="5"/>
      <c r="R62" s="5"/>
      <c r="S62" s="5"/>
      <c r="T62" s="5"/>
      <c r="U62" s="5"/>
    </row>
    <row r="63" spans="1:21">
      <c r="O63" s="5"/>
      <c r="P63" s="5"/>
      <c r="Q63" s="5"/>
      <c r="R63" s="5"/>
      <c r="S63" s="5"/>
      <c r="T63" s="5"/>
      <c r="U63" s="5"/>
    </row>
    <row r="64" spans="1:21">
      <c r="O64" s="5"/>
      <c r="P64" s="5"/>
      <c r="Q64" s="5"/>
      <c r="R64" s="5"/>
      <c r="S64" s="5"/>
      <c r="T64" s="5"/>
      <c r="U64" s="5"/>
    </row>
    <row r="65" spans="15:21">
      <c r="O65" s="5"/>
      <c r="P65" s="5"/>
      <c r="Q65" s="5"/>
      <c r="R65" s="5"/>
      <c r="S65" s="5"/>
      <c r="T65" s="5"/>
      <c r="U65" s="5"/>
    </row>
    <row r="66" spans="15:21">
      <c r="O66" s="5"/>
      <c r="P66" s="5"/>
      <c r="Q66" s="5"/>
      <c r="R66" s="5"/>
      <c r="S66" s="5"/>
      <c r="T66" s="5"/>
      <c r="U66" s="5"/>
    </row>
    <row r="67" spans="15:21">
      <c r="O67" s="5"/>
      <c r="P67" s="5"/>
      <c r="Q67" s="5"/>
      <c r="R67" s="5"/>
      <c r="S67" s="5"/>
      <c r="T67" s="5"/>
      <c r="U67" s="5"/>
    </row>
    <row r="68" spans="15:21">
      <c r="O68" s="5"/>
      <c r="P68" s="5"/>
      <c r="Q68" s="5"/>
      <c r="R68" s="5"/>
      <c r="S68" s="5"/>
      <c r="T68" s="5"/>
      <c r="U68" s="5"/>
    </row>
    <row r="69" spans="15:21">
      <c r="O69" s="5"/>
      <c r="P69" s="5"/>
      <c r="Q69" s="5"/>
      <c r="R69" s="5"/>
      <c r="S69" s="5"/>
      <c r="T69" s="5"/>
      <c r="U69" s="5"/>
    </row>
    <row r="70" spans="15:21">
      <c r="O70" s="5"/>
      <c r="P70" s="5"/>
      <c r="Q70" s="5"/>
      <c r="R70" s="5"/>
      <c r="S70" s="5"/>
      <c r="T70" s="5"/>
      <c r="U70" s="5"/>
    </row>
    <row r="71" spans="15:21">
      <c r="O71" s="5"/>
      <c r="P71" s="5"/>
      <c r="Q71" s="5"/>
      <c r="R71" s="5"/>
      <c r="S71" s="5"/>
      <c r="T71" s="5"/>
      <c r="U71" s="5"/>
    </row>
    <row r="72" spans="15:21">
      <c r="O72" s="5"/>
      <c r="P72" s="5"/>
      <c r="Q72" s="5"/>
      <c r="R72" s="5"/>
      <c r="S72" s="5"/>
      <c r="T72" s="5"/>
      <c r="U72" s="5"/>
    </row>
    <row r="73" spans="15:21">
      <c r="O73" s="5"/>
      <c r="P73" s="5"/>
      <c r="Q73" s="5"/>
      <c r="R73" s="5"/>
      <c r="S73" s="5"/>
      <c r="T73" s="5"/>
      <c r="U73" s="5"/>
    </row>
    <row r="74" spans="15:21">
      <c r="O74" s="5"/>
      <c r="P74" s="5"/>
      <c r="Q74" s="5"/>
      <c r="R74" s="5"/>
      <c r="S74" s="5"/>
      <c r="T74" s="5"/>
      <c r="U74" s="5"/>
    </row>
    <row r="75" spans="15:21">
      <c r="O75" s="5"/>
      <c r="P75" s="5"/>
      <c r="Q75" s="5"/>
      <c r="R75" s="5"/>
      <c r="S75" s="5"/>
      <c r="T75" s="5"/>
      <c r="U75" s="5"/>
    </row>
    <row r="76" spans="15:21">
      <c r="O76" s="5"/>
      <c r="P76" s="5"/>
      <c r="Q76" s="5"/>
      <c r="R76" s="5"/>
      <c r="S76" s="5"/>
      <c r="T76" s="5"/>
      <c r="U76" s="5"/>
    </row>
    <row r="77" spans="15:21">
      <c r="O77" s="5"/>
      <c r="P77" s="5"/>
      <c r="Q77" s="5"/>
      <c r="R77" s="5"/>
      <c r="S77" s="5"/>
      <c r="T77" s="5"/>
      <c r="U77" s="5"/>
    </row>
    <row r="78" spans="15:21">
      <c r="O78" s="5"/>
      <c r="P78" s="5"/>
      <c r="Q78" s="5"/>
      <c r="R78" s="5"/>
      <c r="S78" s="5"/>
      <c r="T78" s="5"/>
      <c r="U78" s="5"/>
    </row>
    <row r="79" spans="15:21">
      <c r="O79" s="5"/>
      <c r="P79" s="5"/>
      <c r="Q79" s="5"/>
      <c r="R79" s="5"/>
      <c r="S79" s="5"/>
      <c r="T79" s="5"/>
      <c r="U79" s="5"/>
    </row>
    <row r="80" spans="15:21">
      <c r="O80" s="5"/>
      <c r="P80" s="5"/>
      <c r="Q80" s="5"/>
      <c r="R80" s="5"/>
      <c r="S80" s="5"/>
      <c r="T80" s="5"/>
      <c r="U80" s="5"/>
    </row>
    <row r="81" spans="15:21">
      <c r="O81" s="5"/>
      <c r="P81" s="5"/>
      <c r="Q81" s="5"/>
      <c r="R81" s="5"/>
      <c r="S81" s="5"/>
      <c r="T81" s="5"/>
      <c r="U81" s="5"/>
    </row>
    <row r="82" spans="15:21">
      <c r="O82" s="5"/>
      <c r="P82" s="5"/>
      <c r="Q82" s="5"/>
      <c r="R82" s="5"/>
      <c r="S82" s="5"/>
      <c r="T82" s="5"/>
      <c r="U82" s="5"/>
    </row>
    <row r="83" spans="15:21">
      <c r="O83" s="5"/>
      <c r="P83" s="5"/>
      <c r="Q83" s="5"/>
      <c r="R83" s="5"/>
      <c r="S83" s="5"/>
      <c r="T83" s="5"/>
      <c r="U83" s="5"/>
    </row>
    <row r="84" spans="15:21">
      <c r="O84" s="5"/>
      <c r="P84" s="5"/>
      <c r="Q84" s="5"/>
      <c r="R84" s="5"/>
      <c r="S84" s="5"/>
      <c r="T84" s="5"/>
      <c r="U84" s="5"/>
    </row>
    <row r="85" spans="15:21">
      <c r="O85" s="5"/>
      <c r="P85" s="5"/>
      <c r="Q85" s="5"/>
      <c r="R85" s="5"/>
      <c r="S85" s="5"/>
      <c r="T85" s="5"/>
      <c r="U85" s="5"/>
    </row>
    <row r="86" spans="15:21">
      <c r="O86" s="5"/>
      <c r="P86" s="5"/>
      <c r="Q86" s="5"/>
      <c r="R86" s="5"/>
      <c r="S86" s="5"/>
      <c r="T86" s="5"/>
      <c r="U86" s="5"/>
    </row>
    <row r="87" spans="15:21">
      <c r="O87" s="5"/>
      <c r="P87" s="5"/>
      <c r="Q87" s="5"/>
      <c r="R87" s="5"/>
      <c r="S87" s="5"/>
      <c r="T87" s="5"/>
      <c r="U87" s="5"/>
    </row>
  </sheetData>
  <mergeCells count="14">
    <mergeCell ref="A18:B19"/>
    <mergeCell ref="F2:G2"/>
    <mergeCell ref="Q34:Q37"/>
    <mergeCell ref="F8:F10"/>
    <mergeCell ref="A14:G14"/>
    <mergeCell ref="B22:D22"/>
    <mergeCell ref="A13:H13"/>
    <mergeCell ref="C4:C7"/>
    <mergeCell ref="A1:C1"/>
    <mergeCell ref="H2:I2"/>
    <mergeCell ref="A8:A10"/>
    <mergeCell ref="C8:C10"/>
    <mergeCell ref="F4:F7"/>
    <mergeCell ref="A4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thyl surface and model data</vt:lpstr>
      <vt:lpstr>EQUATION.4_CALCULATION</vt:lpstr>
      <vt:lpstr>FIG 9 _DATA</vt:lpstr>
      <vt:lpstr>Fig9 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</dc:creator>
  <cp:lastModifiedBy>Emi</cp:lastModifiedBy>
  <dcterms:created xsi:type="dcterms:W3CDTF">2020-02-14T22:49:02Z</dcterms:created>
  <dcterms:modified xsi:type="dcterms:W3CDTF">2021-01-14T11:48:59Z</dcterms:modified>
</cp:coreProperties>
</file>